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defaultThemeVersion="124226"/>
  <bookViews>
    <workbookView xWindow="-45" yWindow="-240" windowWidth="13425" windowHeight="10140" tabRatio="587"/>
  </bookViews>
  <sheets>
    <sheet name="NEW Table 142" sheetId="19" r:id="rId1"/>
    <sheet name="OLD Table" sheetId="27" r:id="rId2"/>
    <sheet name="NEW Tables 143-162" sheetId="18" r:id="rId3"/>
    <sheet name="OLD Tables" sheetId="28" r:id="rId4"/>
    <sheet name="NEW Table 163" sheetId="21" r:id="rId5"/>
    <sheet name="OLD Table  " sheetId="29" r:id="rId6"/>
    <sheet name="Calculated Fields" sheetId="33" r:id="rId7"/>
    <sheet name="Averages Pivot Table" sheetId="23" r:id="rId8"/>
    <sheet name="NEW Counts Pivot Table" sheetId="24" r:id="rId9"/>
    <sheet name="OLD Counts Pivot Table" sheetId="30" r:id="rId10"/>
    <sheet name="Faculty Salary Data" sheetId="4" r:id="rId11"/>
    <sheet name="Format for avgs table" sheetId="25" r:id="rId12"/>
    <sheet name="Format for counts table" sheetId="26" r:id="rId13"/>
  </sheets>
  <definedNames>
    <definedName name="APPHEAD" localSheetId="9">#REF!</definedName>
    <definedName name="APPHEAD" localSheetId="1">#REF!</definedName>
    <definedName name="APPHEAD" localSheetId="5">#REF!</definedName>
    <definedName name="APPHEAD" localSheetId="3">#REF!</definedName>
    <definedName name="APPHEAD">#REF!</definedName>
    <definedName name="CHHEAD" localSheetId="9">#REF!</definedName>
    <definedName name="CHHEAD" localSheetId="1">#REF!</definedName>
    <definedName name="CHHEAD" localSheetId="5">#REF!</definedName>
    <definedName name="CHHEAD" localSheetId="3">#REF!</definedName>
    <definedName name="CHHEAD">#REF!</definedName>
    <definedName name="PAGE_17" localSheetId="9">#REF!</definedName>
    <definedName name="PAGE_17" localSheetId="1">#REF!</definedName>
    <definedName name="PAGE_17" localSheetId="5">#REF!</definedName>
    <definedName name="PAGE_17" localSheetId="3">#REF!</definedName>
    <definedName name="PAGE_17">#REF!</definedName>
    <definedName name="PAGE1" localSheetId="9">#REF!</definedName>
    <definedName name="PAGE1" localSheetId="1">#REF!</definedName>
    <definedName name="PAGE1" localSheetId="5">#REF!</definedName>
    <definedName name="PAGE1" localSheetId="3">#REF!</definedName>
    <definedName name="PAGE1">#REF!</definedName>
    <definedName name="PAGE10" localSheetId="9">#REF!</definedName>
    <definedName name="PAGE10" localSheetId="1">#REF!</definedName>
    <definedName name="PAGE10" localSheetId="5">#REF!</definedName>
    <definedName name="PAGE10" localSheetId="3">#REF!</definedName>
    <definedName name="PAGE10">#REF!</definedName>
    <definedName name="PAGE11" localSheetId="9">#REF!</definedName>
    <definedName name="PAGE11" localSheetId="1">#REF!</definedName>
    <definedName name="PAGE11" localSheetId="5">#REF!</definedName>
    <definedName name="PAGE11" localSheetId="3">#REF!</definedName>
    <definedName name="PAGE11">#REF!</definedName>
    <definedName name="PAGE12" localSheetId="9">#REF!</definedName>
    <definedName name="PAGE12" localSheetId="1">#REF!</definedName>
    <definedName name="PAGE12" localSheetId="5">#REF!</definedName>
    <definedName name="PAGE12" localSheetId="3">#REF!</definedName>
    <definedName name="PAGE12">#REF!</definedName>
    <definedName name="PAGE13" localSheetId="9">#REF!</definedName>
    <definedName name="PAGE13" localSheetId="1">#REF!</definedName>
    <definedName name="PAGE13" localSheetId="5">#REF!</definedName>
    <definedName name="PAGE13" localSheetId="3">#REF!</definedName>
    <definedName name="PAGE13">#REF!</definedName>
    <definedName name="PAGE14" localSheetId="9">#REF!</definedName>
    <definedName name="PAGE14" localSheetId="1">#REF!</definedName>
    <definedName name="PAGE14" localSheetId="5">#REF!</definedName>
    <definedName name="PAGE14" localSheetId="3">#REF!</definedName>
    <definedName name="PAGE14">#REF!</definedName>
    <definedName name="PAGE15" localSheetId="9">#REF!</definedName>
    <definedName name="PAGE15" localSheetId="1">#REF!</definedName>
    <definedName name="PAGE15" localSheetId="5">#REF!</definedName>
    <definedName name="PAGE15" localSheetId="3">#REF!</definedName>
    <definedName name="PAGE15">#REF!</definedName>
    <definedName name="PAGE16" localSheetId="9">#REF!</definedName>
    <definedName name="PAGE16" localSheetId="1">#REF!</definedName>
    <definedName name="PAGE16" localSheetId="5">#REF!</definedName>
    <definedName name="PAGE16" localSheetId="3">#REF!</definedName>
    <definedName name="PAGE16">#REF!</definedName>
    <definedName name="PAGE17" localSheetId="9">#REF!</definedName>
    <definedName name="PAGE17" localSheetId="1">#REF!</definedName>
    <definedName name="PAGE17" localSheetId="5">#REF!</definedName>
    <definedName name="PAGE17" localSheetId="3">#REF!</definedName>
    <definedName name="PAGE17">#REF!</definedName>
    <definedName name="PAGE18" localSheetId="9">#REF!</definedName>
    <definedName name="PAGE18" localSheetId="1">#REF!</definedName>
    <definedName name="PAGE18" localSheetId="5">#REF!</definedName>
    <definedName name="PAGE18" localSheetId="3">#REF!</definedName>
    <definedName name="PAGE18">#REF!</definedName>
    <definedName name="PAGE19" localSheetId="9">#REF!</definedName>
    <definedName name="PAGE19" localSheetId="1">#REF!</definedName>
    <definedName name="PAGE19" localSheetId="5">#REF!</definedName>
    <definedName name="PAGE19" localSheetId="3">#REF!</definedName>
    <definedName name="PAGE19">#REF!</definedName>
    <definedName name="PAGE2" localSheetId="9">#REF!</definedName>
    <definedName name="PAGE2" localSheetId="1">#REF!</definedName>
    <definedName name="PAGE2" localSheetId="5">#REF!</definedName>
    <definedName name="PAGE2" localSheetId="3">#REF!</definedName>
    <definedName name="PAGE2">#REF!</definedName>
    <definedName name="PAGE20" localSheetId="9">#REF!</definedName>
    <definedName name="PAGE20" localSheetId="1">#REF!</definedName>
    <definedName name="PAGE20" localSheetId="5">#REF!</definedName>
    <definedName name="PAGE20" localSheetId="3">#REF!</definedName>
    <definedName name="PAGE20">#REF!</definedName>
    <definedName name="PAGE3" localSheetId="9">#REF!</definedName>
    <definedName name="PAGE3" localSheetId="1">#REF!</definedName>
    <definedName name="PAGE3" localSheetId="5">#REF!</definedName>
    <definedName name="PAGE3" localSheetId="3">#REF!</definedName>
    <definedName name="PAGE3">#REF!</definedName>
    <definedName name="PAGE4" localSheetId="9">#REF!</definedName>
    <definedName name="PAGE4" localSheetId="1">#REF!</definedName>
    <definedName name="PAGE4" localSheetId="5">#REF!</definedName>
    <definedName name="PAGE4" localSheetId="3">#REF!</definedName>
    <definedName name="PAGE4">#REF!</definedName>
    <definedName name="PAGE5" localSheetId="9">#REF!</definedName>
    <definedName name="PAGE5" localSheetId="1">#REF!</definedName>
    <definedName name="PAGE5" localSheetId="5">#REF!</definedName>
    <definedName name="PAGE5" localSheetId="3">#REF!</definedName>
    <definedName name="PAGE5">#REF!</definedName>
    <definedName name="PAGE6" localSheetId="9">#REF!</definedName>
    <definedName name="PAGE6" localSheetId="1">#REF!</definedName>
    <definedName name="PAGE6" localSheetId="5">#REF!</definedName>
    <definedName name="PAGE6" localSheetId="3">#REF!</definedName>
    <definedName name="PAGE6">#REF!</definedName>
    <definedName name="PAGE7" localSheetId="9">#REF!</definedName>
    <definedName name="PAGE7" localSheetId="1">#REF!</definedName>
    <definedName name="PAGE7" localSheetId="5">#REF!</definedName>
    <definedName name="PAGE7" localSheetId="3">#REF!</definedName>
    <definedName name="PAGE7">#REF!</definedName>
    <definedName name="PAGE8" localSheetId="9">#REF!</definedName>
    <definedName name="PAGE8" localSheetId="1">#REF!</definedName>
    <definedName name="PAGE8" localSheetId="5">#REF!</definedName>
    <definedName name="PAGE8" localSheetId="3">#REF!</definedName>
    <definedName name="PAGE8">#REF!</definedName>
    <definedName name="PAGE9" localSheetId="9">#REF!</definedName>
    <definedName name="PAGE9" localSheetId="1">#REF!</definedName>
    <definedName name="PAGE9" localSheetId="5">#REF!</definedName>
    <definedName name="PAGE9" localSheetId="3">#REF!</definedName>
    <definedName name="PAGE9">#REF!</definedName>
    <definedName name="PART1" localSheetId="9">#REF!</definedName>
    <definedName name="PART1" localSheetId="1">#REF!</definedName>
    <definedName name="PART1" localSheetId="5">#REF!</definedName>
    <definedName name="PART1" localSheetId="3">#REF!</definedName>
    <definedName name="PART1">#REF!</definedName>
    <definedName name="PART2" localSheetId="9">#REF!</definedName>
    <definedName name="PART2" localSheetId="1">#REF!</definedName>
    <definedName name="PART2" localSheetId="5">#REF!</definedName>
    <definedName name="PART2" localSheetId="3">#REF!</definedName>
    <definedName name="PART2">#REF!</definedName>
    <definedName name="PART3" localSheetId="9">#REF!</definedName>
    <definedName name="PART3" localSheetId="1">#REF!</definedName>
    <definedName name="PART3" localSheetId="5">#REF!</definedName>
    <definedName name="PART3" localSheetId="3">#REF!</definedName>
    <definedName name="PART3">#REF!</definedName>
    <definedName name="PART4A" localSheetId="9">#REF!</definedName>
    <definedName name="PART4A" localSheetId="1">#REF!</definedName>
    <definedName name="PART4A" localSheetId="5">#REF!</definedName>
    <definedName name="PART4A" localSheetId="3">#REF!</definedName>
    <definedName name="PART4A">#REF!</definedName>
    <definedName name="PART4B" localSheetId="9">#REF!</definedName>
    <definedName name="PART4B" localSheetId="1">#REF!</definedName>
    <definedName name="PART4B" localSheetId="5">#REF!</definedName>
    <definedName name="PART4B" localSheetId="3">#REF!</definedName>
    <definedName name="PART4B">#REF!</definedName>
    <definedName name="PART5" localSheetId="9">#REF!</definedName>
    <definedName name="PART5" localSheetId="1">#REF!</definedName>
    <definedName name="PART5" localSheetId="5">#REF!</definedName>
    <definedName name="PART5" localSheetId="3">#REF!</definedName>
    <definedName name="PART5">#REF!</definedName>
    <definedName name="PART6A" localSheetId="9">#REF!</definedName>
    <definedName name="PART6A" localSheetId="1">#REF!</definedName>
    <definedName name="PART6A" localSheetId="5">#REF!</definedName>
    <definedName name="PART6A" localSheetId="3">#REF!</definedName>
    <definedName name="PART6A">#REF!</definedName>
    <definedName name="PART6B" localSheetId="9">#REF!</definedName>
    <definedName name="PART6B" localSheetId="1">#REF!</definedName>
    <definedName name="PART6B" localSheetId="5">#REF!</definedName>
    <definedName name="PART6B" localSheetId="3">#REF!</definedName>
    <definedName name="PART6B">#REF!</definedName>
    <definedName name="PART6C" localSheetId="9">#REF!</definedName>
    <definedName name="PART6C" localSheetId="1">#REF!</definedName>
    <definedName name="PART6C" localSheetId="5">#REF!</definedName>
    <definedName name="PART6C" localSheetId="3">#REF!</definedName>
    <definedName name="PART6C">#REF!</definedName>
    <definedName name="PART7B" localSheetId="9">#REF!</definedName>
    <definedName name="PART7B" localSheetId="1">#REF!</definedName>
    <definedName name="PART7B" localSheetId="5">#REF!</definedName>
    <definedName name="PART7B" localSheetId="3">#REF!</definedName>
    <definedName name="PART7B">#REF!</definedName>
    <definedName name="PART7C" localSheetId="9">#REF!</definedName>
    <definedName name="PART7C" localSheetId="1">#REF!</definedName>
    <definedName name="PART7C" localSheetId="5">#REF!</definedName>
    <definedName name="PART7C" localSheetId="3">#REF!</definedName>
    <definedName name="PART7C">#REF!</definedName>
    <definedName name="PART8" localSheetId="9">#REF!</definedName>
    <definedName name="PART8" localSheetId="1">#REF!</definedName>
    <definedName name="PART8" localSheetId="5">#REF!</definedName>
    <definedName name="PART8" localSheetId="3">#REF!</definedName>
    <definedName name="PART8">#REF!</definedName>
    <definedName name="_xlnm.Print_Area" localSheetId="7">'Averages Pivot Table'!$C$6:$S$341</definedName>
    <definedName name="_xlnm.Print_Area" localSheetId="8">'NEW Counts Pivot Table'!$A$1</definedName>
    <definedName name="_xlnm.Print_Area" localSheetId="0">'NEW Table 142'!$A$1:$H$27</definedName>
    <definedName name="_xlnm.Print_Area" localSheetId="4">'NEW Table 163'!$A$11:$R$129</definedName>
    <definedName name="_xlnm.Print_Area" localSheetId="2">'NEW Tables 143-162'!$A$1:$O$600</definedName>
    <definedName name="_xlnm.Print_Area" localSheetId="9">'OLD Counts Pivot Table'!$A$1</definedName>
    <definedName name="_xlnm.Print_Area" localSheetId="1">'OLD Table'!$A$1:$H$27</definedName>
    <definedName name="_xlnm.Print_Area" localSheetId="5">'OLD Table  '!$A$10:$R$129</definedName>
    <definedName name="_xlnm.Print_Area" localSheetId="3">'OLD Tables'!$A$1:$O$600</definedName>
    <definedName name="_xlnm.Print_Area">#REF!</definedName>
    <definedName name="_xlnm.Print_Titles" localSheetId="7">'Averages Pivot Table'!$A:$B,'Averages Pivot Table'!$4:$5</definedName>
    <definedName name="_xlnm.Print_Titles" localSheetId="8">'NEW Counts Pivot Table'!$1:$5</definedName>
    <definedName name="_xlnm.Print_Titles" localSheetId="4">'NEW Table 163'!$3:$10</definedName>
    <definedName name="_xlnm.Print_Titles" localSheetId="9">'OLD Counts Pivot Table'!$1:$5</definedName>
    <definedName name="_xlnm.Print_Titles" localSheetId="5">'OLD Table  '!$2:$9</definedName>
    <definedName name="RATIONALE" localSheetId="9">#REF!</definedName>
    <definedName name="RATIONALE" localSheetId="1">#REF!</definedName>
    <definedName name="RATIONALE" localSheetId="5">#REF!</definedName>
    <definedName name="RATIONALE" localSheetId="3">#REF!</definedName>
    <definedName name="RATIONALE">#REF!</definedName>
    <definedName name="RATIONALE2" localSheetId="9">#REF!</definedName>
    <definedName name="RATIONALE2" localSheetId="1">#REF!</definedName>
    <definedName name="RATIONALE2" localSheetId="5">#REF!</definedName>
    <definedName name="RATIONALE2" localSheetId="3">#REF!</definedName>
    <definedName name="RATIONALE2">#REF!</definedName>
    <definedName name="SALHEAD" localSheetId="9">#REF!</definedName>
    <definedName name="SALHEAD" localSheetId="1">#REF!</definedName>
    <definedName name="SALHEAD" localSheetId="5">#REF!</definedName>
    <definedName name="SALHEAD" localSheetId="3">#REF!</definedName>
    <definedName name="SALHEAD">#REF!</definedName>
  </definedNames>
  <calcPr calcId="125725"/>
  <pivotCaches>
    <pivotCache cacheId="17" r:id="rId14"/>
  </pivotCaches>
</workbook>
</file>

<file path=xl/calcChain.xml><?xml version="1.0" encoding="utf-8"?>
<calcChain xmlns="http://schemas.openxmlformats.org/spreadsheetml/2006/main">
  <c r="AF16" i="29"/>
  <c r="AF15"/>
  <c r="AF14"/>
  <c r="AF13"/>
  <c r="AF12"/>
  <c r="AF11"/>
  <c r="AF10"/>
  <c r="AE16"/>
  <c r="AE15"/>
  <c r="AE14"/>
  <c r="AE13"/>
  <c r="AE12"/>
  <c r="AE11"/>
  <c r="AE10"/>
  <c r="AD16"/>
  <c r="AD15"/>
  <c r="AD14"/>
  <c r="AD13"/>
  <c r="AD12"/>
  <c r="AD11"/>
  <c r="AD10"/>
  <c r="AC16"/>
  <c r="AC15"/>
  <c r="AC14"/>
  <c r="AC13"/>
  <c r="AC12"/>
  <c r="AC11"/>
  <c r="AC10"/>
  <c r="AB16"/>
  <c r="AB15"/>
  <c r="AB14"/>
  <c r="AB13"/>
  <c r="AB12"/>
  <c r="AB11"/>
  <c r="AB10"/>
  <c r="AA16"/>
  <c r="AA15"/>
  <c r="AA14"/>
  <c r="AA13"/>
  <c r="AA12"/>
  <c r="AA11"/>
  <c r="AA10"/>
  <c r="AH128"/>
  <c r="AF128"/>
  <c r="AD128"/>
  <c r="AB128"/>
  <c r="Z128"/>
  <c r="X128"/>
  <c r="V128"/>
  <c r="T128"/>
  <c r="AH127"/>
  <c r="AF127"/>
  <c r="AD127"/>
  <c r="AB127"/>
  <c r="Z127"/>
  <c r="X127"/>
  <c r="V127"/>
  <c r="T127"/>
  <c r="AH126"/>
  <c r="AF126"/>
  <c r="AD126"/>
  <c r="AB126"/>
  <c r="Z126"/>
  <c r="X126"/>
  <c r="V126"/>
  <c r="T126"/>
  <c r="AH125"/>
  <c r="AF125"/>
  <c r="AD125"/>
  <c r="AB125"/>
  <c r="Z125"/>
  <c r="X125"/>
  <c r="V125"/>
  <c r="T125"/>
  <c r="AH124"/>
  <c r="AF124"/>
  <c r="AD124"/>
  <c r="AB124"/>
  <c r="Z124"/>
  <c r="X124"/>
  <c r="V124"/>
  <c r="T124"/>
  <c r="AH123"/>
  <c r="AF123"/>
  <c r="AD123"/>
  <c r="AB123"/>
  <c r="Z123"/>
  <c r="X123"/>
  <c r="V123"/>
  <c r="T123"/>
  <c r="AH122"/>
  <c r="AF122"/>
  <c r="AD122"/>
  <c r="AB122"/>
  <c r="Z122"/>
  <c r="X122"/>
  <c r="V122"/>
  <c r="T122"/>
  <c r="AI128"/>
  <c r="AG128"/>
  <c r="AE128"/>
  <c r="AC128"/>
  <c r="AA128"/>
  <c r="Y128"/>
  <c r="W128"/>
  <c r="U128"/>
  <c r="AI127"/>
  <c r="AG127"/>
  <c r="AE127"/>
  <c r="AC127"/>
  <c r="AA127"/>
  <c r="Y127"/>
  <c r="W127"/>
  <c r="U127"/>
  <c r="AI126"/>
  <c r="AG126"/>
  <c r="AE126"/>
  <c r="AC126"/>
  <c r="AA126"/>
  <c r="Y126"/>
  <c r="W126"/>
  <c r="U126"/>
  <c r="AI125"/>
  <c r="AG125"/>
  <c r="AE125"/>
  <c r="AC125"/>
  <c r="AA125"/>
  <c r="Y125"/>
  <c r="W125"/>
  <c r="U125"/>
  <c r="AI124"/>
  <c r="AG124"/>
  <c r="AE124"/>
  <c r="AC124"/>
  <c r="AA124"/>
  <c r="Y124"/>
  <c r="W124"/>
  <c r="U124"/>
  <c r="AI123"/>
  <c r="AG123"/>
  <c r="AE123"/>
  <c r="AC123"/>
  <c r="AA123"/>
  <c r="Y123"/>
  <c r="W123"/>
  <c r="U123"/>
  <c r="AI122"/>
  <c r="AG122"/>
  <c r="AE122"/>
  <c r="AC122"/>
  <c r="AA122"/>
  <c r="Y122"/>
  <c r="W122"/>
  <c r="U122"/>
  <c r="AH121"/>
  <c r="AF121"/>
  <c r="AD121"/>
  <c r="AB121"/>
  <c r="Z121"/>
  <c r="X121"/>
  <c r="V121"/>
  <c r="T121"/>
  <c r="AH120"/>
  <c r="AF120"/>
  <c r="AD120"/>
  <c r="AB120"/>
  <c r="Z120"/>
  <c r="X120"/>
  <c r="V120"/>
  <c r="T120"/>
  <c r="AH119"/>
  <c r="AF119"/>
  <c r="AD119"/>
  <c r="AB119"/>
  <c r="Z119"/>
  <c r="X119"/>
  <c r="V119"/>
  <c r="T119"/>
  <c r="AH118"/>
  <c r="AF118"/>
  <c r="AD118"/>
  <c r="AB118"/>
  <c r="Z118"/>
  <c r="X118"/>
  <c r="V118"/>
  <c r="T118"/>
  <c r="AH117"/>
  <c r="AF117"/>
  <c r="AD117"/>
  <c r="AB117"/>
  <c r="Z117"/>
  <c r="X117"/>
  <c r="V117"/>
  <c r="T117"/>
  <c r="AH116"/>
  <c r="AF116"/>
  <c r="AD116"/>
  <c r="AB116"/>
  <c r="Z116"/>
  <c r="X116"/>
  <c r="V116"/>
  <c r="T116"/>
  <c r="AF115"/>
  <c r="Z115"/>
  <c r="V115"/>
  <c r="AI121"/>
  <c r="AG121"/>
  <c r="AE121"/>
  <c r="AC121"/>
  <c r="AA121"/>
  <c r="Y121"/>
  <c r="W121"/>
  <c r="U121"/>
  <c r="AI120"/>
  <c r="AG120"/>
  <c r="AE120"/>
  <c r="AC120"/>
  <c r="AA120"/>
  <c r="Y120"/>
  <c r="W120"/>
  <c r="U120"/>
  <c r="AI119"/>
  <c r="AG119"/>
  <c r="AE119"/>
  <c r="AC119"/>
  <c r="AA119"/>
  <c r="Y119"/>
  <c r="W119"/>
  <c r="U119"/>
  <c r="AI118"/>
  <c r="AG118"/>
  <c r="AE118"/>
  <c r="AC118"/>
  <c r="AA118"/>
  <c r="Y118"/>
  <c r="W118"/>
  <c r="U118"/>
  <c r="AI117"/>
  <c r="AG117"/>
  <c r="AE117"/>
  <c r="AC117"/>
  <c r="AA117"/>
  <c r="Y117"/>
  <c r="W117"/>
  <c r="U117"/>
  <c r="AI116"/>
  <c r="AG116"/>
  <c r="AE116"/>
  <c r="AC116"/>
  <c r="AA116"/>
  <c r="Y116"/>
  <c r="W116"/>
  <c r="U116"/>
  <c r="AI115"/>
  <c r="AG115"/>
  <c r="AE115"/>
  <c r="AC115"/>
  <c r="AA115"/>
  <c r="Y115"/>
  <c r="W115"/>
  <c r="U115"/>
  <c r="AH115"/>
  <c r="AD115"/>
  <c r="AB115"/>
  <c r="X115"/>
  <c r="T115"/>
  <c r="AH114"/>
  <c r="AF114"/>
  <c r="AD114"/>
  <c r="AB114"/>
  <c r="Z114"/>
  <c r="X114"/>
  <c r="V114"/>
  <c r="T114"/>
  <c r="AH113"/>
  <c r="AF113"/>
  <c r="AD113"/>
  <c r="AB113"/>
  <c r="Z113"/>
  <c r="X113"/>
  <c r="V113"/>
  <c r="T113"/>
  <c r="AH112"/>
  <c r="AF112"/>
  <c r="AD112"/>
  <c r="AB112"/>
  <c r="Z112"/>
  <c r="X112"/>
  <c r="V112"/>
  <c r="T112"/>
  <c r="AH111"/>
  <c r="AF111"/>
  <c r="AD111"/>
  <c r="AB111"/>
  <c r="Z111"/>
  <c r="X111"/>
  <c r="V111"/>
  <c r="T111"/>
  <c r="AH110"/>
  <c r="AF110"/>
  <c r="AD110"/>
  <c r="AB110"/>
  <c r="Z110"/>
  <c r="X110"/>
  <c r="V110"/>
  <c r="T110"/>
  <c r="AH109"/>
  <c r="AF109"/>
  <c r="AD109"/>
  <c r="AB109"/>
  <c r="Z109"/>
  <c r="X109"/>
  <c r="T109"/>
  <c r="AF108"/>
  <c r="Z108"/>
  <c r="T108"/>
  <c r="AI114"/>
  <c r="AG114"/>
  <c r="AE114"/>
  <c r="AC114"/>
  <c r="AA114"/>
  <c r="Y114"/>
  <c r="W114"/>
  <c r="U114"/>
  <c r="AI113"/>
  <c r="AG113"/>
  <c r="AE113"/>
  <c r="AC113"/>
  <c r="AA113"/>
  <c r="Y113"/>
  <c r="W113"/>
  <c r="U113"/>
  <c r="AI112"/>
  <c r="AG112"/>
  <c r="AE112"/>
  <c r="AC112"/>
  <c r="AA112"/>
  <c r="Y112"/>
  <c r="W112"/>
  <c r="U112"/>
  <c r="AI111"/>
  <c r="AG111"/>
  <c r="AE111"/>
  <c r="AC111"/>
  <c r="AA111"/>
  <c r="Y111"/>
  <c r="W111"/>
  <c r="U111"/>
  <c r="AI110"/>
  <c r="AG110"/>
  <c r="AE110"/>
  <c r="AC110"/>
  <c r="AA110"/>
  <c r="Y110"/>
  <c r="W110"/>
  <c r="U110"/>
  <c r="AI109"/>
  <c r="AG109"/>
  <c r="AE109"/>
  <c r="AC109"/>
  <c r="AA109"/>
  <c r="Y109"/>
  <c r="W109"/>
  <c r="U109"/>
  <c r="AI108"/>
  <c r="AG108"/>
  <c r="AE108"/>
  <c r="AC108"/>
  <c r="AA108"/>
  <c r="Y108"/>
  <c r="W108"/>
  <c r="U108"/>
  <c r="V109"/>
  <c r="AH108"/>
  <c r="AD108"/>
  <c r="AB108"/>
  <c r="X108"/>
  <c r="V108"/>
  <c r="AH107"/>
  <c r="AF107"/>
  <c r="AD107"/>
  <c r="AB107"/>
  <c r="Z107"/>
  <c r="X107"/>
  <c r="V107"/>
  <c r="T107"/>
  <c r="AH106"/>
  <c r="AF106"/>
  <c r="AD106"/>
  <c r="AB106"/>
  <c r="Z106"/>
  <c r="X106"/>
  <c r="V106"/>
  <c r="T106"/>
  <c r="AH105"/>
  <c r="AF105"/>
  <c r="AD105"/>
  <c r="AB105"/>
  <c r="Z105"/>
  <c r="X105"/>
  <c r="V105"/>
  <c r="T105"/>
  <c r="AH104"/>
  <c r="AF104"/>
  <c r="AD104"/>
  <c r="AB104"/>
  <c r="Z104"/>
  <c r="X104"/>
  <c r="V104"/>
  <c r="T104"/>
  <c r="AH103"/>
  <c r="AF103"/>
  <c r="AD103"/>
  <c r="AB103"/>
  <c r="Z103"/>
  <c r="X103"/>
  <c r="V103"/>
  <c r="T103"/>
  <c r="AH102"/>
  <c r="AF102"/>
  <c r="AD102"/>
  <c r="AB102"/>
  <c r="Z102"/>
  <c r="X102"/>
  <c r="V102"/>
  <c r="T102"/>
  <c r="AH101"/>
  <c r="AF101"/>
  <c r="AD101"/>
  <c r="AB101"/>
  <c r="X101"/>
  <c r="T101"/>
  <c r="AI107"/>
  <c r="AG107"/>
  <c r="AE107"/>
  <c r="AC107"/>
  <c r="AA107"/>
  <c r="Y107"/>
  <c r="W107"/>
  <c r="U107"/>
  <c r="AI106"/>
  <c r="AG106"/>
  <c r="AE106"/>
  <c r="AC106"/>
  <c r="AA106"/>
  <c r="Y106"/>
  <c r="W106"/>
  <c r="U106"/>
  <c r="AI105"/>
  <c r="AG105"/>
  <c r="AE105"/>
  <c r="AC105"/>
  <c r="AA105"/>
  <c r="Y105"/>
  <c r="W105"/>
  <c r="U105"/>
  <c r="AI104"/>
  <c r="AG104"/>
  <c r="AE104"/>
  <c r="AC104"/>
  <c r="AA104"/>
  <c r="Y104"/>
  <c r="W104"/>
  <c r="U104"/>
  <c r="AI103"/>
  <c r="AG103"/>
  <c r="AE103"/>
  <c r="AC103"/>
  <c r="AA103"/>
  <c r="Y103"/>
  <c r="W103"/>
  <c r="U103"/>
  <c r="AI102"/>
  <c r="AG102"/>
  <c r="AE102"/>
  <c r="AC102"/>
  <c r="AA102"/>
  <c r="Y102"/>
  <c r="W102"/>
  <c r="U102"/>
  <c r="AI101"/>
  <c r="AG101"/>
  <c r="AE101"/>
  <c r="AC101"/>
  <c r="AA101"/>
  <c r="Y101"/>
  <c r="W101"/>
  <c r="U101"/>
  <c r="Z101"/>
  <c r="V101"/>
  <c r="AH100"/>
  <c r="AF100"/>
  <c r="AD100"/>
  <c r="AB100"/>
  <c r="Z100"/>
  <c r="X100"/>
  <c r="V100"/>
  <c r="T100"/>
  <c r="AH99"/>
  <c r="AF99"/>
  <c r="AD99"/>
  <c r="AB99"/>
  <c r="Z99"/>
  <c r="X99"/>
  <c r="V99"/>
  <c r="T99"/>
  <c r="AH98"/>
  <c r="AF98"/>
  <c r="AD98"/>
  <c r="AB98"/>
  <c r="Z98"/>
  <c r="X98"/>
  <c r="V98"/>
  <c r="T98"/>
  <c r="AH97"/>
  <c r="AF97"/>
  <c r="AD97"/>
  <c r="AB97"/>
  <c r="Z97"/>
  <c r="X97"/>
  <c r="V97"/>
  <c r="T97"/>
  <c r="AH96"/>
  <c r="AF96"/>
  <c r="AD96"/>
  <c r="AB96"/>
  <c r="Z96"/>
  <c r="X96"/>
  <c r="V96"/>
  <c r="T96"/>
  <c r="AH95"/>
  <c r="AF95"/>
  <c r="AD95"/>
  <c r="AB95"/>
  <c r="Z95"/>
  <c r="X95"/>
  <c r="V95"/>
  <c r="T95"/>
  <c r="AF94"/>
  <c r="AB94"/>
  <c r="X94"/>
  <c r="T94"/>
  <c r="AI100"/>
  <c r="AG100"/>
  <c r="AE100"/>
  <c r="AC100"/>
  <c r="AA100"/>
  <c r="Y100"/>
  <c r="W100"/>
  <c r="U100"/>
  <c r="AI99"/>
  <c r="AG99"/>
  <c r="AE99"/>
  <c r="AC99"/>
  <c r="AA99"/>
  <c r="Y99"/>
  <c r="W99"/>
  <c r="U99"/>
  <c r="AI98"/>
  <c r="AG98"/>
  <c r="AE98"/>
  <c r="AC98"/>
  <c r="AA98"/>
  <c r="Y98"/>
  <c r="W98"/>
  <c r="U98"/>
  <c r="AI97"/>
  <c r="AG97"/>
  <c r="AE97"/>
  <c r="AC97"/>
  <c r="AA97"/>
  <c r="Y97"/>
  <c r="W97"/>
  <c r="U97"/>
  <c r="AI96"/>
  <c r="AG96"/>
  <c r="AE96"/>
  <c r="AC96"/>
  <c r="AA96"/>
  <c r="Y96"/>
  <c r="W96"/>
  <c r="U96"/>
  <c r="AI95"/>
  <c r="AG95"/>
  <c r="AE95"/>
  <c r="AC95"/>
  <c r="AA95"/>
  <c r="Y95"/>
  <c r="W95"/>
  <c r="U95"/>
  <c r="AI94"/>
  <c r="AG94"/>
  <c r="AE94"/>
  <c r="AC94"/>
  <c r="AA94"/>
  <c r="Y94"/>
  <c r="W94"/>
  <c r="U94"/>
  <c r="AH94"/>
  <c r="AD94"/>
  <c r="Z94"/>
  <c r="V94"/>
  <c r="AH93"/>
  <c r="AF93"/>
  <c r="AD93"/>
  <c r="AB93"/>
  <c r="Z93"/>
  <c r="X93"/>
  <c r="V93"/>
  <c r="T93"/>
  <c r="AH92"/>
  <c r="AF92"/>
  <c r="AD92"/>
  <c r="AB92"/>
  <c r="Z92"/>
  <c r="X92"/>
  <c r="V92"/>
  <c r="T92"/>
  <c r="AH91"/>
  <c r="AF91"/>
  <c r="AD91"/>
  <c r="AB91"/>
  <c r="Z91"/>
  <c r="X91"/>
  <c r="V91"/>
  <c r="T91"/>
  <c r="AH90"/>
  <c r="AF90"/>
  <c r="AD90"/>
  <c r="AB90"/>
  <c r="Z90"/>
  <c r="X90"/>
  <c r="V90"/>
  <c r="T90"/>
  <c r="AH89"/>
  <c r="AF89"/>
  <c r="AD89"/>
  <c r="AB89"/>
  <c r="Z89"/>
  <c r="X89"/>
  <c r="V89"/>
  <c r="T89"/>
  <c r="AH88"/>
  <c r="AF88"/>
  <c r="AD88"/>
  <c r="AB88"/>
  <c r="Z88"/>
  <c r="X88"/>
  <c r="V88"/>
  <c r="T88"/>
  <c r="AH87"/>
  <c r="AF87"/>
  <c r="AD87"/>
  <c r="AB87"/>
  <c r="X87"/>
  <c r="T87"/>
  <c r="AI93"/>
  <c r="AG93"/>
  <c r="AE93"/>
  <c r="AC93"/>
  <c r="AA93"/>
  <c r="Y93"/>
  <c r="W93"/>
  <c r="U93"/>
  <c r="AI92"/>
  <c r="AG92"/>
  <c r="AE92"/>
  <c r="AC92"/>
  <c r="AA92"/>
  <c r="Y92"/>
  <c r="W92"/>
  <c r="U92"/>
  <c r="AI91"/>
  <c r="AG91"/>
  <c r="AE91"/>
  <c r="AC91"/>
  <c r="AA91"/>
  <c r="Y91"/>
  <c r="W91"/>
  <c r="U91"/>
  <c r="AI90"/>
  <c r="AG90"/>
  <c r="AE90"/>
  <c r="AC90"/>
  <c r="AA90"/>
  <c r="Y90"/>
  <c r="W90"/>
  <c r="U90"/>
  <c r="AI89"/>
  <c r="AG89"/>
  <c r="AE89"/>
  <c r="AC89"/>
  <c r="AA89"/>
  <c r="Y89"/>
  <c r="W89"/>
  <c r="U89"/>
  <c r="AI88"/>
  <c r="AG88"/>
  <c r="AE88"/>
  <c r="AC88"/>
  <c r="AA88"/>
  <c r="Y88"/>
  <c r="W88"/>
  <c r="U88"/>
  <c r="AI87"/>
  <c r="AG87"/>
  <c r="AE87"/>
  <c r="AC87"/>
  <c r="AA87"/>
  <c r="Y87"/>
  <c r="W87"/>
  <c r="U87"/>
  <c r="Z87"/>
  <c r="V87"/>
  <c r="AH86"/>
  <c r="AF86"/>
  <c r="AD86"/>
  <c r="AB86"/>
  <c r="Z86"/>
  <c r="X86"/>
  <c r="V86"/>
  <c r="T86"/>
  <c r="AH85"/>
  <c r="AF85"/>
  <c r="AD85"/>
  <c r="AB85"/>
  <c r="Z85"/>
  <c r="X85"/>
  <c r="V85"/>
  <c r="T85"/>
  <c r="AH84"/>
  <c r="AF84"/>
  <c r="AD84"/>
  <c r="AB84"/>
  <c r="Z84"/>
  <c r="X84"/>
  <c r="V84"/>
  <c r="T84"/>
  <c r="AH83"/>
  <c r="AF83"/>
  <c r="AD83"/>
  <c r="AB83"/>
  <c r="Z83"/>
  <c r="X83"/>
  <c r="V83"/>
  <c r="T83"/>
  <c r="AH82"/>
  <c r="AF82"/>
  <c r="AD82"/>
  <c r="AB82"/>
  <c r="Z82"/>
  <c r="X82"/>
  <c r="V82"/>
  <c r="T82"/>
  <c r="AH81"/>
  <c r="AF81"/>
  <c r="AD81"/>
  <c r="AB81"/>
  <c r="Z81"/>
  <c r="X81"/>
  <c r="T81"/>
  <c r="AH80"/>
  <c r="AB80"/>
  <c r="X80"/>
  <c r="T80"/>
  <c r="AI86"/>
  <c r="AG86"/>
  <c r="AE86"/>
  <c r="AC86"/>
  <c r="AA86"/>
  <c r="Y86"/>
  <c r="W86"/>
  <c r="U86"/>
  <c r="AI85"/>
  <c r="AG85"/>
  <c r="AE85"/>
  <c r="AC85"/>
  <c r="AA85"/>
  <c r="Y85"/>
  <c r="W85"/>
  <c r="U85"/>
  <c r="AI84"/>
  <c r="AG84"/>
  <c r="AE84"/>
  <c r="AC84"/>
  <c r="AA84"/>
  <c r="Y84"/>
  <c r="W84"/>
  <c r="U84"/>
  <c r="AI83"/>
  <c r="AG83"/>
  <c r="AE83"/>
  <c r="AC83"/>
  <c r="AA83"/>
  <c r="Y83"/>
  <c r="W83"/>
  <c r="U83"/>
  <c r="AI82"/>
  <c r="AG82"/>
  <c r="AE82"/>
  <c r="AC82"/>
  <c r="AA82"/>
  <c r="Y82"/>
  <c r="W82"/>
  <c r="U82"/>
  <c r="AI81"/>
  <c r="AG81"/>
  <c r="AE81"/>
  <c r="AC81"/>
  <c r="AA81"/>
  <c r="Y81"/>
  <c r="W81"/>
  <c r="U81"/>
  <c r="AI80"/>
  <c r="AG80"/>
  <c r="AE80"/>
  <c r="AC80"/>
  <c r="AA80"/>
  <c r="Y80"/>
  <c r="W80"/>
  <c r="U80"/>
  <c r="V81"/>
  <c r="AF80"/>
  <c r="AD80"/>
  <c r="Z80"/>
  <c r="V80"/>
  <c r="AH79"/>
  <c r="AF79"/>
  <c r="AD79"/>
  <c r="AB79"/>
  <c r="Z79"/>
  <c r="X79"/>
  <c r="V79"/>
  <c r="T79"/>
  <c r="AH78"/>
  <c r="AF78"/>
  <c r="AD78"/>
  <c r="AB78"/>
  <c r="Z78"/>
  <c r="X78"/>
  <c r="V78"/>
  <c r="T78"/>
  <c r="AH77"/>
  <c r="AF77"/>
  <c r="AD77"/>
  <c r="AB77"/>
  <c r="Z77"/>
  <c r="X77"/>
  <c r="V77"/>
  <c r="T77"/>
  <c r="AH76"/>
  <c r="AF76"/>
  <c r="AD76"/>
  <c r="AB76"/>
  <c r="Z76"/>
  <c r="X76"/>
  <c r="V76"/>
  <c r="T76"/>
  <c r="AH75"/>
  <c r="AF75"/>
  <c r="AD75"/>
  <c r="AB75"/>
  <c r="Z75"/>
  <c r="X75"/>
  <c r="V75"/>
  <c r="T75"/>
  <c r="AH74"/>
  <c r="AF74"/>
  <c r="AD74"/>
  <c r="AB74"/>
  <c r="Z74"/>
  <c r="X74"/>
  <c r="V74"/>
  <c r="T74"/>
  <c r="AF73"/>
  <c r="AB73"/>
  <c r="X73"/>
  <c r="T73"/>
  <c r="AI79"/>
  <c r="AG79"/>
  <c r="AE79"/>
  <c r="AC79"/>
  <c r="AA79"/>
  <c r="Y79"/>
  <c r="W79"/>
  <c r="U79"/>
  <c r="AI78"/>
  <c r="AG78"/>
  <c r="AE78"/>
  <c r="AC78"/>
  <c r="AA78"/>
  <c r="Y78"/>
  <c r="W78"/>
  <c r="U78"/>
  <c r="AI77"/>
  <c r="AG77"/>
  <c r="AE77"/>
  <c r="AC77"/>
  <c r="AA77"/>
  <c r="Y77"/>
  <c r="W77"/>
  <c r="U77"/>
  <c r="AI76"/>
  <c r="AG76"/>
  <c r="AE76"/>
  <c r="AC76"/>
  <c r="AA76"/>
  <c r="Y76"/>
  <c r="W76"/>
  <c r="U76"/>
  <c r="AI75"/>
  <c r="AG75"/>
  <c r="AE75"/>
  <c r="AC75"/>
  <c r="AA75"/>
  <c r="Y75"/>
  <c r="W75"/>
  <c r="U75"/>
  <c r="AI74"/>
  <c r="AG74"/>
  <c r="AE74"/>
  <c r="AC74"/>
  <c r="AA74"/>
  <c r="Y74"/>
  <c r="W74"/>
  <c r="U74"/>
  <c r="AI73"/>
  <c r="AG73"/>
  <c r="AE73"/>
  <c r="AC73"/>
  <c r="AA73"/>
  <c r="Y73"/>
  <c r="W73"/>
  <c r="U73"/>
  <c r="AH73"/>
  <c r="AD73"/>
  <c r="Z73"/>
  <c r="V73"/>
  <c r="AH72"/>
  <c r="AF72"/>
  <c r="AD72"/>
  <c r="AB72"/>
  <c r="Z72"/>
  <c r="X72"/>
  <c r="V72"/>
  <c r="T72"/>
  <c r="AH71"/>
  <c r="AF71"/>
  <c r="AD71"/>
  <c r="AB71"/>
  <c r="Z71"/>
  <c r="X71"/>
  <c r="V71"/>
  <c r="T71"/>
  <c r="AH70"/>
  <c r="AF70"/>
  <c r="AD70"/>
  <c r="AB70"/>
  <c r="Z70"/>
  <c r="X70"/>
  <c r="V70"/>
  <c r="T70"/>
  <c r="AH69"/>
  <c r="AF69"/>
  <c r="AD69"/>
  <c r="AB69"/>
  <c r="Z69"/>
  <c r="X69"/>
  <c r="V69"/>
  <c r="T69"/>
  <c r="AH68"/>
  <c r="AF68"/>
  <c r="AD68"/>
  <c r="AB68"/>
  <c r="Z68"/>
  <c r="X68"/>
  <c r="V68"/>
  <c r="T68"/>
  <c r="AH67"/>
  <c r="AF67"/>
  <c r="AD67"/>
  <c r="AB67"/>
  <c r="Z67"/>
  <c r="V67"/>
  <c r="AH66"/>
  <c r="AB66"/>
  <c r="V66"/>
  <c r="AI72"/>
  <c r="AG72"/>
  <c r="AE72"/>
  <c r="AC72"/>
  <c r="AA72"/>
  <c r="Y72"/>
  <c r="W72"/>
  <c r="U72"/>
  <c r="AI71"/>
  <c r="AG71"/>
  <c r="AE71"/>
  <c r="AC71"/>
  <c r="AA71"/>
  <c r="Y71"/>
  <c r="W71"/>
  <c r="U71"/>
  <c r="AI70"/>
  <c r="AG70"/>
  <c r="AE70"/>
  <c r="AC70"/>
  <c r="AA70"/>
  <c r="Y70"/>
  <c r="W70"/>
  <c r="U70"/>
  <c r="AI69"/>
  <c r="AG69"/>
  <c r="AE69"/>
  <c r="AC69"/>
  <c r="AA69"/>
  <c r="Y69"/>
  <c r="W69"/>
  <c r="U69"/>
  <c r="AI68"/>
  <c r="AG68"/>
  <c r="AE68"/>
  <c r="AC68"/>
  <c r="AA68"/>
  <c r="Y68"/>
  <c r="W68"/>
  <c r="U68"/>
  <c r="AI67"/>
  <c r="AG67"/>
  <c r="AE67"/>
  <c r="AC67"/>
  <c r="AA67"/>
  <c r="Y67"/>
  <c r="W67"/>
  <c r="U67"/>
  <c r="AI66"/>
  <c r="AG66"/>
  <c r="AE66"/>
  <c r="AC66"/>
  <c r="AA66"/>
  <c r="Y66"/>
  <c r="W66"/>
  <c r="U66"/>
  <c r="X67"/>
  <c r="T67"/>
  <c r="AF66"/>
  <c r="AD66"/>
  <c r="Z66"/>
  <c r="X66"/>
  <c r="T66"/>
  <c r="AH65"/>
  <c r="AF65"/>
  <c r="AD65"/>
  <c r="AB65"/>
  <c r="Z65"/>
  <c r="X65"/>
  <c r="V65"/>
  <c r="T65"/>
  <c r="AH64"/>
  <c r="AF64"/>
  <c r="AD64"/>
  <c r="AB64"/>
  <c r="Z64"/>
  <c r="X64"/>
  <c r="V64"/>
  <c r="T64"/>
  <c r="AH63"/>
  <c r="AF63"/>
  <c r="AD63"/>
  <c r="AB63"/>
  <c r="Z63"/>
  <c r="X63"/>
  <c r="V63"/>
  <c r="T63"/>
  <c r="AH62"/>
  <c r="AF62"/>
  <c r="AD62"/>
  <c r="AB62"/>
  <c r="Z62"/>
  <c r="X62"/>
  <c r="V62"/>
  <c r="T62"/>
  <c r="AH61"/>
  <c r="AF61"/>
  <c r="AD61"/>
  <c r="AB61"/>
  <c r="Z61"/>
  <c r="X61"/>
  <c r="V61"/>
  <c r="T61"/>
  <c r="AH60"/>
  <c r="AF60"/>
  <c r="AD60"/>
  <c r="AB60"/>
  <c r="Z60"/>
  <c r="X60"/>
  <c r="V60"/>
  <c r="T60"/>
  <c r="AH59"/>
  <c r="AF59"/>
  <c r="AD59"/>
  <c r="AB59"/>
  <c r="Z59"/>
  <c r="X59"/>
  <c r="V59"/>
  <c r="T59"/>
  <c r="AE59"/>
  <c r="AA59"/>
  <c r="W59"/>
  <c r="AI65"/>
  <c r="AG65"/>
  <c r="AE65"/>
  <c r="AC65"/>
  <c r="AA65"/>
  <c r="Y65"/>
  <c r="W65"/>
  <c r="U65"/>
  <c r="AI64"/>
  <c r="AG64"/>
  <c r="AE64"/>
  <c r="AC64"/>
  <c r="AA64"/>
  <c r="Y64"/>
  <c r="W64"/>
  <c r="U64"/>
  <c r="AI63"/>
  <c r="AG63"/>
  <c r="AE63"/>
  <c r="AC63"/>
  <c r="AA63"/>
  <c r="Y63"/>
  <c r="W63"/>
  <c r="U63"/>
  <c r="AI62"/>
  <c r="AG62"/>
  <c r="AE62"/>
  <c r="AC62"/>
  <c r="AA62"/>
  <c r="Y62"/>
  <c r="W62"/>
  <c r="U62"/>
  <c r="AI61"/>
  <c r="AG61"/>
  <c r="AE61"/>
  <c r="AC61"/>
  <c r="AA61"/>
  <c r="Y61"/>
  <c r="W61"/>
  <c r="U61"/>
  <c r="AI60"/>
  <c r="AG60"/>
  <c r="AE60"/>
  <c r="AC60"/>
  <c r="AA60"/>
  <c r="Y60"/>
  <c r="W60"/>
  <c r="U60"/>
  <c r="AI59"/>
  <c r="AG59"/>
  <c r="AC59"/>
  <c r="Y59"/>
  <c r="U59"/>
  <c r="AH58"/>
  <c r="AF58"/>
  <c r="AD58"/>
  <c r="AB58"/>
  <c r="Z58"/>
  <c r="X58"/>
  <c r="V58"/>
  <c r="T58"/>
  <c r="AH57"/>
  <c r="AF57"/>
  <c r="AD57"/>
  <c r="AB57"/>
  <c r="Z57"/>
  <c r="X57"/>
  <c r="V57"/>
  <c r="T57"/>
  <c r="AH56"/>
  <c r="AF56"/>
  <c r="AD56"/>
  <c r="AB56"/>
  <c r="Z56"/>
  <c r="X56"/>
  <c r="V56"/>
  <c r="T56"/>
  <c r="AH55"/>
  <c r="AF55"/>
  <c r="AD55"/>
  <c r="AB55"/>
  <c r="Z55"/>
  <c r="X55"/>
  <c r="V55"/>
  <c r="T55"/>
  <c r="AH54"/>
  <c r="AF54"/>
  <c r="AD54"/>
  <c r="AB54"/>
  <c r="Z54"/>
  <c r="X54"/>
  <c r="V54"/>
  <c r="T54"/>
  <c r="AH53"/>
  <c r="AF53"/>
  <c r="AD53"/>
  <c r="AB53"/>
  <c r="Z53"/>
  <c r="X53"/>
  <c r="V53"/>
  <c r="T53"/>
  <c r="AH52"/>
  <c r="AF52"/>
  <c r="AD52"/>
  <c r="Z52"/>
  <c r="T52"/>
  <c r="AI58"/>
  <c r="AG58"/>
  <c r="AE58"/>
  <c r="AC58"/>
  <c r="AA58"/>
  <c r="Y58"/>
  <c r="W58"/>
  <c r="U58"/>
  <c r="AI57"/>
  <c r="AG57"/>
  <c r="AE57"/>
  <c r="AC57"/>
  <c r="AA57"/>
  <c r="Y57"/>
  <c r="W57"/>
  <c r="U57"/>
  <c r="AI56"/>
  <c r="AG56"/>
  <c r="AE56"/>
  <c r="AC56"/>
  <c r="AA56"/>
  <c r="Y56"/>
  <c r="W56"/>
  <c r="U56"/>
  <c r="AI55"/>
  <c r="AG55"/>
  <c r="AE55"/>
  <c r="AC55"/>
  <c r="AA55"/>
  <c r="Y55"/>
  <c r="W55"/>
  <c r="U55"/>
  <c r="AI54"/>
  <c r="AG54"/>
  <c r="AE54"/>
  <c r="AC54"/>
  <c r="AA54"/>
  <c r="Y54"/>
  <c r="W54"/>
  <c r="U54"/>
  <c r="AI53"/>
  <c r="AG53"/>
  <c r="AE53"/>
  <c r="AC53"/>
  <c r="AA53"/>
  <c r="Y53"/>
  <c r="W53"/>
  <c r="U53"/>
  <c r="AI52"/>
  <c r="AG52"/>
  <c r="AE52"/>
  <c r="AC52"/>
  <c r="AA52"/>
  <c r="Y52"/>
  <c r="W52"/>
  <c r="U52"/>
  <c r="AB52"/>
  <c r="X52"/>
  <c r="V52"/>
  <c r="AH51"/>
  <c r="AF51"/>
  <c r="AD51"/>
  <c r="AB51"/>
  <c r="Z51"/>
  <c r="X51"/>
  <c r="V51"/>
  <c r="T51"/>
  <c r="AH50"/>
  <c r="AF50"/>
  <c r="AD50"/>
  <c r="AB50"/>
  <c r="Z50"/>
  <c r="X50"/>
  <c r="V50"/>
  <c r="T50"/>
  <c r="AH49"/>
  <c r="AF49"/>
  <c r="AD49"/>
  <c r="AB49"/>
  <c r="Z49"/>
  <c r="X49"/>
  <c r="V49"/>
  <c r="T49"/>
  <c r="AH48"/>
  <c r="AF48"/>
  <c r="AD48"/>
  <c r="AB48"/>
  <c r="Z48"/>
  <c r="X48"/>
  <c r="V48"/>
  <c r="T48"/>
  <c r="AH47"/>
  <c r="AF47"/>
  <c r="AD47"/>
  <c r="AB47"/>
  <c r="Z47"/>
  <c r="X47"/>
  <c r="V47"/>
  <c r="T47"/>
  <c r="AH46"/>
  <c r="AF46"/>
  <c r="AD46"/>
  <c r="AB46"/>
  <c r="Z46"/>
  <c r="X46"/>
  <c r="V46"/>
  <c r="AH45"/>
  <c r="AD45"/>
  <c r="Z45"/>
  <c r="V45"/>
  <c r="AI51"/>
  <c r="AG51"/>
  <c r="AE51"/>
  <c r="AC51"/>
  <c r="AA51"/>
  <c r="Y51"/>
  <c r="W51"/>
  <c r="U51"/>
  <c r="AI50"/>
  <c r="AG50"/>
  <c r="AE50"/>
  <c r="AC50"/>
  <c r="AA50"/>
  <c r="Y50"/>
  <c r="W50"/>
  <c r="U50"/>
  <c r="AI49"/>
  <c r="AG49"/>
  <c r="AE49"/>
  <c r="AC49"/>
  <c r="AA49"/>
  <c r="Y49"/>
  <c r="W49"/>
  <c r="U49"/>
  <c r="AI48"/>
  <c r="AG48"/>
  <c r="AE48"/>
  <c r="AC48"/>
  <c r="AA48"/>
  <c r="Y48"/>
  <c r="W48"/>
  <c r="U48"/>
  <c r="AI47"/>
  <c r="AG47"/>
  <c r="AE47"/>
  <c r="AC47"/>
  <c r="AA47"/>
  <c r="Y47"/>
  <c r="W47"/>
  <c r="U47"/>
  <c r="AI46"/>
  <c r="AG46"/>
  <c r="AE46"/>
  <c r="AC46"/>
  <c r="AA46"/>
  <c r="Y46"/>
  <c r="W46"/>
  <c r="U46"/>
  <c r="AI45"/>
  <c r="AG45"/>
  <c r="AE45"/>
  <c r="AC45"/>
  <c r="AA45"/>
  <c r="Y45"/>
  <c r="W45"/>
  <c r="U45"/>
  <c r="T46"/>
  <c r="AF45"/>
  <c r="AB45"/>
  <c r="X45"/>
  <c r="T45"/>
  <c r="AH44"/>
  <c r="AF44"/>
  <c r="AD44"/>
  <c r="AB44"/>
  <c r="Z44"/>
  <c r="X44"/>
  <c r="V44"/>
  <c r="T44"/>
  <c r="AH43"/>
  <c r="AF43"/>
  <c r="AD43"/>
  <c r="AB43"/>
  <c r="Z43"/>
  <c r="X43"/>
  <c r="V43"/>
  <c r="T43"/>
  <c r="AH42"/>
  <c r="AF42"/>
  <c r="AD42"/>
  <c r="AB42"/>
  <c r="Z42"/>
  <c r="X42"/>
  <c r="V42"/>
  <c r="T42"/>
  <c r="AH41"/>
  <c r="AF41"/>
  <c r="AD41"/>
  <c r="AB41"/>
  <c r="Z41"/>
  <c r="X41"/>
  <c r="V41"/>
  <c r="T41"/>
  <c r="AH40"/>
  <c r="AF40"/>
  <c r="AD40"/>
  <c r="AB40"/>
  <c r="Z40"/>
  <c r="X40"/>
  <c r="V40"/>
  <c r="T40"/>
  <c r="AH39"/>
  <c r="AF39"/>
  <c r="AD39"/>
  <c r="AB39"/>
  <c r="Z39"/>
  <c r="V39"/>
  <c r="AF38"/>
  <c r="AB38"/>
  <c r="V38"/>
  <c r="AI44"/>
  <c r="AG44"/>
  <c r="AE44"/>
  <c r="AC44"/>
  <c r="AA44"/>
  <c r="Y44"/>
  <c r="W44"/>
  <c r="U44"/>
  <c r="AI43"/>
  <c r="AG43"/>
  <c r="AE43"/>
  <c r="AC43"/>
  <c r="AA43"/>
  <c r="Y43"/>
  <c r="W43"/>
  <c r="U43"/>
  <c r="AI42"/>
  <c r="AG42"/>
  <c r="AE42"/>
  <c r="AC42"/>
  <c r="AA42"/>
  <c r="Y42"/>
  <c r="W42"/>
  <c r="U42"/>
  <c r="AI41"/>
  <c r="AG41"/>
  <c r="AE41"/>
  <c r="AC41"/>
  <c r="AA41"/>
  <c r="Y41"/>
  <c r="W41"/>
  <c r="U41"/>
  <c r="AI40"/>
  <c r="AG40"/>
  <c r="AE40"/>
  <c r="AC40"/>
  <c r="AA40"/>
  <c r="Y40"/>
  <c r="W40"/>
  <c r="U40"/>
  <c r="AI39"/>
  <c r="AG39"/>
  <c r="AE39"/>
  <c r="AC39"/>
  <c r="AA39"/>
  <c r="Y39"/>
  <c r="W39"/>
  <c r="U39"/>
  <c r="AI38"/>
  <c r="AG38"/>
  <c r="AE38"/>
  <c r="AC38"/>
  <c r="AA38"/>
  <c r="Y38"/>
  <c r="W38"/>
  <c r="U38"/>
  <c r="X39"/>
  <c r="T39"/>
  <c r="AH38"/>
  <c r="AD38"/>
  <c r="Z38"/>
  <c r="X38"/>
  <c r="T38"/>
  <c r="AH37"/>
  <c r="AF37"/>
  <c r="AD37"/>
  <c r="AB37"/>
  <c r="Z37"/>
  <c r="X37"/>
  <c r="V37"/>
  <c r="T37"/>
  <c r="AH36"/>
  <c r="AF36"/>
  <c r="AD36"/>
  <c r="AB36"/>
  <c r="Z36"/>
  <c r="X36"/>
  <c r="V36"/>
  <c r="T36"/>
  <c r="AH35"/>
  <c r="AF35"/>
  <c r="AD35"/>
  <c r="AB35"/>
  <c r="Z35"/>
  <c r="X35"/>
  <c r="V35"/>
  <c r="T35"/>
  <c r="AH34"/>
  <c r="AF34"/>
  <c r="AD34"/>
  <c r="AB34"/>
  <c r="Z34"/>
  <c r="X34"/>
  <c r="V34"/>
  <c r="T34"/>
  <c r="AH33"/>
  <c r="AF33"/>
  <c r="AD33"/>
  <c r="AB33"/>
  <c r="Z33"/>
  <c r="X33"/>
  <c r="V33"/>
  <c r="T33"/>
  <c r="AH32"/>
  <c r="AF32"/>
  <c r="AD32"/>
  <c r="AB32"/>
  <c r="Z32"/>
  <c r="X32"/>
  <c r="V32"/>
  <c r="T32"/>
  <c r="AH31"/>
  <c r="AF31"/>
  <c r="AD31"/>
  <c r="AB31"/>
  <c r="Z31"/>
  <c r="X31"/>
  <c r="V31"/>
  <c r="T31"/>
  <c r="AE33"/>
  <c r="AA33"/>
  <c r="W33"/>
  <c r="AI32"/>
  <c r="AE32"/>
  <c r="AA32"/>
  <c r="W32"/>
  <c r="AI31"/>
  <c r="AE31"/>
  <c r="AA31"/>
  <c r="W31"/>
  <c r="AI37"/>
  <c r="AG37"/>
  <c r="AE37"/>
  <c r="AC37"/>
  <c r="AA37"/>
  <c r="Y37"/>
  <c r="W37"/>
  <c r="U37"/>
  <c r="AI36"/>
  <c r="AG36"/>
  <c r="AE36"/>
  <c r="AC36"/>
  <c r="AA36"/>
  <c r="Y36"/>
  <c r="W36"/>
  <c r="U36"/>
  <c r="AI35"/>
  <c r="AG35"/>
  <c r="AE35"/>
  <c r="AC35"/>
  <c r="AA35"/>
  <c r="Y35"/>
  <c r="W35"/>
  <c r="U35"/>
  <c r="AI34"/>
  <c r="AG34"/>
  <c r="AE34"/>
  <c r="AC34"/>
  <c r="AA34"/>
  <c r="Y34"/>
  <c r="W34"/>
  <c r="U34"/>
  <c r="AI33"/>
  <c r="AG33"/>
  <c r="AC33"/>
  <c r="Y33"/>
  <c r="U33"/>
  <c r="AG32"/>
  <c r="AC32"/>
  <c r="Y32"/>
  <c r="U32"/>
  <c r="AG31"/>
  <c r="AC31"/>
  <c r="Y31"/>
  <c r="U31"/>
  <c r="AH30"/>
  <c r="AF30"/>
  <c r="AD30"/>
  <c r="AB30"/>
  <c r="Z30"/>
  <c r="X30"/>
  <c r="V30"/>
  <c r="T30"/>
  <c r="AH29"/>
  <c r="AF29"/>
  <c r="AD29"/>
  <c r="AB29"/>
  <c r="Z29"/>
  <c r="X29"/>
  <c r="V29"/>
  <c r="T29"/>
  <c r="AH28"/>
  <c r="AF28"/>
  <c r="AD28"/>
  <c r="AB28"/>
  <c r="Z28"/>
  <c r="X28"/>
  <c r="V28"/>
  <c r="T28"/>
  <c r="AH27"/>
  <c r="AF27"/>
  <c r="AD27"/>
  <c r="AB27"/>
  <c r="Z27"/>
  <c r="X27"/>
  <c r="V27"/>
  <c r="T27"/>
  <c r="AH26"/>
  <c r="AF26"/>
  <c r="AD26"/>
  <c r="AB26"/>
  <c r="Z26"/>
  <c r="X26"/>
  <c r="V26"/>
  <c r="T26"/>
  <c r="AH25"/>
  <c r="AF25"/>
  <c r="AD25"/>
  <c r="AB25"/>
  <c r="Z25"/>
  <c r="X25"/>
  <c r="V25"/>
  <c r="T25"/>
  <c r="AH24"/>
  <c r="AF24"/>
  <c r="AD24"/>
  <c r="X24"/>
  <c r="T24"/>
  <c r="AI30"/>
  <c r="AG30"/>
  <c r="AE30"/>
  <c r="AC30"/>
  <c r="AA30"/>
  <c r="Y30"/>
  <c r="W30"/>
  <c r="U30"/>
  <c r="AI29"/>
  <c r="AG29"/>
  <c r="AE29"/>
  <c r="AC29"/>
  <c r="AA29"/>
  <c r="Y29"/>
  <c r="W29"/>
  <c r="U29"/>
  <c r="AI28"/>
  <c r="AG28"/>
  <c r="AE28"/>
  <c r="AC28"/>
  <c r="AA28"/>
  <c r="Y28"/>
  <c r="W28"/>
  <c r="U28"/>
  <c r="AI27"/>
  <c r="AG27"/>
  <c r="AE27"/>
  <c r="AC27"/>
  <c r="AA27"/>
  <c r="Y27"/>
  <c r="W27"/>
  <c r="U27"/>
  <c r="AI26"/>
  <c r="AG26"/>
  <c r="AE26"/>
  <c r="AC26"/>
  <c r="AA26"/>
  <c r="Y26"/>
  <c r="W26"/>
  <c r="U26"/>
  <c r="AI25"/>
  <c r="AG25"/>
  <c r="AE25"/>
  <c r="AC25"/>
  <c r="AA25"/>
  <c r="Y25"/>
  <c r="W25"/>
  <c r="U25"/>
  <c r="AI24"/>
  <c r="AG24"/>
  <c r="AE24"/>
  <c r="AC24"/>
  <c r="AA24"/>
  <c r="Y24"/>
  <c r="W24"/>
  <c r="U24"/>
  <c r="AB24"/>
  <c r="Z24"/>
  <c r="V24"/>
  <c r="AJ128"/>
  <c r="AJ127"/>
  <c r="AJ126"/>
  <c r="AJ125"/>
  <c r="AJ124"/>
  <c r="AJ123"/>
  <c r="AJ122"/>
  <c r="AJ121"/>
  <c r="AJ120"/>
  <c r="AJ119"/>
  <c r="AJ118"/>
  <c r="AJ117"/>
  <c r="AJ116"/>
  <c r="AJ115"/>
  <c r="AJ114"/>
  <c r="AJ113"/>
  <c r="AJ112"/>
  <c r="AJ111"/>
  <c r="AJ110"/>
  <c r="AJ109"/>
  <c r="AJ108"/>
  <c r="AJ107"/>
  <c r="AJ106"/>
  <c r="AJ105"/>
  <c r="AJ104"/>
  <c r="AJ103"/>
  <c r="AJ102"/>
  <c r="AJ101"/>
  <c r="AJ100"/>
  <c r="AJ99"/>
  <c r="AJ98"/>
  <c r="AJ97"/>
  <c r="AJ96"/>
  <c r="AJ95"/>
  <c r="AJ94"/>
  <c r="AJ93"/>
  <c r="AJ92"/>
  <c r="AJ91"/>
  <c r="AJ90"/>
  <c r="AJ89"/>
  <c r="AJ88"/>
  <c r="AJ87"/>
  <c r="AJ86"/>
  <c r="AJ85"/>
  <c r="AJ84"/>
  <c r="AJ83"/>
  <c r="AJ82"/>
  <c r="AJ81"/>
  <c r="AJ80"/>
  <c r="AJ79"/>
  <c r="AJ78"/>
  <c r="AJ77"/>
  <c r="AJ76"/>
  <c r="AJ75"/>
  <c r="AJ74"/>
  <c r="AJ73"/>
  <c r="AJ72"/>
  <c r="AJ71"/>
  <c r="AJ70"/>
  <c r="AJ69"/>
  <c r="AJ68"/>
  <c r="AJ67"/>
  <c r="AJ66"/>
  <c r="AJ65"/>
  <c r="AJ64"/>
  <c r="AJ63"/>
  <c r="AJ62"/>
  <c r="AJ61"/>
  <c r="AJ60"/>
  <c r="AJ59"/>
  <c r="AJ58"/>
  <c r="AJ57"/>
  <c r="AJ56"/>
  <c r="AJ55"/>
  <c r="AJ54"/>
  <c r="AJ53"/>
  <c r="AJ52"/>
  <c r="AJ51"/>
  <c r="AJ50"/>
  <c r="AJ49"/>
  <c r="AJ48"/>
  <c r="AJ47"/>
  <c r="AJ46"/>
  <c r="AJ45"/>
  <c r="AJ44"/>
  <c r="AJ43"/>
  <c r="AJ42"/>
  <c r="AJ41"/>
  <c r="AJ40"/>
  <c r="AJ39"/>
  <c r="AJ38"/>
  <c r="AJ37"/>
  <c r="AJ36"/>
  <c r="AJ35"/>
  <c r="AJ34"/>
  <c r="AJ33"/>
  <c r="AJ32"/>
  <c r="AJ31"/>
  <c r="AJ30"/>
  <c r="AJ29"/>
  <c r="AJ28"/>
  <c r="AJ27"/>
  <c r="AJ26"/>
  <c r="AJ25"/>
  <c r="AJ24"/>
  <c r="AJ23"/>
  <c r="AJ22"/>
  <c r="AJ21"/>
  <c r="AJ20"/>
  <c r="AJ19"/>
  <c r="AJ18"/>
  <c r="AJ17"/>
  <c r="AI23"/>
  <c r="AI22"/>
  <c r="AI21"/>
  <c r="AI20"/>
  <c r="AI19"/>
  <c r="AI18"/>
  <c r="AI17"/>
  <c r="AH23"/>
  <c r="AH22"/>
  <c r="AH21"/>
  <c r="AH20"/>
  <c r="AH19"/>
  <c r="AH18"/>
  <c r="AH17"/>
  <c r="AG23"/>
  <c r="AG22"/>
  <c r="AG21"/>
  <c r="AG20"/>
  <c r="AG19"/>
  <c r="AG18"/>
  <c r="AG17"/>
  <c r="AF23"/>
  <c r="AF22"/>
  <c r="AF21"/>
  <c r="AF20"/>
  <c r="AF19"/>
  <c r="AF18"/>
  <c r="AF17"/>
  <c r="AE23"/>
  <c r="AE22"/>
  <c r="AE21"/>
  <c r="AE20"/>
  <c r="AE19"/>
  <c r="AE18"/>
  <c r="AE17"/>
  <c r="AD23"/>
  <c r="AD22"/>
  <c r="AD21"/>
  <c r="AD20"/>
  <c r="AD19"/>
  <c r="AD18"/>
  <c r="AD17"/>
  <c r="AC23"/>
  <c r="AC22"/>
  <c r="AC21"/>
  <c r="AC20"/>
  <c r="AC19"/>
  <c r="AC18"/>
  <c r="AC17"/>
  <c r="AB23"/>
  <c r="AB22"/>
  <c r="AB21"/>
  <c r="AB20"/>
  <c r="AB19"/>
  <c r="AB18"/>
  <c r="AB17"/>
  <c r="AA23"/>
  <c r="AA22"/>
  <c r="AA21"/>
  <c r="AA20"/>
  <c r="AA19"/>
  <c r="AA18"/>
  <c r="AA17"/>
  <c r="AF17" i="21"/>
  <c r="AF16"/>
  <c r="AF15"/>
  <c r="AF14"/>
  <c r="AF13"/>
  <c r="AF12"/>
  <c r="AF11"/>
  <c r="AE17"/>
  <c r="AE16"/>
  <c r="AE15"/>
  <c r="AE14"/>
  <c r="AE13"/>
  <c r="AE12"/>
  <c r="AE11"/>
  <c r="AD17"/>
  <c r="AD16"/>
  <c r="AD15"/>
  <c r="AD14"/>
  <c r="AD13"/>
  <c r="AD12"/>
  <c r="AD11"/>
  <c r="AD18"/>
  <c r="AC17"/>
  <c r="AC16"/>
  <c r="AC15"/>
  <c r="AC14"/>
  <c r="AC13"/>
  <c r="AC12"/>
  <c r="AC11"/>
  <c r="AB17"/>
  <c r="AB16"/>
  <c r="AB15"/>
  <c r="AB14"/>
  <c r="AB13"/>
  <c r="AB12"/>
  <c r="AB11"/>
  <c r="AB18"/>
  <c r="AA17"/>
  <c r="AA16"/>
  <c r="AA15"/>
  <c r="AA14"/>
  <c r="AA13"/>
  <c r="AA12"/>
  <c r="AA11"/>
  <c r="T11"/>
  <c r="U11"/>
  <c r="V11"/>
  <c r="W11"/>
  <c r="X11"/>
  <c r="Y11"/>
  <c r="Z11"/>
  <c r="AG11"/>
  <c r="AH11"/>
  <c r="AI11"/>
  <c r="AJ11"/>
  <c r="T12"/>
  <c r="U12"/>
  <c r="V12"/>
  <c r="W12"/>
  <c r="X12"/>
  <c r="Y12"/>
  <c r="Z12"/>
  <c r="AG12"/>
  <c r="AH12"/>
  <c r="AI12"/>
  <c r="AJ12"/>
  <c r="T13"/>
  <c r="U13"/>
  <c r="V13"/>
  <c r="W13"/>
  <c r="X13"/>
  <c r="Y13"/>
  <c r="Z13"/>
  <c r="AG13"/>
  <c r="AH13"/>
  <c r="AI13"/>
  <c r="AJ13"/>
  <c r="T14"/>
  <c r="U14"/>
  <c r="V14"/>
  <c r="W14"/>
  <c r="X14"/>
  <c r="Y14"/>
  <c r="Z14"/>
  <c r="AG14"/>
  <c r="AH14"/>
  <c r="AI14"/>
  <c r="AJ14"/>
  <c r="T15"/>
  <c r="U15"/>
  <c r="V15"/>
  <c r="W15"/>
  <c r="X15"/>
  <c r="Y15"/>
  <c r="Z15"/>
  <c r="AG15"/>
  <c r="AH15"/>
  <c r="AI15"/>
  <c r="AJ15"/>
  <c r="T16"/>
  <c r="U16"/>
  <c r="V16"/>
  <c r="W16"/>
  <c r="X16"/>
  <c r="Y16"/>
  <c r="Z16"/>
  <c r="AG16"/>
  <c r="AH16"/>
  <c r="AI16"/>
  <c r="AJ16"/>
  <c r="T17"/>
  <c r="U17"/>
  <c r="V17"/>
  <c r="W17"/>
  <c r="X17"/>
  <c r="Y17"/>
  <c r="Z17"/>
  <c r="AG17"/>
  <c r="AH17"/>
  <c r="AI17"/>
  <c r="AJ17"/>
  <c r="AI129"/>
  <c r="AG129"/>
  <c r="AE129"/>
  <c r="Y129"/>
  <c r="W129"/>
  <c r="U129"/>
  <c r="AJ128"/>
  <c r="AH128"/>
  <c r="AF128"/>
  <c r="Z128"/>
  <c r="X128"/>
  <c r="V128"/>
  <c r="T128"/>
  <c r="AI127"/>
  <c r="AG127"/>
  <c r="AE127"/>
  <c r="Y127"/>
  <c r="W127"/>
  <c r="U127"/>
  <c r="AJ126"/>
  <c r="AH126"/>
  <c r="AF126"/>
  <c r="Z126"/>
  <c r="X126"/>
  <c r="V126"/>
  <c r="T126"/>
  <c r="AI125"/>
  <c r="AG125"/>
  <c r="AE125"/>
  <c r="Y125"/>
  <c r="W125"/>
  <c r="U125"/>
  <c r="AJ124"/>
  <c r="AH124"/>
  <c r="AF124"/>
  <c r="Z124"/>
  <c r="X124"/>
  <c r="V124"/>
  <c r="AI123"/>
  <c r="AE123"/>
  <c r="U123"/>
  <c r="AJ129"/>
  <c r="AH129"/>
  <c r="AF129"/>
  <c r="Z129"/>
  <c r="X129"/>
  <c r="V129"/>
  <c r="T129"/>
  <c r="AI128"/>
  <c r="AG128"/>
  <c r="AE128"/>
  <c r="Y128"/>
  <c r="W128"/>
  <c r="U128"/>
  <c r="AJ127"/>
  <c r="AH127"/>
  <c r="AF127"/>
  <c r="Z127"/>
  <c r="X127"/>
  <c r="V127"/>
  <c r="T127"/>
  <c r="AI126"/>
  <c r="AG126"/>
  <c r="AE126"/>
  <c r="Y126"/>
  <c r="W126"/>
  <c r="U126"/>
  <c r="AJ125"/>
  <c r="AH125"/>
  <c r="AF125"/>
  <c r="Z125"/>
  <c r="X125"/>
  <c r="V125"/>
  <c r="T125"/>
  <c r="AI124"/>
  <c r="AG124"/>
  <c r="AE124"/>
  <c r="Y124"/>
  <c r="W124"/>
  <c r="U124"/>
  <c r="AJ123"/>
  <c r="AH123"/>
  <c r="AF123"/>
  <c r="Z123"/>
  <c r="X123"/>
  <c r="V123"/>
  <c r="T123"/>
  <c r="T124"/>
  <c r="AG123"/>
  <c r="Y123"/>
  <c r="W123"/>
  <c r="AI122"/>
  <c r="AG122"/>
  <c r="AE122"/>
  <c r="Y122"/>
  <c r="W122"/>
  <c r="U122"/>
  <c r="AJ121"/>
  <c r="AH121"/>
  <c r="AF121"/>
  <c r="Z121"/>
  <c r="X121"/>
  <c r="V121"/>
  <c r="T121"/>
  <c r="AI120"/>
  <c r="AG120"/>
  <c r="AE120"/>
  <c r="Y120"/>
  <c r="W120"/>
  <c r="U120"/>
  <c r="AJ119"/>
  <c r="AH119"/>
  <c r="AF119"/>
  <c r="Z119"/>
  <c r="X119"/>
  <c r="V119"/>
  <c r="T119"/>
  <c r="AI118"/>
  <c r="AG118"/>
  <c r="AE118"/>
  <c r="Y118"/>
  <c r="W118"/>
  <c r="U118"/>
  <c r="AJ117"/>
  <c r="AH117"/>
  <c r="AF117"/>
  <c r="X117"/>
  <c r="T117"/>
  <c r="AG116"/>
  <c r="Y116"/>
  <c r="U116"/>
  <c r="AJ122"/>
  <c r="AH122"/>
  <c r="AF122"/>
  <c r="Z122"/>
  <c r="X122"/>
  <c r="V122"/>
  <c r="T122"/>
  <c r="AI121"/>
  <c r="AG121"/>
  <c r="AE121"/>
  <c r="Y121"/>
  <c r="W121"/>
  <c r="U121"/>
  <c r="AJ120"/>
  <c r="AH120"/>
  <c r="AF120"/>
  <c r="Z120"/>
  <c r="X120"/>
  <c r="V120"/>
  <c r="T120"/>
  <c r="AI119"/>
  <c r="AG119"/>
  <c r="AE119"/>
  <c r="Y119"/>
  <c r="W119"/>
  <c r="U119"/>
  <c r="AJ118"/>
  <c r="AH118"/>
  <c r="AF118"/>
  <c r="Z118"/>
  <c r="X118"/>
  <c r="V118"/>
  <c r="T118"/>
  <c r="AI117"/>
  <c r="AG117"/>
  <c r="AE117"/>
  <c r="Y117"/>
  <c r="W117"/>
  <c r="U117"/>
  <c r="AJ116"/>
  <c r="AH116"/>
  <c r="AF116"/>
  <c r="Z116"/>
  <c r="X116"/>
  <c r="V116"/>
  <c r="T116"/>
  <c r="Z117"/>
  <c r="V117"/>
  <c r="AI116"/>
  <c r="AE116"/>
  <c r="W116"/>
  <c r="AI115"/>
  <c r="AG115"/>
  <c r="AE115"/>
  <c r="Y115"/>
  <c r="W115"/>
  <c r="U115"/>
  <c r="AJ114"/>
  <c r="AH114"/>
  <c r="AF114"/>
  <c r="Z114"/>
  <c r="X114"/>
  <c r="V114"/>
  <c r="T114"/>
  <c r="AI113"/>
  <c r="AG113"/>
  <c r="AE113"/>
  <c r="Y113"/>
  <c r="W113"/>
  <c r="U113"/>
  <c r="AJ112"/>
  <c r="AH112"/>
  <c r="AF112"/>
  <c r="Z112"/>
  <c r="X112"/>
  <c r="V112"/>
  <c r="T112"/>
  <c r="AI111"/>
  <c r="AG111"/>
  <c r="AE111"/>
  <c r="Y111"/>
  <c r="W111"/>
  <c r="U111"/>
  <c r="AJ110"/>
  <c r="AH110"/>
  <c r="AF110"/>
  <c r="Z110"/>
  <c r="X110"/>
  <c r="T110"/>
  <c r="AG109"/>
  <c r="Y109"/>
  <c r="U109"/>
  <c r="AJ115"/>
  <c r="AH115"/>
  <c r="AF115"/>
  <c r="Z115"/>
  <c r="X115"/>
  <c r="V115"/>
  <c r="T115"/>
  <c r="AI114"/>
  <c r="AG114"/>
  <c r="AE114"/>
  <c r="Y114"/>
  <c r="W114"/>
  <c r="U114"/>
  <c r="AJ113"/>
  <c r="AH113"/>
  <c r="AF113"/>
  <c r="Z113"/>
  <c r="X113"/>
  <c r="V113"/>
  <c r="T113"/>
  <c r="AI112"/>
  <c r="AG112"/>
  <c r="AE112"/>
  <c r="Y112"/>
  <c r="W112"/>
  <c r="U112"/>
  <c r="AJ111"/>
  <c r="AH111"/>
  <c r="AF111"/>
  <c r="Z111"/>
  <c r="X111"/>
  <c r="V111"/>
  <c r="T111"/>
  <c r="AI110"/>
  <c r="AG110"/>
  <c r="AE110"/>
  <c r="Y110"/>
  <c r="W110"/>
  <c r="U110"/>
  <c r="AJ109"/>
  <c r="AH109"/>
  <c r="AF109"/>
  <c r="Z109"/>
  <c r="X109"/>
  <c r="V109"/>
  <c r="T109"/>
  <c r="V110"/>
  <c r="AI109"/>
  <c r="AE109"/>
  <c r="W109"/>
  <c r="AI108"/>
  <c r="AG108"/>
  <c r="AE108"/>
  <c r="Y108"/>
  <c r="W108"/>
  <c r="U108"/>
  <c r="AJ107"/>
  <c r="AH107"/>
  <c r="AF107"/>
  <c r="Z107"/>
  <c r="X107"/>
  <c r="V107"/>
  <c r="T107"/>
  <c r="AI106"/>
  <c r="AG106"/>
  <c r="AE106"/>
  <c r="Y106"/>
  <c r="W106"/>
  <c r="U106"/>
  <c r="AJ105"/>
  <c r="AH105"/>
  <c r="AF105"/>
  <c r="Z105"/>
  <c r="X105"/>
  <c r="V105"/>
  <c r="T105"/>
  <c r="AI104"/>
  <c r="AG104"/>
  <c r="AE104"/>
  <c r="Y104"/>
  <c r="W104"/>
  <c r="U104"/>
  <c r="AJ103"/>
  <c r="AH103"/>
  <c r="AF103"/>
  <c r="Z103"/>
  <c r="X103"/>
  <c r="V103"/>
  <c r="T103"/>
  <c r="AI102"/>
  <c r="AG102"/>
  <c r="AE102"/>
  <c r="U102"/>
  <c r="AJ108"/>
  <c r="AH108"/>
  <c r="AF108"/>
  <c r="Z108"/>
  <c r="X108"/>
  <c r="V108"/>
  <c r="T108"/>
  <c r="AI107"/>
  <c r="AG107"/>
  <c r="AE107"/>
  <c r="Y107"/>
  <c r="W107"/>
  <c r="U107"/>
  <c r="AJ106"/>
  <c r="AH106"/>
  <c r="AF106"/>
  <c r="Z106"/>
  <c r="X106"/>
  <c r="V106"/>
  <c r="T106"/>
  <c r="AI105"/>
  <c r="AG105"/>
  <c r="AE105"/>
  <c r="Y105"/>
  <c r="W105"/>
  <c r="U105"/>
  <c r="AJ104"/>
  <c r="AH104"/>
  <c r="AF104"/>
  <c r="Z104"/>
  <c r="X104"/>
  <c r="V104"/>
  <c r="T104"/>
  <c r="AI103"/>
  <c r="AG103"/>
  <c r="AE103"/>
  <c r="Y103"/>
  <c r="W103"/>
  <c r="U103"/>
  <c r="AJ102"/>
  <c r="AH102"/>
  <c r="AF102"/>
  <c r="Z102"/>
  <c r="X102"/>
  <c r="V102"/>
  <c r="T102"/>
  <c r="Y102"/>
  <c r="W102"/>
  <c r="AI101"/>
  <c r="AG101"/>
  <c r="AE101"/>
  <c r="Y101"/>
  <c r="W101"/>
  <c r="U101"/>
  <c r="AJ100"/>
  <c r="AH100"/>
  <c r="AF100"/>
  <c r="Z100"/>
  <c r="X100"/>
  <c r="V100"/>
  <c r="T100"/>
  <c r="AI99"/>
  <c r="AG99"/>
  <c r="AE99"/>
  <c r="Y99"/>
  <c r="W99"/>
  <c r="U99"/>
  <c r="AJ98"/>
  <c r="AH98"/>
  <c r="AF98"/>
  <c r="Z98"/>
  <c r="X98"/>
  <c r="V98"/>
  <c r="T98"/>
  <c r="AI97"/>
  <c r="AG97"/>
  <c r="AE97"/>
  <c r="Y97"/>
  <c r="W97"/>
  <c r="U97"/>
  <c r="AJ96"/>
  <c r="AH96"/>
  <c r="AF96"/>
  <c r="Z96"/>
  <c r="V96"/>
  <c r="AI95"/>
  <c r="Y95"/>
  <c r="U95"/>
  <c r="AJ101"/>
  <c r="AH101"/>
  <c r="AF101"/>
  <c r="Z101"/>
  <c r="X101"/>
  <c r="V101"/>
  <c r="T101"/>
  <c r="AI100"/>
  <c r="AG100"/>
  <c r="AE100"/>
  <c r="Y100"/>
  <c r="W100"/>
  <c r="U100"/>
  <c r="AJ99"/>
  <c r="AH99"/>
  <c r="AF99"/>
  <c r="Z99"/>
  <c r="X99"/>
  <c r="V99"/>
  <c r="T99"/>
  <c r="AI98"/>
  <c r="AG98"/>
  <c r="AE98"/>
  <c r="Y98"/>
  <c r="W98"/>
  <c r="U98"/>
  <c r="AJ97"/>
  <c r="AH97"/>
  <c r="AF97"/>
  <c r="Z97"/>
  <c r="X97"/>
  <c r="V97"/>
  <c r="T97"/>
  <c r="AI96"/>
  <c r="AG96"/>
  <c r="AE96"/>
  <c r="Y96"/>
  <c r="W96"/>
  <c r="U96"/>
  <c r="AJ95"/>
  <c r="AH95"/>
  <c r="AF95"/>
  <c r="Z95"/>
  <c r="X95"/>
  <c r="V95"/>
  <c r="T95"/>
  <c r="X96"/>
  <c r="T96"/>
  <c r="AG95"/>
  <c r="AE95"/>
  <c r="W95"/>
  <c r="AI94"/>
  <c r="AG94"/>
  <c r="AE94"/>
  <c r="Y94"/>
  <c r="W94"/>
  <c r="U94"/>
  <c r="AJ93"/>
  <c r="AH93"/>
  <c r="AF93"/>
  <c r="Z93"/>
  <c r="X93"/>
  <c r="V93"/>
  <c r="T93"/>
  <c r="AI92"/>
  <c r="AG92"/>
  <c r="AE92"/>
  <c r="Y92"/>
  <c r="W92"/>
  <c r="U92"/>
  <c r="AJ91"/>
  <c r="AH91"/>
  <c r="AF91"/>
  <c r="Z91"/>
  <c r="X91"/>
  <c r="V91"/>
  <c r="T91"/>
  <c r="AI90"/>
  <c r="AG90"/>
  <c r="AE90"/>
  <c r="Y90"/>
  <c r="W90"/>
  <c r="U90"/>
  <c r="AJ89"/>
  <c r="AH89"/>
  <c r="AF89"/>
  <c r="Z89"/>
  <c r="X89"/>
  <c r="V89"/>
  <c r="T89"/>
  <c r="AG88"/>
  <c r="Y88"/>
  <c r="U88"/>
  <c r="AJ94"/>
  <c r="AH94"/>
  <c r="AF94"/>
  <c r="Z94"/>
  <c r="X94"/>
  <c r="V94"/>
  <c r="T94"/>
  <c r="AI93"/>
  <c r="AG93"/>
  <c r="AE93"/>
  <c r="Y93"/>
  <c r="W93"/>
  <c r="U93"/>
  <c r="AJ92"/>
  <c r="AH92"/>
  <c r="AF92"/>
  <c r="Z92"/>
  <c r="X92"/>
  <c r="V92"/>
  <c r="T92"/>
  <c r="AI91"/>
  <c r="AG91"/>
  <c r="AE91"/>
  <c r="Y91"/>
  <c r="W91"/>
  <c r="U91"/>
  <c r="AJ90"/>
  <c r="AH90"/>
  <c r="AF90"/>
  <c r="Z90"/>
  <c r="X90"/>
  <c r="V90"/>
  <c r="T90"/>
  <c r="AI89"/>
  <c r="AG89"/>
  <c r="AE89"/>
  <c r="Y89"/>
  <c r="W89"/>
  <c r="U89"/>
  <c r="AJ88"/>
  <c r="AH88"/>
  <c r="AF88"/>
  <c r="Z88"/>
  <c r="X88"/>
  <c r="V88"/>
  <c r="T88"/>
  <c r="AI88"/>
  <c r="AE88"/>
  <c r="W88"/>
  <c r="AI87"/>
  <c r="AG87"/>
  <c r="AE87"/>
  <c r="Y87"/>
  <c r="W87"/>
  <c r="U87"/>
  <c r="AJ86"/>
  <c r="AH86"/>
  <c r="AF86"/>
  <c r="Z86"/>
  <c r="X86"/>
  <c r="V86"/>
  <c r="T86"/>
  <c r="AI85"/>
  <c r="AG85"/>
  <c r="AE85"/>
  <c r="Y85"/>
  <c r="W85"/>
  <c r="U85"/>
  <c r="AJ84"/>
  <c r="AH84"/>
  <c r="AF84"/>
  <c r="Z84"/>
  <c r="X84"/>
  <c r="V84"/>
  <c r="T84"/>
  <c r="AI83"/>
  <c r="AG83"/>
  <c r="AE83"/>
  <c r="Y83"/>
  <c r="W83"/>
  <c r="U83"/>
  <c r="AJ82"/>
  <c r="AF82"/>
  <c r="V82"/>
  <c r="AI81"/>
  <c r="AE81"/>
  <c r="U81"/>
  <c r="AJ87"/>
  <c r="AH87"/>
  <c r="AF87"/>
  <c r="Z87"/>
  <c r="X87"/>
  <c r="V87"/>
  <c r="T87"/>
  <c r="AI86"/>
  <c r="AG86"/>
  <c r="AE86"/>
  <c r="Y86"/>
  <c r="W86"/>
  <c r="U86"/>
  <c r="AJ85"/>
  <c r="AH85"/>
  <c r="AF85"/>
  <c r="Z85"/>
  <c r="X85"/>
  <c r="V85"/>
  <c r="T85"/>
  <c r="AI84"/>
  <c r="AG84"/>
  <c r="AE84"/>
  <c r="Y84"/>
  <c r="W84"/>
  <c r="U84"/>
  <c r="AJ83"/>
  <c r="AH83"/>
  <c r="AF83"/>
  <c r="Z83"/>
  <c r="X83"/>
  <c r="V83"/>
  <c r="T83"/>
  <c r="AI82"/>
  <c r="AG82"/>
  <c r="AE82"/>
  <c r="Y82"/>
  <c r="W82"/>
  <c r="U82"/>
  <c r="AJ81"/>
  <c r="AH81"/>
  <c r="AF81"/>
  <c r="Z81"/>
  <c r="X81"/>
  <c r="V81"/>
  <c r="T81"/>
  <c r="AH82"/>
  <c r="Z82"/>
  <c r="X82"/>
  <c r="T82"/>
  <c r="AG81"/>
  <c r="Y81"/>
  <c r="W81"/>
  <c r="AI80"/>
  <c r="AG80"/>
  <c r="AE80"/>
  <c r="Y80"/>
  <c r="W80"/>
  <c r="U80"/>
  <c r="AJ79"/>
  <c r="AH79"/>
  <c r="AF79"/>
  <c r="Z79"/>
  <c r="X79"/>
  <c r="V79"/>
  <c r="T79"/>
  <c r="AI78"/>
  <c r="AG78"/>
  <c r="AE78"/>
  <c r="Y78"/>
  <c r="W78"/>
  <c r="U78"/>
  <c r="AJ77"/>
  <c r="AH77"/>
  <c r="AF77"/>
  <c r="Z77"/>
  <c r="X77"/>
  <c r="V77"/>
  <c r="T77"/>
  <c r="AI76"/>
  <c r="AG76"/>
  <c r="AE76"/>
  <c r="Y76"/>
  <c r="W76"/>
  <c r="U76"/>
  <c r="AJ75"/>
  <c r="AH75"/>
  <c r="AF75"/>
  <c r="Z75"/>
  <c r="X75"/>
  <c r="V75"/>
  <c r="AI74"/>
  <c r="AE74"/>
  <c r="W74"/>
  <c r="AJ80"/>
  <c r="AH80"/>
  <c r="AF80"/>
  <c r="Z80"/>
  <c r="X80"/>
  <c r="V80"/>
  <c r="T80"/>
  <c r="AI79"/>
  <c r="AG79"/>
  <c r="AE79"/>
  <c r="Y79"/>
  <c r="W79"/>
  <c r="U79"/>
  <c r="AJ78"/>
  <c r="AH78"/>
  <c r="AF78"/>
  <c r="Z78"/>
  <c r="X78"/>
  <c r="V78"/>
  <c r="T78"/>
  <c r="AI77"/>
  <c r="AG77"/>
  <c r="AE77"/>
  <c r="Y77"/>
  <c r="W77"/>
  <c r="U77"/>
  <c r="AJ76"/>
  <c r="AH76"/>
  <c r="AF76"/>
  <c r="Z76"/>
  <c r="X76"/>
  <c r="V76"/>
  <c r="T76"/>
  <c r="AI75"/>
  <c r="AG75"/>
  <c r="AE75"/>
  <c r="Y75"/>
  <c r="W75"/>
  <c r="U75"/>
  <c r="AJ74"/>
  <c r="AH74"/>
  <c r="AF74"/>
  <c r="Z74"/>
  <c r="X74"/>
  <c r="V74"/>
  <c r="T74"/>
  <c r="T75"/>
  <c r="AG74"/>
  <c r="Y74"/>
  <c r="U74"/>
  <c r="AI73"/>
  <c r="AG73"/>
  <c r="AE73"/>
  <c r="Y73"/>
  <c r="W73"/>
  <c r="U73"/>
  <c r="AJ72"/>
  <c r="AH72"/>
  <c r="AF72"/>
  <c r="Z72"/>
  <c r="X72"/>
  <c r="V72"/>
  <c r="T72"/>
  <c r="AI71"/>
  <c r="AG71"/>
  <c r="AE71"/>
  <c r="Y71"/>
  <c r="W71"/>
  <c r="U71"/>
  <c r="AJ70"/>
  <c r="AH70"/>
  <c r="AF70"/>
  <c r="Z70"/>
  <c r="X70"/>
  <c r="V70"/>
  <c r="T70"/>
  <c r="AI69"/>
  <c r="AG69"/>
  <c r="AE69"/>
  <c r="Y69"/>
  <c r="W69"/>
  <c r="U69"/>
  <c r="AJ68"/>
  <c r="AH68"/>
  <c r="AF68"/>
  <c r="Z68"/>
  <c r="X68"/>
  <c r="V68"/>
  <c r="T68"/>
  <c r="AI67"/>
  <c r="AG67"/>
  <c r="AE67"/>
  <c r="Y67"/>
  <c r="W67"/>
  <c r="U67"/>
  <c r="AJ73"/>
  <c r="AH73"/>
  <c r="AF73"/>
  <c r="Z73"/>
  <c r="X73"/>
  <c r="V73"/>
  <c r="T73"/>
  <c r="AI72"/>
  <c r="AG72"/>
  <c r="AE72"/>
  <c r="Y72"/>
  <c r="W72"/>
  <c r="U72"/>
  <c r="AJ71"/>
  <c r="AH71"/>
  <c r="AF71"/>
  <c r="Z71"/>
  <c r="X71"/>
  <c r="V71"/>
  <c r="T71"/>
  <c r="AI70"/>
  <c r="AG70"/>
  <c r="AE70"/>
  <c r="Y70"/>
  <c r="W70"/>
  <c r="U70"/>
  <c r="AJ69"/>
  <c r="AH69"/>
  <c r="AF69"/>
  <c r="Z69"/>
  <c r="X69"/>
  <c r="V69"/>
  <c r="T69"/>
  <c r="AI68"/>
  <c r="AG68"/>
  <c r="AE68"/>
  <c r="Y68"/>
  <c r="W68"/>
  <c r="U68"/>
  <c r="AJ67"/>
  <c r="AH67"/>
  <c r="AF67"/>
  <c r="Z67"/>
  <c r="X67"/>
  <c r="V67"/>
  <c r="T67"/>
  <c r="AI66"/>
  <c r="AG66"/>
  <c r="AE66"/>
  <c r="Y66"/>
  <c r="W66"/>
  <c r="U66"/>
  <c r="AJ65"/>
  <c r="AH65"/>
  <c r="AF65"/>
  <c r="Z65"/>
  <c r="X65"/>
  <c r="V65"/>
  <c r="T65"/>
  <c r="AI64"/>
  <c r="AG64"/>
  <c r="AE64"/>
  <c r="Y64"/>
  <c r="W64"/>
  <c r="U64"/>
  <c r="AJ63"/>
  <c r="AH63"/>
  <c r="AF63"/>
  <c r="Z63"/>
  <c r="X63"/>
  <c r="V63"/>
  <c r="T63"/>
  <c r="AI62"/>
  <c r="AG62"/>
  <c r="AE62"/>
  <c r="Y62"/>
  <c r="W62"/>
  <c r="U62"/>
  <c r="AJ61"/>
  <c r="AH61"/>
  <c r="Z61"/>
  <c r="V61"/>
  <c r="AI60"/>
  <c r="AE60"/>
  <c r="W60"/>
  <c r="AJ66"/>
  <c r="AH66"/>
  <c r="AF66"/>
  <c r="Z66"/>
  <c r="X66"/>
  <c r="V66"/>
  <c r="T66"/>
  <c r="AI65"/>
  <c r="AG65"/>
  <c r="AE65"/>
  <c r="Y65"/>
  <c r="W65"/>
  <c r="U65"/>
  <c r="AJ64"/>
  <c r="AH64"/>
  <c r="AF64"/>
  <c r="Z64"/>
  <c r="X64"/>
  <c r="V64"/>
  <c r="T64"/>
  <c r="AI63"/>
  <c r="AG63"/>
  <c r="AE63"/>
  <c r="Y63"/>
  <c r="W63"/>
  <c r="U63"/>
  <c r="AJ62"/>
  <c r="AH62"/>
  <c r="AF62"/>
  <c r="Z62"/>
  <c r="X62"/>
  <c r="V62"/>
  <c r="T62"/>
  <c r="AI61"/>
  <c r="AG61"/>
  <c r="AE61"/>
  <c r="Y61"/>
  <c r="W61"/>
  <c r="U61"/>
  <c r="AJ60"/>
  <c r="AH60"/>
  <c r="AF60"/>
  <c r="Z60"/>
  <c r="X60"/>
  <c r="V60"/>
  <c r="T60"/>
  <c r="AF61"/>
  <c r="X61"/>
  <c r="T61"/>
  <c r="AG60"/>
  <c r="Y60"/>
  <c r="U60"/>
  <c r="AI59"/>
  <c r="AG59"/>
  <c r="AE59"/>
  <c r="Y59"/>
  <c r="W59"/>
  <c r="U59"/>
  <c r="AJ58"/>
  <c r="AH58"/>
  <c r="AF58"/>
  <c r="Z58"/>
  <c r="X58"/>
  <c r="V58"/>
  <c r="T58"/>
  <c r="AI57"/>
  <c r="AG57"/>
  <c r="AE57"/>
  <c r="Y57"/>
  <c r="W57"/>
  <c r="U57"/>
  <c r="AJ56"/>
  <c r="AH56"/>
  <c r="AF56"/>
  <c r="Z56"/>
  <c r="X56"/>
  <c r="V56"/>
  <c r="T56"/>
  <c r="AI55"/>
  <c r="AG55"/>
  <c r="AE55"/>
  <c r="Y55"/>
  <c r="W55"/>
  <c r="U55"/>
  <c r="AJ54"/>
  <c r="AH54"/>
  <c r="AF54"/>
  <c r="Z54"/>
  <c r="X54"/>
  <c r="T54"/>
  <c r="AG53"/>
  <c r="Y53"/>
  <c r="U53"/>
  <c r="AJ59"/>
  <c r="AH59"/>
  <c r="AF59"/>
  <c r="Z59"/>
  <c r="X59"/>
  <c r="V59"/>
  <c r="T59"/>
  <c r="AI58"/>
  <c r="AG58"/>
  <c r="AE58"/>
  <c r="Y58"/>
  <c r="W58"/>
  <c r="U58"/>
  <c r="AJ57"/>
  <c r="AH57"/>
  <c r="AF57"/>
  <c r="Z57"/>
  <c r="X57"/>
  <c r="V57"/>
  <c r="T57"/>
  <c r="AI56"/>
  <c r="AG56"/>
  <c r="AE56"/>
  <c r="Y56"/>
  <c r="W56"/>
  <c r="U56"/>
  <c r="AJ55"/>
  <c r="AH55"/>
  <c r="AF55"/>
  <c r="Z55"/>
  <c r="X55"/>
  <c r="V55"/>
  <c r="T55"/>
  <c r="AI54"/>
  <c r="AG54"/>
  <c r="AE54"/>
  <c r="Y54"/>
  <c r="W54"/>
  <c r="U54"/>
  <c r="AJ53"/>
  <c r="AH53"/>
  <c r="AF53"/>
  <c r="Z53"/>
  <c r="X53"/>
  <c r="V53"/>
  <c r="T53"/>
  <c r="V54"/>
  <c r="AI53"/>
  <c r="AE53"/>
  <c r="W53"/>
  <c r="AI52"/>
  <c r="AG52"/>
  <c r="AE52"/>
  <c r="Y52"/>
  <c r="W52"/>
  <c r="U52"/>
  <c r="AJ51"/>
  <c r="AH51"/>
  <c r="AF51"/>
  <c r="Z51"/>
  <c r="X51"/>
  <c r="V51"/>
  <c r="T51"/>
  <c r="AI50"/>
  <c r="AG50"/>
  <c r="AE50"/>
  <c r="Y50"/>
  <c r="W50"/>
  <c r="U50"/>
  <c r="AJ49"/>
  <c r="AH49"/>
  <c r="AF49"/>
  <c r="Z49"/>
  <c r="X49"/>
  <c r="V49"/>
  <c r="T49"/>
  <c r="AI48"/>
  <c r="AG48"/>
  <c r="AE48"/>
  <c r="Y48"/>
  <c r="W48"/>
  <c r="U48"/>
  <c r="AJ47"/>
  <c r="AH47"/>
  <c r="AF47"/>
  <c r="Z47"/>
  <c r="X47"/>
  <c r="T47"/>
  <c r="AG46"/>
  <c r="Y46"/>
  <c r="U46"/>
  <c r="AJ52"/>
  <c r="AH52"/>
  <c r="AF52"/>
  <c r="Z52"/>
  <c r="X52"/>
  <c r="V52"/>
  <c r="T52"/>
  <c r="AI51"/>
  <c r="AG51"/>
  <c r="AE51"/>
  <c r="Y51"/>
  <c r="W51"/>
  <c r="U51"/>
  <c r="AJ50"/>
  <c r="AH50"/>
  <c r="AF50"/>
  <c r="Z50"/>
  <c r="X50"/>
  <c r="V50"/>
  <c r="T50"/>
  <c r="AI49"/>
  <c r="AG49"/>
  <c r="AE49"/>
  <c r="Y49"/>
  <c r="W49"/>
  <c r="U49"/>
  <c r="AJ48"/>
  <c r="AH48"/>
  <c r="AF48"/>
  <c r="Z48"/>
  <c r="X48"/>
  <c r="V48"/>
  <c r="T48"/>
  <c r="AI47"/>
  <c r="AG47"/>
  <c r="AE47"/>
  <c r="Y47"/>
  <c r="W47"/>
  <c r="U47"/>
  <c r="AJ46"/>
  <c r="AH46"/>
  <c r="AF46"/>
  <c r="Z46"/>
  <c r="X46"/>
  <c r="V46"/>
  <c r="T46"/>
  <c r="V47"/>
  <c r="AI46"/>
  <c r="AE46"/>
  <c r="W46"/>
  <c r="AI45"/>
  <c r="AG45"/>
  <c r="AE45"/>
  <c r="Y45"/>
  <c r="W45"/>
  <c r="U45"/>
  <c r="AJ44"/>
  <c r="AH44"/>
  <c r="AF44"/>
  <c r="Z44"/>
  <c r="X44"/>
  <c r="V44"/>
  <c r="T44"/>
  <c r="AI43"/>
  <c r="AG43"/>
  <c r="AE43"/>
  <c r="Y43"/>
  <c r="W43"/>
  <c r="U43"/>
  <c r="AJ42"/>
  <c r="AH42"/>
  <c r="AF42"/>
  <c r="Z42"/>
  <c r="X42"/>
  <c r="V42"/>
  <c r="T42"/>
  <c r="AI41"/>
  <c r="AG41"/>
  <c r="AE41"/>
  <c r="Y41"/>
  <c r="W41"/>
  <c r="U41"/>
  <c r="AJ40"/>
  <c r="AH40"/>
  <c r="AF40"/>
  <c r="X40"/>
  <c r="T40"/>
  <c r="AG39"/>
  <c r="Y39"/>
  <c r="U39"/>
  <c r="AJ45"/>
  <c r="AH45"/>
  <c r="AF45"/>
  <c r="Z45"/>
  <c r="X45"/>
  <c r="V45"/>
  <c r="T45"/>
  <c r="AI44"/>
  <c r="AG44"/>
  <c r="AE44"/>
  <c r="Y44"/>
  <c r="W44"/>
  <c r="U44"/>
  <c r="AJ43"/>
  <c r="AH43"/>
  <c r="AF43"/>
  <c r="Z43"/>
  <c r="X43"/>
  <c r="V43"/>
  <c r="T43"/>
  <c r="AI42"/>
  <c r="AG42"/>
  <c r="AE42"/>
  <c r="Y42"/>
  <c r="W42"/>
  <c r="U42"/>
  <c r="AJ41"/>
  <c r="AH41"/>
  <c r="AF41"/>
  <c r="Z41"/>
  <c r="X41"/>
  <c r="V41"/>
  <c r="T41"/>
  <c r="AI40"/>
  <c r="AG40"/>
  <c r="AE40"/>
  <c r="Y40"/>
  <c r="W40"/>
  <c r="U40"/>
  <c r="AJ39"/>
  <c r="AH39"/>
  <c r="AF39"/>
  <c r="Z39"/>
  <c r="X39"/>
  <c r="V39"/>
  <c r="T39"/>
  <c r="Z40"/>
  <c r="V40"/>
  <c r="AI39"/>
  <c r="AE39"/>
  <c r="W39"/>
  <c r="AI38"/>
  <c r="AG38"/>
  <c r="AE38"/>
  <c r="Y38"/>
  <c r="W38"/>
  <c r="U38"/>
  <c r="AJ37"/>
  <c r="AH37"/>
  <c r="AF37"/>
  <c r="Z37"/>
  <c r="X37"/>
  <c r="V37"/>
  <c r="T37"/>
  <c r="AI36"/>
  <c r="AG36"/>
  <c r="AE36"/>
  <c r="Y36"/>
  <c r="W36"/>
  <c r="U36"/>
  <c r="AJ35"/>
  <c r="AH35"/>
  <c r="AF35"/>
  <c r="Z35"/>
  <c r="X35"/>
  <c r="V35"/>
  <c r="T35"/>
  <c r="AI34"/>
  <c r="AG34"/>
  <c r="AE34"/>
  <c r="Y34"/>
  <c r="W34"/>
  <c r="U34"/>
  <c r="AJ33"/>
  <c r="AH33"/>
  <c r="AF33"/>
  <c r="Z33"/>
  <c r="X33"/>
  <c r="V33"/>
  <c r="AI32"/>
  <c r="AE32"/>
  <c r="W32"/>
  <c r="AJ38"/>
  <c r="AH38"/>
  <c r="AF38"/>
  <c r="Z38"/>
  <c r="X38"/>
  <c r="V38"/>
  <c r="T38"/>
  <c r="AI37"/>
  <c r="AG37"/>
  <c r="AE37"/>
  <c r="Y37"/>
  <c r="W37"/>
  <c r="U37"/>
  <c r="AJ36"/>
  <c r="AH36"/>
  <c r="AF36"/>
  <c r="Z36"/>
  <c r="X36"/>
  <c r="V36"/>
  <c r="T36"/>
  <c r="AI35"/>
  <c r="AG35"/>
  <c r="AE35"/>
  <c r="Y35"/>
  <c r="W35"/>
  <c r="U35"/>
  <c r="AJ34"/>
  <c r="AH34"/>
  <c r="AF34"/>
  <c r="Z34"/>
  <c r="X34"/>
  <c r="V34"/>
  <c r="T34"/>
  <c r="AI33"/>
  <c r="AG33"/>
  <c r="AE33"/>
  <c r="Y33"/>
  <c r="W33"/>
  <c r="U33"/>
  <c r="AJ32"/>
  <c r="AH32"/>
  <c r="AF32"/>
  <c r="Z32"/>
  <c r="X32"/>
  <c r="V32"/>
  <c r="T32"/>
  <c r="T33"/>
  <c r="AG32"/>
  <c r="Y32"/>
  <c r="U32"/>
  <c r="AD129"/>
  <c r="AC129"/>
  <c r="AB129"/>
  <c r="AA129"/>
  <c r="AD128"/>
  <c r="AC128"/>
  <c r="AB128"/>
  <c r="AA128"/>
  <c r="AD127"/>
  <c r="AC127"/>
  <c r="AB127"/>
  <c r="AA127"/>
  <c r="AD126"/>
  <c r="AC126"/>
  <c r="AB126"/>
  <c r="AA126"/>
  <c r="AD125"/>
  <c r="AC125"/>
  <c r="AB125"/>
  <c r="AA125"/>
  <c r="AD124"/>
  <c r="AC124"/>
  <c r="AB124"/>
  <c r="AA124"/>
  <c r="AD123"/>
  <c r="AC123"/>
  <c r="AB123"/>
  <c r="AA123"/>
  <c r="AD122"/>
  <c r="AC122"/>
  <c r="AB122"/>
  <c r="AA122"/>
  <c r="AD121"/>
  <c r="AC121"/>
  <c r="AB121"/>
  <c r="AA121"/>
  <c r="AD120"/>
  <c r="AC120"/>
  <c r="AB120"/>
  <c r="AA120"/>
  <c r="AD119"/>
  <c r="AC119"/>
  <c r="AB119"/>
  <c r="AA119"/>
  <c r="AD118"/>
  <c r="AC118"/>
  <c r="AB118"/>
  <c r="AA118"/>
  <c r="AD117"/>
  <c r="AC117"/>
  <c r="AB117"/>
  <c r="AA117"/>
  <c r="AD116"/>
  <c r="AC116"/>
  <c r="AB116"/>
  <c r="AA116"/>
  <c r="AD115"/>
  <c r="AC115"/>
  <c r="AB115"/>
  <c r="AA115"/>
  <c r="AD114"/>
  <c r="AC114"/>
  <c r="AB114"/>
  <c r="AA114"/>
  <c r="AD113"/>
  <c r="AC113"/>
  <c r="AB113"/>
  <c r="AA113"/>
  <c r="AD112"/>
  <c r="AC112"/>
  <c r="AB112"/>
  <c r="AA112"/>
  <c r="AD111"/>
  <c r="AC111"/>
  <c r="AB111"/>
  <c r="AA111"/>
  <c r="AD110"/>
  <c r="AC110"/>
  <c r="AB110"/>
  <c r="AA110"/>
  <c r="AD109"/>
  <c r="AC109"/>
  <c r="AB109"/>
  <c r="AA109"/>
  <c r="AD108"/>
  <c r="AC108"/>
  <c r="AB108"/>
  <c r="AA108"/>
  <c r="AD107"/>
  <c r="AC107"/>
  <c r="AB107"/>
  <c r="AA107"/>
  <c r="AD106"/>
  <c r="AC106"/>
  <c r="AB106"/>
  <c r="AA106"/>
  <c r="AD105"/>
  <c r="AC105"/>
  <c r="AB105"/>
  <c r="AA105"/>
  <c r="AD104"/>
  <c r="AC104"/>
  <c r="AB104"/>
  <c r="AA104"/>
  <c r="AD103"/>
  <c r="AC103"/>
  <c r="AB103"/>
  <c r="AA103"/>
  <c r="AD102"/>
  <c r="AC102"/>
  <c r="AB102"/>
  <c r="AA102"/>
  <c r="AD101"/>
  <c r="AC101"/>
  <c r="AB101"/>
  <c r="AA101"/>
  <c r="AD100"/>
  <c r="AC100"/>
  <c r="AB100"/>
  <c r="AA100"/>
  <c r="AD99"/>
  <c r="AC99"/>
  <c r="AB99"/>
  <c r="AA99"/>
  <c r="AD98"/>
  <c r="AC98"/>
  <c r="AB98"/>
  <c r="AA98"/>
  <c r="AD97"/>
  <c r="AC97"/>
  <c r="AB97"/>
  <c r="AA97"/>
  <c r="AD96"/>
  <c r="AC96"/>
  <c r="AB96"/>
  <c r="AA96"/>
  <c r="AD95"/>
  <c r="AC95"/>
  <c r="AB95"/>
  <c r="AA95"/>
  <c r="AD94"/>
  <c r="AC94"/>
  <c r="AB94"/>
  <c r="AA94"/>
  <c r="AD93"/>
  <c r="AC93"/>
  <c r="AB93"/>
  <c r="AA93"/>
  <c r="AD92"/>
  <c r="AC92"/>
  <c r="AB92"/>
  <c r="AA92"/>
  <c r="AD91"/>
  <c r="AC91"/>
  <c r="AB91"/>
  <c r="AA91"/>
  <c r="AD90"/>
  <c r="AC90"/>
  <c r="AB90"/>
  <c r="AA90"/>
  <c r="AD89"/>
  <c r="AC89"/>
  <c r="AB89"/>
  <c r="AA89"/>
  <c r="AD88"/>
  <c r="AC88"/>
  <c r="AB88"/>
  <c r="AA88"/>
  <c r="AD87"/>
  <c r="AC87"/>
  <c r="AB87"/>
  <c r="AA87"/>
  <c r="AD86"/>
  <c r="AC86"/>
  <c r="AB86"/>
  <c r="AA86"/>
  <c r="AD85"/>
  <c r="AC85"/>
  <c r="AB85"/>
  <c r="AA85"/>
  <c r="AD84"/>
  <c r="AC84"/>
  <c r="AB84"/>
  <c r="AA84"/>
  <c r="AD83"/>
  <c r="AC83"/>
  <c r="AB83"/>
  <c r="AA83"/>
  <c r="AD82"/>
  <c r="AC82"/>
  <c r="AB82"/>
  <c r="AA82"/>
  <c r="AD81"/>
  <c r="AC81"/>
  <c r="AB81"/>
  <c r="AA81"/>
  <c r="AD80"/>
  <c r="AC80"/>
  <c r="AB80"/>
  <c r="AA80"/>
  <c r="AD79"/>
  <c r="AC79"/>
  <c r="AB79"/>
  <c r="AA79"/>
  <c r="AD78"/>
  <c r="AC78"/>
  <c r="AB78"/>
  <c r="AA78"/>
  <c r="AD77"/>
  <c r="AC77"/>
  <c r="AB77"/>
  <c r="AA77"/>
  <c r="AD76"/>
  <c r="AC76"/>
  <c r="AB76"/>
  <c r="AA76"/>
  <c r="AD75"/>
  <c r="AC75"/>
  <c r="AB75"/>
  <c r="AA75"/>
  <c r="AD74"/>
  <c r="AC74"/>
  <c r="AB74"/>
  <c r="AA74"/>
  <c r="AD73"/>
  <c r="AC73"/>
  <c r="AB73"/>
  <c r="AA73"/>
  <c r="AD72"/>
  <c r="AC72"/>
  <c r="AB72"/>
  <c r="AA72"/>
  <c r="AD71"/>
  <c r="AC71"/>
  <c r="AB71"/>
  <c r="AA71"/>
  <c r="AD70"/>
  <c r="AC70"/>
  <c r="AB70"/>
  <c r="AA70"/>
  <c r="AD69"/>
  <c r="AC69"/>
  <c r="AB69"/>
  <c r="AA69"/>
  <c r="AD68"/>
  <c r="AC68"/>
  <c r="AB68"/>
  <c r="AA68"/>
  <c r="AD67"/>
  <c r="AC67"/>
  <c r="AB67"/>
  <c r="AA67"/>
  <c r="AD66"/>
  <c r="AC66"/>
  <c r="AB66"/>
  <c r="AA66"/>
  <c r="AD65"/>
  <c r="AC65"/>
  <c r="AB65"/>
  <c r="AA65"/>
  <c r="AD64"/>
  <c r="AC64"/>
  <c r="AB64"/>
  <c r="AA64"/>
  <c r="AD63"/>
  <c r="AC63"/>
  <c r="AB63"/>
  <c r="AA63"/>
  <c r="AD62"/>
  <c r="AC62"/>
  <c r="AB62"/>
  <c r="AA62"/>
  <c r="AD61"/>
  <c r="AC61"/>
  <c r="AB61"/>
  <c r="AA61"/>
  <c r="AD60"/>
  <c r="AC60"/>
  <c r="AB60"/>
  <c r="AA60"/>
  <c r="AD59"/>
  <c r="AC59"/>
  <c r="AB59"/>
  <c r="AA59"/>
  <c r="AD58"/>
  <c r="AC58"/>
  <c r="AB58"/>
  <c r="AA58"/>
  <c r="AD57"/>
  <c r="AC57"/>
  <c r="AB57"/>
  <c r="AA57"/>
  <c r="AD56"/>
  <c r="AC56"/>
  <c r="AB56"/>
  <c r="AA56"/>
  <c r="AD55"/>
  <c r="AC55"/>
  <c r="AB55"/>
  <c r="AA55"/>
  <c r="AD54"/>
  <c r="AC54"/>
  <c r="AB54"/>
  <c r="AA54"/>
  <c r="AD53"/>
  <c r="AC53"/>
  <c r="AB53"/>
  <c r="AA53"/>
  <c r="AD52"/>
  <c r="AC52"/>
  <c r="AB52"/>
  <c r="AA52"/>
  <c r="AD51"/>
  <c r="AC51"/>
  <c r="AB51"/>
  <c r="AA51"/>
  <c r="AD50"/>
  <c r="AC50"/>
  <c r="AB50"/>
  <c r="AA50"/>
  <c r="AD49"/>
  <c r="AC49"/>
  <c r="AB49"/>
  <c r="AA49"/>
  <c r="AD48"/>
  <c r="AC48"/>
  <c r="AB48"/>
  <c r="AA48"/>
  <c r="AD47"/>
  <c r="AC47"/>
  <c r="AB47"/>
  <c r="AA47"/>
  <c r="AD46"/>
  <c r="AC46"/>
  <c r="AB46"/>
  <c r="AA46"/>
  <c r="AD45"/>
  <c r="AC45"/>
  <c r="AB45"/>
  <c r="AA45"/>
  <c r="AD44"/>
  <c r="AC44"/>
  <c r="AB44"/>
  <c r="AA44"/>
  <c r="AD43"/>
  <c r="AC43"/>
  <c r="AB43"/>
  <c r="AA43"/>
  <c r="AD42"/>
  <c r="AC42"/>
  <c r="AB42"/>
  <c r="AA42"/>
  <c r="AD41"/>
  <c r="AC41"/>
  <c r="AB41"/>
  <c r="AA41"/>
  <c r="AD40"/>
  <c r="AC40"/>
  <c r="AB40"/>
  <c r="AA40"/>
  <c r="AD39"/>
  <c r="AC39"/>
  <c r="AB39"/>
  <c r="AA39"/>
  <c r="AD38"/>
  <c r="AC38"/>
  <c r="AB38"/>
  <c r="AA38"/>
  <c r="AD37"/>
  <c r="AC37"/>
  <c r="AB37"/>
  <c r="AA37"/>
  <c r="AD36"/>
  <c r="AC36"/>
  <c r="AB36"/>
  <c r="AA36"/>
  <c r="AD35"/>
  <c r="AC35"/>
  <c r="AB35"/>
  <c r="AA35"/>
  <c r="AD34"/>
  <c r="AC34"/>
  <c r="AB34"/>
  <c r="AA34"/>
  <c r="AD33"/>
  <c r="AC33"/>
  <c r="AB33"/>
  <c r="AA33"/>
  <c r="AD32"/>
  <c r="AC32"/>
  <c r="AB32"/>
  <c r="AA32"/>
  <c r="AI31"/>
  <c r="AG31"/>
  <c r="AE31"/>
  <c r="Y31"/>
  <c r="W31"/>
  <c r="U31"/>
  <c r="AJ30"/>
  <c r="AH30"/>
  <c r="AF30"/>
  <c r="Z30"/>
  <c r="X30"/>
  <c r="V30"/>
  <c r="T30"/>
  <c r="AI29"/>
  <c r="AG29"/>
  <c r="AE29"/>
  <c r="Y29"/>
  <c r="W29"/>
  <c r="U29"/>
  <c r="AJ28"/>
  <c r="AH28"/>
  <c r="AF28"/>
  <c r="Z28"/>
  <c r="X28"/>
  <c r="V28"/>
  <c r="T28"/>
  <c r="AI27"/>
  <c r="AG27"/>
  <c r="AE27"/>
  <c r="Y27"/>
  <c r="W27"/>
  <c r="U27"/>
  <c r="AJ26"/>
  <c r="AH26"/>
  <c r="AF26"/>
  <c r="Z26"/>
  <c r="X26"/>
  <c r="V26"/>
  <c r="T26"/>
  <c r="AI25"/>
  <c r="AE25"/>
  <c r="W25"/>
  <c r="AJ31"/>
  <c r="AH31"/>
  <c r="AF31"/>
  <c r="Z31"/>
  <c r="X31"/>
  <c r="V31"/>
  <c r="T31"/>
  <c r="AI30"/>
  <c r="AG30"/>
  <c r="AE30"/>
  <c r="Y30"/>
  <c r="W30"/>
  <c r="U30"/>
  <c r="AJ29"/>
  <c r="AH29"/>
  <c r="AF29"/>
  <c r="Z29"/>
  <c r="X29"/>
  <c r="V29"/>
  <c r="T29"/>
  <c r="AI28"/>
  <c r="AG28"/>
  <c r="AE28"/>
  <c r="Y28"/>
  <c r="W28"/>
  <c r="U28"/>
  <c r="AJ27"/>
  <c r="AH27"/>
  <c r="AF27"/>
  <c r="Z27"/>
  <c r="X27"/>
  <c r="V27"/>
  <c r="T27"/>
  <c r="AI26"/>
  <c r="AG26"/>
  <c r="AE26"/>
  <c r="Y26"/>
  <c r="W26"/>
  <c r="U26"/>
  <c r="AJ25"/>
  <c r="AH25"/>
  <c r="AF25"/>
  <c r="Z25"/>
  <c r="X25"/>
  <c r="V25"/>
  <c r="T25"/>
  <c r="AG25"/>
  <c r="Y25"/>
  <c r="U25"/>
  <c r="AD31"/>
  <c r="AC31"/>
  <c r="AB31"/>
  <c r="AA31"/>
  <c r="AD25"/>
  <c r="AC25"/>
  <c r="AB25"/>
  <c r="AA25"/>
  <c r="AD30"/>
  <c r="AC30"/>
  <c r="AB30"/>
  <c r="AA30"/>
  <c r="AD29"/>
  <c r="AC29"/>
  <c r="AB29"/>
  <c r="AA29"/>
  <c r="AD28"/>
  <c r="AC28"/>
  <c r="AB28"/>
  <c r="AA28"/>
  <c r="AD27"/>
  <c r="AC27"/>
  <c r="AB27"/>
  <c r="AA27"/>
  <c r="AD26"/>
  <c r="AC26"/>
  <c r="AB26"/>
  <c r="AA26"/>
  <c r="AF24"/>
  <c r="AF23"/>
  <c r="AF22"/>
  <c r="AF21"/>
  <c r="AF20"/>
  <c r="AF19"/>
  <c r="AF18"/>
  <c r="AE24"/>
  <c r="AE23"/>
  <c r="AE22"/>
  <c r="AE21"/>
  <c r="AE20"/>
  <c r="AE19"/>
  <c r="AE18"/>
  <c r="AD24"/>
  <c r="AD23"/>
  <c r="AD22"/>
  <c r="AD21"/>
  <c r="AD20"/>
  <c r="AD19"/>
  <c r="AC24"/>
  <c r="AC23"/>
  <c r="AC22"/>
  <c r="AC21"/>
  <c r="AC20"/>
  <c r="AC19"/>
  <c r="AC18"/>
  <c r="AB24"/>
  <c r="AB23"/>
  <c r="AB22"/>
  <c r="AB21"/>
  <c r="AB20"/>
  <c r="AB19"/>
  <c r="AA24"/>
  <c r="AA23"/>
  <c r="AA22"/>
  <c r="AA21"/>
  <c r="AA20"/>
  <c r="AA19"/>
  <c r="BR55" i="4" l="1"/>
  <c r="BR51"/>
  <c r="BR50"/>
  <c r="BR48"/>
  <c r="BL57"/>
  <c r="BL56"/>
  <c r="BL55"/>
  <c r="BL54"/>
  <c r="BL53"/>
  <c r="BL51"/>
  <c r="BL50"/>
  <c r="BL49"/>
  <c r="BL48"/>
  <c r="BF57"/>
  <c r="BF56"/>
  <c r="BF55"/>
  <c r="BF54"/>
  <c r="BF53"/>
  <c r="BF51"/>
  <c r="BF50"/>
  <c r="BF49"/>
  <c r="BF48"/>
  <c r="K287"/>
  <c r="K288"/>
  <c r="BJ495"/>
  <c r="BJ496"/>
  <c r="BJ497"/>
  <c r="BJ498"/>
  <c r="BJ499"/>
  <c r="BJ480"/>
  <c r="BJ481"/>
  <c r="BJ482"/>
  <c r="BJ483"/>
  <c r="BJ484"/>
  <c r="BJ485"/>
  <c r="BJ486"/>
  <c r="BJ487"/>
  <c r="BJ488"/>
  <c r="BJ489"/>
  <c r="BJ490"/>
  <c r="BJ491"/>
  <c r="BJ492"/>
  <c r="BJ493"/>
  <c r="BJ494"/>
  <c r="BY10"/>
  <c r="BY11"/>
  <c r="BY12"/>
  <c r="BY13"/>
  <c r="BY14"/>
  <c r="BY15"/>
  <c r="BY16"/>
  <c r="BY17"/>
  <c r="BY18"/>
  <c r="BY19"/>
  <c r="BY20"/>
  <c r="BY21"/>
  <c r="BY22"/>
  <c r="BY23"/>
  <c r="BY24"/>
  <c r="BY25"/>
  <c r="BY26"/>
  <c r="BY27"/>
  <c r="BY28"/>
  <c r="BY29"/>
  <c r="BY30"/>
  <c r="BY32"/>
  <c r="BY33"/>
  <c r="BY34"/>
  <c r="BY35"/>
  <c r="BY36"/>
  <c r="BY37"/>
  <c r="BY38"/>
  <c r="BY39"/>
  <c r="BY40"/>
  <c r="BY41"/>
  <c r="BY42"/>
  <c r="BY31"/>
  <c r="BY43"/>
  <c r="BY44"/>
  <c r="BY45"/>
  <c r="BY46"/>
  <c r="BY47"/>
  <c r="BY48"/>
  <c r="BY49"/>
  <c r="BY50"/>
  <c r="BY51"/>
  <c r="BY52"/>
  <c r="BY53"/>
  <c r="BY54"/>
  <c r="BY55"/>
  <c r="BY56"/>
  <c r="BY57"/>
  <c r="BY58"/>
  <c r="BY59"/>
  <c r="BY61"/>
  <c r="BY62"/>
  <c r="BY63"/>
  <c r="BY64"/>
  <c r="BY65"/>
  <c r="BY66"/>
  <c r="BY67"/>
  <c r="BY68"/>
  <c r="BY60"/>
  <c r="BY69"/>
  <c r="BY70"/>
  <c r="BY71"/>
  <c r="BY72"/>
  <c r="BY73"/>
  <c r="BY74"/>
  <c r="BY75"/>
  <c r="BY76"/>
  <c r="BY77"/>
  <c r="BY78"/>
  <c r="BY79"/>
  <c r="BY80"/>
  <c r="BY81"/>
  <c r="BY82"/>
  <c r="BY83"/>
  <c r="BY84"/>
  <c r="BY85"/>
  <c r="BY86"/>
  <c r="BY87"/>
  <c r="BY88"/>
  <c r="BY89"/>
  <c r="BY90"/>
  <c r="BY91"/>
  <c r="BY92"/>
  <c r="BY93"/>
  <c r="BY94"/>
  <c r="BY95"/>
  <c r="BY102"/>
  <c r="BY103"/>
  <c r="BY104"/>
  <c r="BY96"/>
  <c r="BY97"/>
  <c r="BY98"/>
  <c r="BY105"/>
  <c r="BY122"/>
  <c r="BY117"/>
  <c r="BY106"/>
  <c r="BY107"/>
  <c r="BY118"/>
  <c r="BY119"/>
  <c r="BY114"/>
  <c r="BY99"/>
  <c r="BY123"/>
  <c r="BY100"/>
  <c r="BY108"/>
  <c r="BY109"/>
  <c r="BY110"/>
  <c r="BY111"/>
  <c r="BY121"/>
  <c r="BY101"/>
  <c r="BY112"/>
  <c r="BY113"/>
  <c r="BY120"/>
  <c r="BY115"/>
  <c r="BY116"/>
  <c r="BY124"/>
  <c r="BY125"/>
  <c r="BY126"/>
  <c r="BY127"/>
  <c r="BY128"/>
  <c r="BY129"/>
  <c r="BY130"/>
  <c r="BY131"/>
  <c r="BY132"/>
  <c r="BY133"/>
  <c r="BY134"/>
  <c r="BY135"/>
  <c r="BY136"/>
  <c r="BY137"/>
  <c r="BY138"/>
  <c r="BY139"/>
  <c r="BY140"/>
  <c r="BY141"/>
  <c r="BY142"/>
  <c r="BY144"/>
  <c r="BY145"/>
  <c r="BY146"/>
  <c r="BY147"/>
  <c r="BY148"/>
  <c r="BY143"/>
  <c r="BY149"/>
  <c r="BY150"/>
  <c r="BY151"/>
  <c r="BY152"/>
  <c r="BY153"/>
  <c r="BY154"/>
  <c r="BY155"/>
  <c r="BY182"/>
  <c r="BY156"/>
  <c r="BY158"/>
  <c r="BY159"/>
  <c r="BY160"/>
  <c r="BY161"/>
  <c r="BY162"/>
  <c r="BY163"/>
  <c r="BY164"/>
  <c r="BY165"/>
  <c r="BY177"/>
  <c r="BY166"/>
  <c r="BY167"/>
  <c r="BY168"/>
  <c r="BY169"/>
  <c r="BY170"/>
  <c r="BY171"/>
  <c r="BY172"/>
  <c r="BY173"/>
  <c r="BY174"/>
  <c r="BY175"/>
  <c r="BY176"/>
  <c r="BY178"/>
  <c r="BY180"/>
  <c r="BY179"/>
  <c r="BY157"/>
  <c r="BY181"/>
  <c r="BY183"/>
  <c r="BY184"/>
  <c r="BY185"/>
  <c r="BY187"/>
  <c r="BY188"/>
  <c r="BY186"/>
  <c r="BY190"/>
  <c r="BY189"/>
  <c r="BY191"/>
  <c r="BY192"/>
  <c r="BY193"/>
  <c r="BY194"/>
  <c r="BY195"/>
  <c r="BY196"/>
  <c r="BY197"/>
  <c r="BY198"/>
  <c r="BY199"/>
  <c r="BY200"/>
  <c r="BY201"/>
  <c r="BY202"/>
  <c r="BY203"/>
  <c r="BY204"/>
  <c r="BY205"/>
  <c r="BY206"/>
  <c r="BY207"/>
  <c r="BY208"/>
  <c r="BY209"/>
  <c r="BY210"/>
  <c r="BY211"/>
  <c r="BY212"/>
  <c r="BY213"/>
  <c r="BY214"/>
  <c r="BY215"/>
  <c r="BY216"/>
  <c r="BY217"/>
  <c r="BY218"/>
  <c r="BY219"/>
  <c r="BY220"/>
  <c r="BY222"/>
  <c r="BY221"/>
  <c r="BY223"/>
  <c r="BY224"/>
  <c r="BY226"/>
  <c r="BY227"/>
  <c r="BY228"/>
  <c r="BY225"/>
  <c r="BY229"/>
  <c r="BY237"/>
  <c r="BY238"/>
  <c r="BY239"/>
  <c r="BY230"/>
  <c r="BY231"/>
  <c r="BY232"/>
  <c r="BY233"/>
  <c r="BY234"/>
  <c r="BY235"/>
  <c r="BY236"/>
  <c r="BY240"/>
  <c r="BY241"/>
  <c r="BY242"/>
  <c r="BY243"/>
  <c r="BY244"/>
  <c r="BY245"/>
  <c r="BY246"/>
  <c r="BY247"/>
  <c r="BY248"/>
  <c r="BY249"/>
  <c r="BY250"/>
  <c r="BY251"/>
  <c r="BY252"/>
  <c r="BY253"/>
  <c r="BY254"/>
  <c r="BY255"/>
  <c r="BY256"/>
  <c r="BY258"/>
  <c r="BY259"/>
  <c r="BY260"/>
  <c r="BY261"/>
  <c r="BY262"/>
  <c r="BY257"/>
  <c r="BY264"/>
  <c r="BY265"/>
  <c r="BY266"/>
  <c r="BY263"/>
  <c r="BY267"/>
  <c r="BY268"/>
  <c r="BY269"/>
  <c r="BY270"/>
  <c r="BY271"/>
  <c r="BY272"/>
  <c r="BY273"/>
  <c r="BY274"/>
  <c r="BY279"/>
  <c r="BY287"/>
  <c r="BY290"/>
  <c r="BY291"/>
  <c r="BY292"/>
  <c r="BY293"/>
  <c r="BY294"/>
  <c r="BY295"/>
  <c r="BY296"/>
  <c r="BY297"/>
  <c r="BY298"/>
  <c r="BY299"/>
  <c r="BY300"/>
  <c r="BY301"/>
  <c r="BY302"/>
  <c r="BY303"/>
  <c r="BY304"/>
  <c r="BY305"/>
  <c r="BY306"/>
  <c r="BY317"/>
  <c r="BY318"/>
  <c r="BY307"/>
  <c r="BY323"/>
  <c r="BY308"/>
  <c r="BY309"/>
  <c r="BY311"/>
  <c r="BY312"/>
  <c r="BY313"/>
  <c r="BY314"/>
  <c r="BY315"/>
  <c r="BY342"/>
  <c r="BY316"/>
  <c r="BY319"/>
  <c r="BY320"/>
  <c r="BY345"/>
  <c r="BY321"/>
  <c r="BY322"/>
  <c r="BY324"/>
  <c r="BY310"/>
  <c r="BY325"/>
  <c r="BY326"/>
  <c r="BY327"/>
  <c r="BY328"/>
  <c r="BY349"/>
  <c r="BY329"/>
  <c r="BY330"/>
  <c r="BY353"/>
  <c r="BY331"/>
  <c r="BY354"/>
  <c r="BY332"/>
  <c r="BY356"/>
  <c r="BY333"/>
  <c r="BY358"/>
  <c r="BY359"/>
  <c r="BY360"/>
  <c r="BY334"/>
  <c r="BY335"/>
  <c r="BY336"/>
  <c r="BY337"/>
  <c r="BY338"/>
  <c r="BY339"/>
  <c r="BY362"/>
  <c r="BY340"/>
  <c r="BY341"/>
  <c r="BY343"/>
  <c r="BY344"/>
  <c r="BY346"/>
  <c r="BY347"/>
  <c r="BY348"/>
  <c r="BY350"/>
  <c r="BY351"/>
  <c r="BY352"/>
  <c r="BY355"/>
  <c r="BY357"/>
  <c r="BY361"/>
  <c r="BY363"/>
  <c r="BY364"/>
  <c r="BY365"/>
  <c r="BY366"/>
  <c r="BY367"/>
  <c r="BY368"/>
  <c r="BY369"/>
  <c r="BY370"/>
  <c r="BY371"/>
  <c r="BY372"/>
  <c r="BY373"/>
  <c r="BY374"/>
  <c r="BY375"/>
  <c r="BY376"/>
  <c r="BY377"/>
  <c r="BY378"/>
  <c r="BY379"/>
  <c r="BY380"/>
  <c r="BY381"/>
  <c r="BY382"/>
  <c r="BY383"/>
  <c r="BY384"/>
  <c r="BY385"/>
  <c r="BY386"/>
  <c r="BY387"/>
  <c r="BY388"/>
  <c r="BY389"/>
  <c r="BY390"/>
  <c r="BY391"/>
  <c r="BY392"/>
  <c r="BY393"/>
  <c r="BY394"/>
  <c r="BY395"/>
  <c r="BY396"/>
  <c r="BY397"/>
  <c r="BY398"/>
  <c r="BY399"/>
  <c r="BY400"/>
  <c r="BY401"/>
  <c r="BY402"/>
  <c r="BY403"/>
  <c r="BY404"/>
  <c r="BY405"/>
  <c r="BY406"/>
  <c r="BY407"/>
  <c r="BY408"/>
  <c r="BY409"/>
  <c r="BY410"/>
  <c r="BY411"/>
  <c r="BY412"/>
  <c r="BY413"/>
  <c r="BY414"/>
  <c r="BY415"/>
  <c r="BY416"/>
  <c r="BY417"/>
  <c r="BY418"/>
  <c r="BY419"/>
  <c r="BY420"/>
  <c r="BY421"/>
  <c r="BY422"/>
  <c r="BY423"/>
  <c r="BY424"/>
  <c r="BY425"/>
  <c r="BY426"/>
  <c r="BY427"/>
  <c r="BY428"/>
  <c r="BY429"/>
  <c r="BY430"/>
  <c r="BY431"/>
  <c r="BY432"/>
  <c r="BY433"/>
  <c r="BY434"/>
  <c r="BY435"/>
  <c r="BY436"/>
  <c r="BY437"/>
  <c r="BY438"/>
  <c r="BY439"/>
  <c r="BY440"/>
  <c r="BY441"/>
  <c r="BY442"/>
  <c r="BY443"/>
  <c r="BY444"/>
  <c r="BY445"/>
  <c r="BY446"/>
  <c r="BY447"/>
  <c r="BY448"/>
  <c r="BY449"/>
  <c r="BY450"/>
  <c r="BY451"/>
  <c r="BY452"/>
  <c r="BY453"/>
  <c r="BY454"/>
  <c r="BY455"/>
  <c r="BY456"/>
  <c r="BY457"/>
  <c r="BY458"/>
  <c r="BY459"/>
  <c r="BY460"/>
  <c r="BY461"/>
  <c r="BY462"/>
  <c r="BY463"/>
  <c r="BY464"/>
  <c r="BY465"/>
  <c r="BY466"/>
  <c r="BY467"/>
  <c r="BY468"/>
  <c r="BY469"/>
  <c r="BY470"/>
  <c r="BY472"/>
  <c r="BY473"/>
  <c r="BY474"/>
  <c r="BY475"/>
  <c r="BY476"/>
  <c r="BY471"/>
  <c r="BY477"/>
  <c r="BY478"/>
  <c r="BY479"/>
  <c r="BY480"/>
  <c r="BY481"/>
  <c r="BY482"/>
  <c r="BY483"/>
  <c r="BY484"/>
  <c r="BY485"/>
  <c r="BY486"/>
  <c r="BY487"/>
  <c r="BY488"/>
  <c r="BY489"/>
  <c r="BY490"/>
  <c r="BY491"/>
  <c r="BY492"/>
  <c r="BY493"/>
  <c r="BY494"/>
  <c r="BY495"/>
  <c r="BY496"/>
  <c r="BY497"/>
  <c r="BY498"/>
  <c r="BY499"/>
  <c r="BY500"/>
  <c r="BY501"/>
  <c r="BY502"/>
  <c r="BY503"/>
  <c r="BY504"/>
  <c r="BY505"/>
  <c r="BY506"/>
  <c r="BY507"/>
  <c r="BY508"/>
  <c r="BY509"/>
  <c r="BY510"/>
  <c r="BY511"/>
  <c r="BY512"/>
  <c r="BY513"/>
  <c r="BY514"/>
  <c r="BY515"/>
  <c r="BY516"/>
  <c r="BY517"/>
  <c r="BY518"/>
  <c r="BY519"/>
  <c r="BY520"/>
  <c r="BY521"/>
  <c r="BY522"/>
  <c r="BY523"/>
  <c r="BY524"/>
  <c r="BY525"/>
  <c r="BY526"/>
  <c r="BY527"/>
  <c r="BY528"/>
  <c r="BY529"/>
  <c r="BY530"/>
  <c r="BY531"/>
  <c r="BY532"/>
  <c r="BY533"/>
  <c r="BY534"/>
  <c r="BY535"/>
  <c r="BY536"/>
  <c r="BY537"/>
  <c r="BY538"/>
  <c r="BY539"/>
  <c r="BY540"/>
  <c r="BY541"/>
  <c r="BY542"/>
  <c r="BY544"/>
  <c r="BY545"/>
  <c r="BY546"/>
  <c r="BY547"/>
  <c r="BY548"/>
  <c r="BY543"/>
  <c r="BY549"/>
  <c r="BY550"/>
  <c r="BY551"/>
  <c r="BY552"/>
  <c r="BY553"/>
  <c r="BY554"/>
  <c r="BY555"/>
  <c r="BY556"/>
  <c r="BY557"/>
  <c r="BY558"/>
  <c r="BY559"/>
  <c r="BY560"/>
  <c r="BY561"/>
  <c r="BY562"/>
  <c r="BY563"/>
  <c r="BY565"/>
  <c r="BY566"/>
  <c r="BY567"/>
  <c r="BY568"/>
  <c r="BY569"/>
  <c r="BY570"/>
  <c r="BY572"/>
  <c r="BY573"/>
  <c r="BY574"/>
  <c r="BY575"/>
  <c r="BY576"/>
  <c r="BY577"/>
  <c r="BY578"/>
  <c r="BY579"/>
  <c r="BY580"/>
  <c r="BY581"/>
  <c r="BY582"/>
  <c r="BY583"/>
  <c r="BY584"/>
  <c r="BY585"/>
  <c r="BY586"/>
  <c r="BY587"/>
  <c r="BY588"/>
  <c r="BY564"/>
  <c r="BY589"/>
  <c r="BY590"/>
  <c r="BY591"/>
  <c r="BY592"/>
  <c r="BY593"/>
  <c r="BY594"/>
  <c r="BY595"/>
  <c r="BY571"/>
  <c r="BY596"/>
  <c r="BY597"/>
  <c r="BY598"/>
  <c r="BY599"/>
  <c r="BY600"/>
  <c r="BY601"/>
  <c r="BY602"/>
  <c r="BY603"/>
  <c r="BY604"/>
  <c r="BY605"/>
  <c r="BY606"/>
  <c r="BY607"/>
  <c r="BY608"/>
  <c r="BY609"/>
  <c r="BY610"/>
  <c r="BY611"/>
  <c r="BY612"/>
  <c r="BY613"/>
  <c r="BY614"/>
  <c r="BY615"/>
  <c r="BY616"/>
  <c r="BY617"/>
  <c r="BY618"/>
  <c r="BY619"/>
  <c r="BY620"/>
  <c r="BY621"/>
  <c r="BY622"/>
  <c r="BY623"/>
  <c r="BY624"/>
  <c r="BY625"/>
  <c r="BY626"/>
  <c r="BY627"/>
  <c r="BY628"/>
  <c r="BY629"/>
  <c r="BY630"/>
  <c r="BY631"/>
  <c r="BY632"/>
  <c r="BY633"/>
  <c r="BY634"/>
  <c r="BY635"/>
  <c r="BY636"/>
  <c r="BY637"/>
  <c r="BY638"/>
  <c r="BY639"/>
  <c r="BY640"/>
  <c r="BY641"/>
  <c r="BY642"/>
  <c r="BY643"/>
  <c r="BY644"/>
  <c r="BY645"/>
  <c r="BY646"/>
  <c r="BY647"/>
  <c r="BY648"/>
  <c r="BY649"/>
  <c r="BY650"/>
  <c r="BY651"/>
  <c r="BY652"/>
  <c r="BY653"/>
  <c r="BY654"/>
  <c r="BY655"/>
  <c r="BY656"/>
  <c r="BY657"/>
  <c r="BY658"/>
  <c r="BY659"/>
  <c r="BY660"/>
  <c r="BY661"/>
  <c r="BY662"/>
  <c r="BY663"/>
  <c r="BY664"/>
  <c r="BY665"/>
  <c r="BY667"/>
  <c r="BY668"/>
  <c r="BY669"/>
  <c r="BY666"/>
  <c r="BY670"/>
  <c r="BY671"/>
  <c r="BY672"/>
  <c r="BY673"/>
  <c r="BY674"/>
  <c r="BY675"/>
  <c r="BY676"/>
  <c r="BY677"/>
  <c r="BY678"/>
  <c r="BY679"/>
  <c r="BY680"/>
  <c r="BY681"/>
  <c r="BY682"/>
  <c r="BY683"/>
  <c r="BV10"/>
  <c r="BV11"/>
  <c r="BV12"/>
  <c r="BV13"/>
  <c r="BV14"/>
  <c r="BV15"/>
  <c r="BV16"/>
  <c r="BV17"/>
  <c r="BV18"/>
  <c r="BV19"/>
  <c r="BV20"/>
  <c r="BV21"/>
  <c r="BV22"/>
  <c r="BV23"/>
  <c r="BV24"/>
  <c r="BV25"/>
  <c r="BV26"/>
  <c r="BV27"/>
  <c r="BV28"/>
  <c r="BV29"/>
  <c r="BV30"/>
  <c r="BV32"/>
  <c r="BV33"/>
  <c r="BV34"/>
  <c r="BV35"/>
  <c r="BV36"/>
  <c r="BV37"/>
  <c r="BV38"/>
  <c r="BV39"/>
  <c r="BV40"/>
  <c r="BV41"/>
  <c r="BV42"/>
  <c r="BV31"/>
  <c r="BV43"/>
  <c r="BV44"/>
  <c r="BV45"/>
  <c r="BV46"/>
  <c r="BV47"/>
  <c r="BV48"/>
  <c r="BV49"/>
  <c r="BV50"/>
  <c r="BV51"/>
  <c r="BV52"/>
  <c r="BV53"/>
  <c r="BV54"/>
  <c r="BV55"/>
  <c r="BV56"/>
  <c r="BV57"/>
  <c r="BV58"/>
  <c r="BV59"/>
  <c r="BV61"/>
  <c r="BV62"/>
  <c r="BV63"/>
  <c r="BV64"/>
  <c r="BV65"/>
  <c r="BV66"/>
  <c r="BV67"/>
  <c r="BV68"/>
  <c r="BV60"/>
  <c r="BV69"/>
  <c r="BV70"/>
  <c r="BV71"/>
  <c r="BV72"/>
  <c r="BV73"/>
  <c r="BV74"/>
  <c r="BV75"/>
  <c r="BV76"/>
  <c r="BV77"/>
  <c r="BV78"/>
  <c r="BV79"/>
  <c r="BV80"/>
  <c r="BV81"/>
  <c r="BV82"/>
  <c r="BV83"/>
  <c r="BV84"/>
  <c r="BV85"/>
  <c r="BV86"/>
  <c r="BV87"/>
  <c r="BV88"/>
  <c r="BV89"/>
  <c r="BV90"/>
  <c r="BV91"/>
  <c r="BV92"/>
  <c r="BV93"/>
  <c r="BV94"/>
  <c r="BV95"/>
  <c r="BV102"/>
  <c r="BV103"/>
  <c r="BV104"/>
  <c r="BV96"/>
  <c r="BV97"/>
  <c r="BV98"/>
  <c r="BV105"/>
  <c r="BV122"/>
  <c r="BV117"/>
  <c r="BV106"/>
  <c r="BV107"/>
  <c r="BV118"/>
  <c r="BV119"/>
  <c r="BV114"/>
  <c r="BV99"/>
  <c r="BV123"/>
  <c r="BV100"/>
  <c r="BV108"/>
  <c r="BV109"/>
  <c r="BV110"/>
  <c r="BV111"/>
  <c r="BV121"/>
  <c r="BV101"/>
  <c r="BV112"/>
  <c r="BV113"/>
  <c r="BV120"/>
  <c r="BV115"/>
  <c r="BV116"/>
  <c r="BV124"/>
  <c r="BV125"/>
  <c r="BV126"/>
  <c r="BV127"/>
  <c r="BV128"/>
  <c r="BV129"/>
  <c r="BV130"/>
  <c r="BV131"/>
  <c r="BV132"/>
  <c r="BV133"/>
  <c r="BV134"/>
  <c r="BV135"/>
  <c r="BV136"/>
  <c r="BV137"/>
  <c r="BV138"/>
  <c r="BV139"/>
  <c r="BV140"/>
  <c r="BV141"/>
  <c r="BV142"/>
  <c r="BV144"/>
  <c r="BV145"/>
  <c r="BV146"/>
  <c r="BV147"/>
  <c r="BV148"/>
  <c r="BV143"/>
  <c r="BV149"/>
  <c r="BV150"/>
  <c r="BV151"/>
  <c r="BV152"/>
  <c r="BV153"/>
  <c r="BV154"/>
  <c r="BV155"/>
  <c r="BV182"/>
  <c r="BV156"/>
  <c r="BV158"/>
  <c r="BV159"/>
  <c r="BV160"/>
  <c r="BV161"/>
  <c r="BV162"/>
  <c r="BV163"/>
  <c r="BV164"/>
  <c r="BV165"/>
  <c r="BV166"/>
  <c r="BV167"/>
  <c r="BV168"/>
  <c r="BV169"/>
  <c r="BV170"/>
  <c r="BV171"/>
  <c r="BV172"/>
  <c r="BV173"/>
  <c r="BV174"/>
  <c r="BV175"/>
  <c r="BV176"/>
  <c r="BV178"/>
  <c r="BV179"/>
  <c r="BV157"/>
  <c r="BV181"/>
  <c r="BV183"/>
  <c r="BV184"/>
  <c r="BV185"/>
  <c r="BV187"/>
  <c r="BV188"/>
  <c r="BV186"/>
  <c r="BV190"/>
  <c r="BV189"/>
  <c r="BV191"/>
  <c r="BV192"/>
  <c r="BV193"/>
  <c r="BV194"/>
  <c r="BV195"/>
  <c r="BV196"/>
  <c r="BV197"/>
  <c r="BV198"/>
  <c r="BV199"/>
  <c r="BV200"/>
  <c r="BV201"/>
  <c r="BV202"/>
  <c r="BV203"/>
  <c r="BV204"/>
  <c r="BV205"/>
  <c r="BV206"/>
  <c r="BV207"/>
  <c r="BV208"/>
  <c r="BV209"/>
  <c r="BV210"/>
  <c r="BV211"/>
  <c r="BV212"/>
  <c r="BV213"/>
  <c r="BV214"/>
  <c r="BV215"/>
  <c r="BV216"/>
  <c r="BV217"/>
  <c r="BV218"/>
  <c r="BV219"/>
  <c r="BV220"/>
  <c r="BV222"/>
  <c r="BV221"/>
  <c r="BV223"/>
  <c r="BV224"/>
  <c r="BV226"/>
  <c r="BV227"/>
  <c r="BV228"/>
  <c r="BV225"/>
  <c r="BV229"/>
  <c r="BV237"/>
  <c r="BV238"/>
  <c r="BV239"/>
  <c r="BV230"/>
  <c r="BV231"/>
  <c r="BV232"/>
  <c r="BV233"/>
  <c r="BV234"/>
  <c r="BV235"/>
  <c r="BV236"/>
  <c r="BV240"/>
  <c r="BV241"/>
  <c r="BV242"/>
  <c r="BV243"/>
  <c r="BV244"/>
  <c r="BV245"/>
  <c r="BV246"/>
  <c r="BV247"/>
  <c r="BV248"/>
  <c r="BV249"/>
  <c r="BV250"/>
  <c r="BV251"/>
  <c r="BV252"/>
  <c r="BV253"/>
  <c r="BV254"/>
  <c r="BV255"/>
  <c r="BV256"/>
  <c r="BV258"/>
  <c r="BV259"/>
  <c r="BV260"/>
  <c r="BV261"/>
  <c r="BV262"/>
  <c r="BV257"/>
  <c r="BV264"/>
  <c r="BV265"/>
  <c r="BV266"/>
  <c r="BV263"/>
  <c r="BV267"/>
  <c r="BV268"/>
  <c r="BV269"/>
  <c r="BV270"/>
  <c r="BV271"/>
  <c r="BV272"/>
  <c r="BV273"/>
  <c r="BV274"/>
  <c r="BV275"/>
  <c r="BV277"/>
  <c r="BV278"/>
  <c r="BV279"/>
  <c r="BV280"/>
  <c r="BV281"/>
  <c r="BV282"/>
  <c r="BV276"/>
  <c r="BV283"/>
  <c r="BV284"/>
  <c r="BV285"/>
  <c r="BV286"/>
  <c r="BV287"/>
  <c r="BV288"/>
  <c r="BV289"/>
  <c r="BV290"/>
  <c r="BV291"/>
  <c r="BV292"/>
  <c r="BV293"/>
  <c r="BV294"/>
  <c r="BV295"/>
  <c r="BV296"/>
  <c r="BV297"/>
  <c r="BV298"/>
  <c r="BV299"/>
  <c r="BV300"/>
  <c r="BV301"/>
  <c r="BV302"/>
  <c r="BV303"/>
  <c r="BV304"/>
  <c r="BV305"/>
  <c r="BV306"/>
  <c r="BV317"/>
  <c r="BV318"/>
  <c r="BV307"/>
  <c r="BV323"/>
  <c r="BV308"/>
  <c r="BV309"/>
  <c r="BV311"/>
  <c r="BV312"/>
  <c r="BV313"/>
  <c r="BV314"/>
  <c r="BV315"/>
  <c r="BV342"/>
  <c r="BV316"/>
  <c r="BV319"/>
  <c r="BV320"/>
  <c r="BV345"/>
  <c r="BV321"/>
  <c r="BV322"/>
  <c r="BV324"/>
  <c r="BV310"/>
  <c r="BV325"/>
  <c r="BV326"/>
  <c r="BV327"/>
  <c r="BV328"/>
  <c r="BV349"/>
  <c r="BV329"/>
  <c r="BV330"/>
  <c r="BV353"/>
  <c r="BV331"/>
  <c r="BV354"/>
  <c r="BV332"/>
  <c r="BV356"/>
  <c r="BV333"/>
  <c r="BV358"/>
  <c r="BV359"/>
  <c r="BV360"/>
  <c r="BV334"/>
  <c r="BV335"/>
  <c r="BV336"/>
  <c r="BV337"/>
  <c r="BV338"/>
  <c r="BV339"/>
  <c r="BV362"/>
  <c r="BV340"/>
  <c r="BV341"/>
  <c r="BV343"/>
  <c r="BV344"/>
  <c r="BV346"/>
  <c r="BV347"/>
  <c r="BV348"/>
  <c r="BV350"/>
  <c r="BV351"/>
  <c r="BV352"/>
  <c r="BV355"/>
  <c r="BV357"/>
  <c r="BV361"/>
  <c r="BV363"/>
  <c r="BV364"/>
  <c r="BV365"/>
  <c r="BV366"/>
  <c r="BV367"/>
  <c r="BV368"/>
  <c r="BV369"/>
  <c r="BV370"/>
  <c r="BV371"/>
  <c r="BV372"/>
  <c r="BV373"/>
  <c r="BV374"/>
  <c r="BV375"/>
  <c r="BV376"/>
  <c r="BV377"/>
  <c r="BV378"/>
  <c r="BV379"/>
  <c r="BV380"/>
  <c r="BV381"/>
  <c r="BV382"/>
  <c r="BV383"/>
  <c r="BV384"/>
  <c r="BV385"/>
  <c r="BV386"/>
  <c r="BV387"/>
  <c r="BV388"/>
  <c r="BV389"/>
  <c r="BV390"/>
  <c r="BV391"/>
  <c r="BV392"/>
  <c r="BV393"/>
  <c r="BV394"/>
  <c r="BV395"/>
  <c r="BV396"/>
  <c r="BV397"/>
  <c r="BV398"/>
  <c r="BV399"/>
  <c r="BV400"/>
  <c r="BV401"/>
  <c r="BV402"/>
  <c r="BV403"/>
  <c r="BV404"/>
  <c r="BV405"/>
  <c r="BV406"/>
  <c r="BV407"/>
  <c r="BV408"/>
  <c r="BV409"/>
  <c r="BV410"/>
  <c r="BV411"/>
  <c r="BV412"/>
  <c r="BV413"/>
  <c r="BV414"/>
  <c r="BV415"/>
  <c r="BV416"/>
  <c r="BV417"/>
  <c r="BV418"/>
  <c r="BV419"/>
  <c r="BV420"/>
  <c r="BV421"/>
  <c r="BV422"/>
  <c r="BV423"/>
  <c r="BV424"/>
  <c r="BV425"/>
  <c r="BV426"/>
  <c r="BV427"/>
  <c r="BV428"/>
  <c r="BV429"/>
  <c r="BV430"/>
  <c r="BV431"/>
  <c r="BV432"/>
  <c r="BV433"/>
  <c r="BV434"/>
  <c r="BV435"/>
  <c r="BV436"/>
  <c r="BV437"/>
  <c r="BV438"/>
  <c r="BV439"/>
  <c r="BV440"/>
  <c r="BV441"/>
  <c r="BV442"/>
  <c r="BV443"/>
  <c r="BV444"/>
  <c r="BV445"/>
  <c r="BV446"/>
  <c r="BV447"/>
  <c r="BV448"/>
  <c r="BV449"/>
  <c r="BV450"/>
  <c r="BV451"/>
  <c r="BV452"/>
  <c r="BV453"/>
  <c r="BV454"/>
  <c r="BV455"/>
  <c r="BV456"/>
  <c r="BV457"/>
  <c r="BV458"/>
  <c r="BV459"/>
  <c r="BV460"/>
  <c r="BV461"/>
  <c r="BV462"/>
  <c r="BV463"/>
  <c r="BV464"/>
  <c r="BV465"/>
  <c r="BV466"/>
  <c r="BV467"/>
  <c r="BV468"/>
  <c r="BV469"/>
  <c r="BV470"/>
  <c r="BV472"/>
  <c r="BV473"/>
  <c r="BV474"/>
  <c r="BV475"/>
  <c r="BV476"/>
  <c r="BV471"/>
  <c r="BV477"/>
  <c r="BV478"/>
  <c r="BV479"/>
  <c r="BV480"/>
  <c r="BV481"/>
  <c r="BV482"/>
  <c r="BV483"/>
  <c r="BV484"/>
  <c r="BV485"/>
  <c r="BV486"/>
  <c r="BV487"/>
  <c r="BV488"/>
  <c r="BV489"/>
  <c r="BV490"/>
  <c r="BV491"/>
  <c r="BV492"/>
  <c r="BV493"/>
  <c r="BV494"/>
  <c r="BV495"/>
  <c r="BV496"/>
  <c r="BV497"/>
  <c r="BV498"/>
  <c r="BV499"/>
  <c r="BV500"/>
  <c r="BV501"/>
  <c r="BV502"/>
  <c r="BV503"/>
  <c r="BV504"/>
  <c r="BV505"/>
  <c r="BV506"/>
  <c r="BV507"/>
  <c r="BV508"/>
  <c r="BV509"/>
  <c r="BV510"/>
  <c r="BV511"/>
  <c r="BV512"/>
  <c r="BV513"/>
  <c r="BV514"/>
  <c r="BV515"/>
  <c r="BV516"/>
  <c r="BV517"/>
  <c r="BV518"/>
  <c r="BV519"/>
  <c r="BV520"/>
  <c r="BV521"/>
  <c r="BV522"/>
  <c r="BV523"/>
  <c r="BV524"/>
  <c r="BV525"/>
  <c r="BV526"/>
  <c r="BV527"/>
  <c r="BV528"/>
  <c r="BV529"/>
  <c r="BV530"/>
  <c r="BV531"/>
  <c r="BV532"/>
  <c r="BV533"/>
  <c r="BV534"/>
  <c r="BV535"/>
  <c r="BV536"/>
  <c r="BV537"/>
  <c r="BV538"/>
  <c r="BV539"/>
  <c r="BV540"/>
  <c r="BV541"/>
  <c r="BV542"/>
  <c r="BV544"/>
  <c r="BV545"/>
  <c r="BV546"/>
  <c r="BV547"/>
  <c r="BV548"/>
  <c r="BV543"/>
  <c r="BV549"/>
  <c r="BV550"/>
  <c r="BV551"/>
  <c r="BV552"/>
  <c r="BV553"/>
  <c r="BV554"/>
  <c r="BV555"/>
  <c r="BV556"/>
  <c r="BV557"/>
  <c r="BV558"/>
  <c r="BV559"/>
  <c r="BV560"/>
  <c r="BV561"/>
  <c r="BV562"/>
  <c r="BV563"/>
  <c r="BV565"/>
  <c r="BV566"/>
  <c r="BV567"/>
  <c r="BV568"/>
  <c r="BV569"/>
  <c r="BV570"/>
  <c r="BV572"/>
  <c r="BV573"/>
  <c r="BV574"/>
  <c r="BV575"/>
  <c r="BV576"/>
  <c r="BV577"/>
  <c r="BV578"/>
  <c r="BV579"/>
  <c r="BV580"/>
  <c r="BV581"/>
  <c r="BV582"/>
  <c r="BV583"/>
  <c r="BV584"/>
  <c r="BV585"/>
  <c r="BV586"/>
  <c r="BV587"/>
  <c r="BV588"/>
  <c r="BV564"/>
  <c r="BV589"/>
  <c r="BV590"/>
  <c r="BV591"/>
  <c r="BV592"/>
  <c r="BV593"/>
  <c r="BV594"/>
  <c r="BV595"/>
  <c r="BV571"/>
  <c r="BV596"/>
  <c r="BV597"/>
  <c r="BV598"/>
  <c r="BV599"/>
  <c r="BV600"/>
  <c r="BV601"/>
  <c r="BV602"/>
  <c r="BV603"/>
  <c r="BV604"/>
  <c r="BV605"/>
  <c r="BV606"/>
  <c r="BV607"/>
  <c r="BV608"/>
  <c r="BV609"/>
  <c r="BV610"/>
  <c r="BV611"/>
  <c r="BV612"/>
  <c r="BV613"/>
  <c r="BV614"/>
  <c r="BV615"/>
  <c r="BV616"/>
  <c r="BV617"/>
  <c r="BV618"/>
  <c r="BV619"/>
  <c r="BV620"/>
  <c r="BV621"/>
  <c r="BV622"/>
  <c r="BV623"/>
  <c r="BV624"/>
  <c r="BV625"/>
  <c r="BV626"/>
  <c r="BV627"/>
  <c r="BV628"/>
  <c r="BV629"/>
  <c r="BV630"/>
  <c r="BV631"/>
  <c r="BV632"/>
  <c r="BV633"/>
  <c r="BV634"/>
  <c r="BV635"/>
  <c r="BV636"/>
  <c r="BV637"/>
  <c r="BV638"/>
  <c r="BV639"/>
  <c r="BV640"/>
  <c r="BV641"/>
  <c r="BV642"/>
  <c r="BV643"/>
  <c r="BV644"/>
  <c r="BV645"/>
  <c r="BV646"/>
  <c r="BV647"/>
  <c r="BV648"/>
  <c r="BV649"/>
  <c r="BV650"/>
  <c r="BV651"/>
  <c r="BV652"/>
  <c r="BV653"/>
  <c r="BV654"/>
  <c r="BV655"/>
  <c r="BV656"/>
  <c r="BV657"/>
  <c r="BV658"/>
  <c r="BV659"/>
  <c r="BV660"/>
  <c r="BV661"/>
  <c r="BV662"/>
  <c r="BV663"/>
  <c r="BV664"/>
  <c r="BV665"/>
  <c r="BV667"/>
  <c r="BV668"/>
  <c r="BV669"/>
  <c r="BV666"/>
  <c r="BV670"/>
  <c r="BV671"/>
  <c r="BV672"/>
  <c r="BV673"/>
  <c r="BV674"/>
  <c r="BV675"/>
  <c r="BV676"/>
  <c r="BV677"/>
  <c r="BV678"/>
  <c r="BV679"/>
  <c r="BV680"/>
  <c r="BV681"/>
  <c r="BV682"/>
  <c r="BV683"/>
  <c r="BS10"/>
  <c r="BS11"/>
  <c r="BS12"/>
  <c r="BS13"/>
  <c r="BS14"/>
  <c r="BS15"/>
  <c r="BS16"/>
  <c r="BS17"/>
  <c r="BS18"/>
  <c r="BS19"/>
  <c r="BS20"/>
  <c r="BS21"/>
  <c r="BS22"/>
  <c r="BS23"/>
  <c r="BS24"/>
  <c r="BS25"/>
  <c r="BS26"/>
  <c r="BS27"/>
  <c r="BS28"/>
  <c r="BS29"/>
  <c r="BS30"/>
  <c r="BS32"/>
  <c r="BS33"/>
  <c r="BS34"/>
  <c r="BS35"/>
  <c r="BS36"/>
  <c r="BS37"/>
  <c r="BS38"/>
  <c r="BS39"/>
  <c r="BS40"/>
  <c r="BS41"/>
  <c r="BS42"/>
  <c r="BS31"/>
  <c r="BS43"/>
  <c r="BS44"/>
  <c r="BS45"/>
  <c r="BS46"/>
  <c r="BS47"/>
  <c r="BS48"/>
  <c r="BS49"/>
  <c r="BS50"/>
  <c r="BS51"/>
  <c r="BS52"/>
  <c r="BS53"/>
  <c r="BS54"/>
  <c r="BS55"/>
  <c r="BS56"/>
  <c r="BS57"/>
  <c r="BS58"/>
  <c r="BS59"/>
  <c r="BS61"/>
  <c r="BS62"/>
  <c r="BS63"/>
  <c r="BS64"/>
  <c r="BS65"/>
  <c r="BS66"/>
  <c r="BS67"/>
  <c r="BS68"/>
  <c r="BS60"/>
  <c r="BS69"/>
  <c r="BS70"/>
  <c r="BS71"/>
  <c r="BS72"/>
  <c r="BS73"/>
  <c r="BS74"/>
  <c r="BS75"/>
  <c r="BS76"/>
  <c r="BS77"/>
  <c r="BS78"/>
  <c r="BS79"/>
  <c r="BS80"/>
  <c r="BS81"/>
  <c r="BS82"/>
  <c r="BS83"/>
  <c r="BS84"/>
  <c r="BS85"/>
  <c r="BS86"/>
  <c r="BS87"/>
  <c r="BS88"/>
  <c r="BS89"/>
  <c r="BS90"/>
  <c r="BS91"/>
  <c r="BS92"/>
  <c r="BS93"/>
  <c r="BS94"/>
  <c r="BS95"/>
  <c r="BS102"/>
  <c r="BS103"/>
  <c r="BS104"/>
  <c r="BS96"/>
  <c r="BS97"/>
  <c r="BS98"/>
  <c r="BS105"/>
  <c r="BS122"/>
  <c r="BS117"/>
  <c r="BS106"/>
  <c r="BS107"/>
  <c r="BS118"/>
  <c r="BS119"/>
  <c r="BS114"/>
  <c r="BS99"/>
  <c r="BS123"/>
  <c r="BS100"/>
  <c r="BS108"/>
  <c r="BS109"/>
  <c r="BS110"/>
  <c r="BS111"/>
  <c r="BS121"/>
  <c r="BS101"/>
  <c r="BS112"/>
  <c r="BS113"/>
  <c r="BS120"/>
  <c r="BS115"/>
  <c r="BS116"/>
  <c r="BS124"/>
  <c r="BS125"/>
  <c r="BS126"/>
  <c r="BS127"/>
  <c r="BS128"/>
  <c r="BS129"/>
  <c r="BS130"/>
  <c r="BS131"/>
  <c r="BS132"/>
  <c r="BS133"/>
  <c r="BS134"/>
  <c r="BS135"/>
  <c r="BS136"/>
  <c r="BS137"/>
  <c r="BS138"/>
  <c r="BS139"/>
  <c r="BS140"/>
  <c r="BS141"/>
  <c r="BS142"/>
  <c r="BS144"/>
  <c r="BS145"/>
  <c r="BS146"/>
  <c r="BS147"/>
  <c r="BS148"/>
  <c r="BS143"/>
  <c r="BS149"/>
  <c r="BS150"/>
  <c r="BS151"/>
  <c r="BS152"/>
  <c r="BS153"/>
  <c r="BS154"/>
  <c r="BS155"/>
  <c r="BS182"/>
  <c r="BS156"/>
  <c r="BS158"/>
  <c r="BS159"/>
  <c r="BS160"/>
  <c r="BS161"/>
  <c r="BS162"/>
  <c r="BS163"/>
  <c r="BS164"/>
  <c r="BS165"/>
  <c r="BS177"/>
  <c r="BS166"/>
  <c r="BS167"/>
  <c r="BS168"/>
  <c r="BS169"/>
  <c r="BS170"/>
  <c r="BS171"/>
  <c r="BS172"/>
  <c r="BS173"/>
  <c r="BS174"/>
  <c r="BS175"/>
  <c r="BS176"/>
  <c r="BS178"/>
  <c r="BS180"/>
  <c r="BS179"/>
  <c r="BS157"/>
  <c r="BS181"/>
  <c r="BS188"/>
  <c r="BS186"/>
  <c r="BS189"/>
  <c r="BS191"/>
  <c r="BS192"/>
  <c r="BS193"/>
  <c r="BS194"/>
  <c r="BS195"/>
  <c r="BS196"/>
  <c r="BS197"/>
  <c r="BS198"/>
  <c r="BS199"/>
  <c r="BS200"/>
  <c r="BS201"/>
  <c r="BS202"/>
  <c r="BS203"/>
  <c r="BS204"/>
  <c r="BS205"/>
  <c r="BS206"/>
  <c r="BS207"/>
  <c r="BS208"/>
  <c r="BS209"/>
  <c r="BS210"/>
  <c r="BS211"/>
  <c r="BS212"/>
  <c r="BS213"/>
  <c r="BS214"/>
  <c r="BS215"/>
  <c r="BS216"/>
  <c r="BS217"/>
  <c r="BS218"/>
  <c r="BS219"/>
  <c r="BS220"/>
  <c r="BS222"/>
  <c r="BS221"/>
  <c r="BS223"/>
  <c r="BS224"/>
  <c r="BS226"/>
  <c r="BS227"/>
  <c r="BS228"/>
  <c r="BS225"/>
  <c r="BS229"/>
  <c r="BS237"/>
  <c r="BS238"/>
  <c r="BS239"/>
  <c r="BS230"/>
  <c r="BS231"/>
  <c r="BS232"/>
  <c r="BS233"/>
  <c r="BS234"/>
  <c r="BS235"/>
  <c r="BS236"/>
  <c r="BS240"/>
  <c r="BS241"/>
  <c r="BS242"/>
  <c r="BS243"/>
  <c r="BS244"/>
  <c r="BS245"/>
  <c r="BS246"/>
  <c r="BS247"/>
  <c r="BS248"/>
  <c r="BS249"/>
  <c r="BS250"/>
  <c r="BS251"/>
  <c r="BS252"/>
  <c r="BS253"/>
  <c r="BS254"/>
  <c r="BS255"/>
  <c r="BS256"/>
  <c r="BS258"/>
  <c r="BS259"/>
  <c r="BS260"/>
  <c r="BS261"/>
  <c r="BS262"/>
  <c r="BS257"/>
  <c r="BS264"/>
  <c r="BS265"/>
  <c r="BS266"/>
  <c r="BS263"/>
  <c r="BS267"/>
  <c r="BS268"/>
  <c r="BS269"/>
  <c r="BS270"/>
  <c r="BS271"/>
  <c r="BS272"/>
  <c r="BS273"/>
  <c r="BS274"/>
  <c r="BS275"/>
  <c r="BS277"/>
  <c r="BS278"/>
  <c r="BS279"/>
  <c r="BS280"/>
  <c r="BS281"/>
  <c r="BS282"/>
  <c r="BS276"/>
  <c r="BS283"/>
  <c r="BS284"/>
  <c r="BS285"/>
  <c r="BS286"/>
  <c r="BS287"/>
  <c r="BS288"/>
  <c r="BS289"/>
  <c r="BS290"/>
  <c r="BS291"/>
  <c r="BS292"/>
  <c r="BS293"/>
  <c r="BS294"/>
  <c r="BS295"/>
  <c r="BS296"/>
  <c r="BS297"/>
  <c r="BS298"/>
  <c r="BS299"/>
  <c r="BS300"/>
  <c r="BS301"/>
  <c r="BS302"/>
  <c r="BS303"/>
  <c r="BS304"/>
  <c r="BS305"/>
  <c r="BS306"/>
  <c r="BS317"/>
  <c r="BS318"/>
  <c r="BS307"/>
  <c r="BS323"/>
  <c r="BS308"/>
  <c r="BS309"/>
  <c r="BS311"/>
  <c r="BS312"/>
  <c r="BS313"/>
  <c r="BS314"/>
  <c r="BS315"/>
  <c r="BS342"/>
  <c r="BS316"/>
  <c r="BS319"/>
  <c r="BS320"/>
  <c r="BS345"/>
  <c r="BS321"/>
  <c r="BS322"/>
  <c r="BS324"/>
  <c r="BS310"/>
  <c r="BS325"/>
  <c r="BS326"/>
  <c r="BS327"/>
  <c r="BS328"/>
  <c r="BS349"/>
  <c r="BS329"/>
  <c r="BS330"/>
  <c r="BS353"/>
  <c r="BS331"/>
  <c r="BS354"/>
  <c r="BS332"/>
  <c r="BS356"/>
  <c r="BS333"/>
  <c r="BS358"/>
  <c r="BS359"/>
  <c r="BS360"/>
  <c r="BS334"/>
  <c r="BS335"/>
  <c r="BS336"/>
  <c r="BS337"/>
  <c r="BS338"/>
  <c r="BS339"/>
  <c r="BS362"/>
  <c r="BS340"/>
  <c r="BS341"/>
  <c r="BS343"/>
  <c r="BS344"/>
  <c r="BS346"/>
  <c r="BS347"/>
  <c r="BS348"/>
  <c r="BS350"/>
  <c r="BS351"/>
  <c r="BS352"/>
  <c r="BS355"/>
  <c r="BS357"/>
  <c r="BS361"/>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2"/>
  <c r="BS473"/>
  <c r="BS474"/>
  <c r="BS475"/>
  <c r="BS476"/>
  <c r="BS471"/>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4"/>
  <c r="BS545"/>
  <c r="BS546"/>
  <c r="BS547"/>
  <c r="BS548"/>
  <c r="BS543"/>
  <c r="BS549"/>
  <c r="BS550"/>
  <c r="BS551"/>
  <c r="BS552"/>
  <c r="BS553"/>
  <c r="BS554"/>
  <c r="BS555"/>
  <c r="BS556"/>
  <c r="BS557"/>
  <c r="BS558"/>
  <c r="BS559"/>
  <c r="BS560"/>
  <c r="BS561"/>
  <c r="BS562"/>
  <c r="BS563"/>
  <c r="BS565"/>
  <c r="BS566"/>
  <c r="BS567"/>
  <c r="BS568"/>
  <c r="BS569"/>
  <c r="BS570"/>
  <c r="BS572"/>
  <c r="BS573"/>
  <c r="BS574"/>
  <c r="BS575"/>
  <c r="BS576"/>
  <c r="BS577"/>
  <c r="BS578"/>
  <c r="BS579"/>
  <c r="BS580"/>
  <c r="BS581"/>
  <c r="BS582"/>
  <c r="BS583"/>
  <c r="BS584"/>
  <c r="BS585"/>
  <c r="BS586"/>
  <c r="BS587"/>
  <c r="BS588"/>
  <c r="BS564"/>
  <c r="BS589"/>
  <c r="BS590"/>
  <c r="BS591"/>
  <c r="BS592"/>
  <c r="BS593"/>
  <c r="BS594"/>
  <c r="BS595"/>
  <c r="BS571"/>
  <c r="BS596"/>
  <c r="BS597"/>
  <c r="BS598"/>
  <c r="BS599"/>
  <c r="BS600"/>
  <c r="BS601"/>
  <c r="BS602"/>
  <c r="BS603"/>
  <c r="BS604"/>
  <c r="BS605"/>
  <c r="BS606"/>
  <c r="BS607"/>
  <c r="BS608"/>
  <c r="BS609"/>
  <c r="BS610"/>
  <c r="BS611"/>
  <c r="BS612"/>
  <c r="BS613"/>
  <c r="BS614"/>
  <c r="BS615"/>
  <c r="BS616"/>
  <c r="BS617"/>
  <c r="BS618"/>
  <c r="BS619"/>
  <c r="BS620"/>
  <c r="BS621"/>
  <c r="BS622"/>
  <c r="BS623"/>
  <c r="BS624"/>
  <c r="BS625"/>
  <c r="BS626"/>
  <c r="BS627"/>
  <c r="BS628"/>
  <c r="BS629"/>
  <c r="BS630"/>
  <c r="BS631"/>
  <c r="BS632"/>
  <c r="BS633"/>
  <c r="BS634"/>
  <c r="BS635"/>
  <c r="BS636"/>
  <c r="BS637"/>
  <c r="BS638"/>
  <c r="BS639"/>
  <c r="BS640"/>
  <c r="BS641"/>
  <c r="BS642"/>
  <c r="BS643"/>
  <c r="BS644"/>
  <c r="BS645"/>
  <c r="BS646"/>
  <c r="BS647"/>
  <c r="BS648"/>
  <c r="BS649"/>
  <c r="BS650"/>
  <c r="BS651"/>
  <c r="BS652"/>
  <c r="BS653"/>
  <c r="BS654"/>
  <c r="BS655"/>
  <c r="BS656"/>
  <c r="BS657"/>
  <c r="BS658"/>
  <c r="BS659"/>
  <c r="BS660"/>
  <c r="BS661"/>
  <c r="BS662"/>
  <c r="BS663"/>
  <c r="BS664"/>
  <c r="BS665"/>
  <c r="BS667"/>
  <c r="BS668"/>
  <c r="BS669"/>
  <c r="BS666"/>
  <c r="BS670"/>
  <c r="BS671"/>
  <c r="BS672"/>
  <c r="BS673"/>
  <c r="BS674"/>
  <c r="BS675"/>
  <c r="BS676"/>
  <c r="BS677"/>
  <c r="BS678"/>
  <c r="BS679"/>
  <c r="BS680"/>
  <c r="BS681"/>
  <c r="BS682"/>
  <c r="BS683"/>
  <c r="BP10"/>
  <c r="BP11"/>
  <c r="BP12"/>
  <c r="BP13"/>
  <c r="BP14"/>
  <c r="BP15"/>
  <c r="BP16"/>
  <c r="BP17"/>
  <c r="BP18"/>
  <c r="BP19"/>
  <c r="BP20"/>
  <c r="BP21"/>
  <c r="BP22"/>
  <c r="BP23"/>
  <c r="BP24"/>
  <c r="BP25"/>
  <c r="BP26"/>
  <c r="BP27"/>
  <c r="BP28"/>
  <c r="BP29"/>
  <c r="BP30"/>
  <c r="BP32"/>
  <c r="BP33"/>
  <c r="BP34"/>
  <c r="BP35"/>
  <c r="BP36"/>
  <c r="BP37"/>
  <c r="BP38"/>
  <c r="BP39"/>
  <c r="BP40"/>
  <c r="BP41"/>
  <c r="BP42"/>
  <c r="BP31"/>
  <c r="BP43"/>
  <c r="BP44"/>
  <c r="BP45"/>
  <c r="BP46"/>
  <c r="BP47"/>
  <c r="BP48"/>
  <c r="BP49"/>
  <c r="BP50"/>
  <c r="BP51"/>
  <c r="BP52"/>
  <c r="BP53"/>
  <c r="BP54"/>
  <c r="BP55"/>
  <c r="BP56"/>
  <c r="BP57"/>
  <c r="BP58"/>
  <c r="BP59"/>
  <c r="BP61"/>
  <c r="BP62"/>
  <c r="BP63"/>
  <c r="BP64"/>
  <c r="BP65"/>
  <c r="BP66"/>
  <c r="BP67"/>
  <c r="BP68"/>
  <c r="BP60"/>
  <c r="BP69"/>
  <c r="BP70"/>
  <c r="BP71"/>
  <c r="BP72"/>
  <c r="BP73"/>
  <c r="BP74"/>
  <c r="BP75"/>
  <c r="BP76"/>
  <c r="BP77"/>
  <c r="BP78"/>
  <c r="BP79"/>
  <c r="BP80"/>
  <c r="BP81"/>
  <c r="BP82"/>
  <c r="BP83"/>
  <c r="BP84"/>
  <c r="BP85"/>
  <c r="BP86"/>
  <c r="BP87"/>
  <c r="BP88"/>
  <c r="BP89"/>
  <c r="BP90"/>
  <c r="BP91"/>
  <c r="BP92"/>
  <c r="BP93"/>
  <c r="BP94"/>
  <c r="BP95"/>
  <c r="BP102"/>
  <c r="BP103"/>
  <c r="BP104"/>
  <c r="BP96"/>
  <c r="BP97"/>
  <c r="BP98"/>
  <c r="BP105"/>
  <c r="BP122"/>
  <c r="BP117"/>
  <c r="BP106"/>
  <c r="BP107"/>
  <c r="BP118"/>
  <c r="BP119"/>
  <c r="BP114"/>
  <c r="BP99"/>
  <c r="BP123"/>
  <c r="BP100"/>
  <c r="BP108"/>
  <c r="BP109"/>
  <c r="BP110"/>
  <c r="BP111"/>
  <c r="BP121"/>
  <c r="BP101"/>
  <c r="BP112"/>
  <c r="BP113"/>
  <c r="BP120"/>
  <c r="BP115"/>
  <c r="BP116"/>
  <c r="BP124"/>
  <c r="BP125"/>
  <c r="BP126"/>
  <c r="BP127"/>
  <c r="BP128"/>
  <c r="BP129"/>
  <c r="BP130"/>
  <c r="BP131"/>
  <c r="BP132"/>
  <c r="BP133"/>
  <c r="BP134"/>
  <c r="BP135"/>
  <c r="BP136"/>
  <c r="BP137"/>
  <c r="BP138"/>
  <c r="BP139"/>
  <c r="BP140"/>
  <c r="BP141"/>
  <c r="BP142"/>
  <c r="BP144"/>
  <c r="BP145"/>
  <c r="BP146"/>
  <c r="BP147"/>
  <c r="BP148"/>
  <c r="BP143"/>
  <c r="BP149"/>
  <c r="BP150"/>
  <c r="BP151"/>
  <c r="BP152"/>
  <c r="BP153"/>
  <c r="BP154"/>
  <c r="BP155"/>
  <c r="BP182"/>
  <c r="BP156"/>
  <c r="BP158"/>
  <c r="BP159"/>
  <c r="BP160"/>
  <c r="BP161"/>
  <c r="BP162"/>
  <c r="BP163"/>
  <c r="BP164"/>
  <c r="BP165"/>
  <c r="BP177"/>
  <c r="BP166"/>
  <c r="BP167"/>
  <c r="BP168"/>
  <c r="BP169"/>
  <c r="BP170"/>
  <c r="BP171"/>
  <c r="BP172"/>
  <c r="BP173"/>
  <c r="BP174"/>
  <c r="BP175"/>
  <c r="BP176"/>
  <c r="BP178"/>
  <c r="BP180"/>
  <c r="BP179"/>
  <c r="BP157"/>
  <c r="BP181"/>
  <c r="BP183"/>
  <c r="BP184"/>
  <c r="BP185"/>
  <c r="BP187"/>
  <c r="BP188"/>
  <c r="BP186"/>
  <c r="BP190"/>
  <c r="BP189"/>
  <c r="BP191"/>
  <c r="BP192"/>
  <c r="BP193"/>
  <c r="BP194"/>
  <c r="BP195"/>
  <c r="BP196"/>
  <c r="BP197"/>
  <c r="BP198"/>
  <c r="BP199"/>
  <c r="BP200"/>
  <c r="BP201"/>
  <c r="BP202"/>
  <c r="BP203"/>
  <c r="BP204"/>
  <c r="BP205"/>
  <c r="BP206"/>
  <c r="BP207"/>
  <c r="BP208"/>
  <c r="BP209"/>
  <c r="BP210"/>
  <c r="BP211"/>
  <c r="BP212"/>
  <c r="BP213"/>
  <c r="BP214"/>
  <c r="BP215"/>
  <c r="BP216"/>
  <c r="BP217"/>
  <c r="BP218"/>
  <c r="BP219"/>
  <c r="BP220"/>
  <c r="BP222"/>
  <c r="BP221"/>
  <c r="BP223"/>
  <c r="BP224"/>
  <c r="BP226"/>
  <c r="BP227"/>
  <c r="BP228"/>
  <c r="BP225"/>
  <c r="BP229"/>
  <c r="BP237"/>
  <c r="BP238"/>
  <c r="BP239"/>
  <c r="BP230"/>
  <c r="BP231"/>
  <c r="BP232"/>
  <c r="BP233"/>
  <c r="BP234"/>
  <c r="BP235"/>
  <c r="BP236"/>
  <c r="BP240"/>
  <c r="BP241"/>
  <c r="BP242"/>
  <c r="BP243"/>
  <c r="BP244"/>
  <c r="BP245"/>
  <c r="BP246"/>
  <c r="BP247"/>
  <c r="BP248"/>
  <c r="BP249"/>
  <c r="BP250"/>
  <c r="BP251"/>
  <c r="BP252"/>
  <c r="BP253"/>
  <c r="BP254"/>
  <c r="BP255"/>
  <c r="BP256"/>
  <c r="BP258"/>
  <c r="BP259"/>
  <c r="BP260"/>
  <c r="BP261"/>
  <c r="BP262"/>
  <c r="BP257"/>
  <c r="BP264"/>
  <c r="BP265"/>
  <c r="BP266"/>
  <c r="BP263"/>
  <c r="BP267"/>
  <c r="BP268"/>
  <c r="BP269"/>
  <c r="BP270"/>
  <c r="BP271"/>
  <c r="BP272"/>
  <c r="BP273"/>
  <c r="BP274"/>
  <c r="BP275"/>
  <c r="BP277"/>
  <c r="BP278"/>
  <c r="BP279"/>
  <c r="BP280"/>
  <c r="BP281"/>
  <c r="BP282"/>
  <c r="BP276"/>
  <c r="BP283"/>
  <c r="BP284"/>
  <c r="BP285"/>
  <c r="BP286"/>
  <c r="BP287"/>
  <c r="BP288"/>
  <c r="BP289"/>
  <c r="BP290"/>
  <c r="BP291"/>
  <c r="BP292"/>
  <c r="BP293"/>
  <c r="BP294"/>
  <c r="BP295"/>
  <c r="BP296"/>
  <c r="BP297"/>
  <c r="BP298"/>
  <c r="BP299"/>
  <c r="BP300"/>
  <c r="BP301"/>
  <c r="BP302"/>
  <c r="BP303"/>
  <c r="BP304"/>
  <c r="BP305"/>
  <c r="BP306"/>
  <c r="BP317"/>
  <c r="BP318"/>
  <c r="BP307"/>
  <c r="BP323"/>
  <c r="BP308"/>
  <c r="BP309"/>
  <c r="BP311"/>
  <c r="BP312"/>
  <c r="BP313"/>
  <c r="BP314"/>
  <c r="BP315"/>
  <c r="BP342"/>
  <c r="BP316"/>
  <c r="BP319"/>
  <c r="BP320"/>
  <c r="BP345"/>
  <c r="BP321"/>
  <c r="BP322"/>
  <c r="BP324"/>
  <c r="BP310"/>
  <c r="BP325"/>
  <c r="BP326"/>
  <c r="BP327"/>
  <c r="BP328"/>
  <c r="BP349"/>
  <c r="BP329"/>
  <c r="BP330"/>
  <c r="BP353"/>
  <c r="BP331"/>
  <c r="BP354"/>
  <c r="BP332"/>
  <c r="BP356"/>
  <c r="BP333"/>
  <c r="BP358"/>
  <c r="BP359"/>
  <c r="BP360"/>
  <c r="BP334"/>
  <c r="BP335"/>
  <c r="BP336"/>
  <c r="BP337"/>
  <c r="BP338"/>
  <c r="BP339"/>
  <c r="BP362"/>
  <c r="BP340"/>
  <c r="BP341"/>
  <c r="BP343"/>
  <c r="BP344"/>
  <c r="BP346"/>
  <c r="BP347"/>
  <c r="BP348"/>
  <c r="BP350"/>
  <c r="BP351"/>
  <c r="BP352"/>
  <c r="BP355"/>
  <c r="BP357"/>
  <c r="BP361"/>
  <c r="BP363"/>
  <c r="BP364"/>
  <c r="BP365"/>
  <c r="BP366"/>
  <c r="BP367"/>
  <c r="BP368"/>
  <c r="BP369"/>
  <c r="BP370"/>
  <c r="BP371"/>
  <c r="BP372"/>
  <c r="BP373"/>
  <c r="BP374"/>
  <c r="BP375"/>
  <c r="BP376"/>
  <c r="BP377"/>
  <c r="BP378"/>
  <c r="BP379"/>
  <c r="BP380"/>
  <c r="BP381"/>
  <c r="BP382"/>
  <c r="BP383"/>
  <c r="BP384"/>
  <c r="BP385"/>
  <c r="BP386"/>
  <c r="BP387"/>
  <c r="BP388"/>
  <c r="BP389"/>
  <c r="BP390"/>
  <c r="BP391"/>
  <c r="BP392"/>
  <c r="BP393"/>
  <c r="BP394"/>
  <c r="BP395"/>
  <c r="BP396"/>
  <c r="BP397"/>
  <c r="BP398"/>
  <c r="BP399"/>
  <c r="BP400"/>
  <c r="BP401"/>
  <c r="BP402"/>
  <c r="BP403"/>
  <c r="BP404"/>
  <c r="BP405"/>
  <c r="BP406"/>
  <c r="BP407"/>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BP449"/>
  <c r="BP450"/>
  <c r="BP451"/>
  <c r="BP452"/>
  <c r="BP453"/>
  <c r="BP454"/>
  <c r="BP455"/>
  <c r="BP456"/>
  <c r="BP457"/>
  <c r="BP458"/>
  <c r="BP459"/>
  <c r="BP460"/>
  <c r="BP461"/>
  <c r="BP462"/>
  <c r="BP463"/>
  <c r="BP464"/>
  <c r="BP465"/>
  <c r="BP466"/>
  <c r="BP467"/>
  <c r="BP468"/>
  <c r="BP469"/>
  <c r="BP470"/>
  <c r="BP472"/>
  <c r="BP473"/>
  <c r="BP474"/>
  <c r="BP475"/>
  <c r="BP476"/>
  <c r="BP471"/>
  <c r="BP477"/>
  <c r="BP478"/>
  <c r="BP479"/>
  <c r="BP480"/>
  <c r="BP481"/>
  <c r="BP482"/>
  <c r="BP483"/>
  <c r="BP484"/>
  <c r="BP485"/>
  <c r="BP486"/>
  <c r="BP487"/>
  <c r="BP488"/>
  <c r="BP489"/>
  <c r="BP490"/>
  <c r="BP491"/>
  <c r="BP492"/>
  <c r="BP493"/>
  <c r="BP494"/>
  <c r="BP495"/>
  <c r="BP496"/>
  <c r="BP497"/>
  <c r="BP498"/>
  <c r="BP499"/>
  <c r="BP500"/>
  <c r="BP501"/>
  <c r="BP502"/>
  <c r="BP503"/>
  <c r="BP504"/>
  <c r="BP505"/>
  <c r="BP506"/>
  <c r="BP507"/>
  <c r="BP508"/>
  <c r="BP509"/>
  <c r="BP510"/>
  <c r="BP511"/>
  <c r="BP512"/>
  <c r="BP513"/>
  <c r="BP514"/>
  <c r="BP515"/>
  <c r="BP516"/>
  <c r="BP517"/>
  <c r="BP518"/>
  <c r="BP519"/>
  <c r="BP520"/>
  <c r="BP521"/>
  <c r="BP522"/>
  <c r="BP523"/>
  <c r="BP524"/>
  <c r="BP525"/>
  <c r="BP526"/>
  <c r="BP527"/>
  <c r="BP528"/>
  <c r="BP529"/>
  <c r="BP530"/>
  <c r="BP531"/>
  <c r="BP532"/>
  <c r="BP533"/>
  <c r="BP534"/>
  <c r="BP535"/>
  <c r="BP536"/>
  <c r="BP537"/>
  <c r="BP538"/>
  <c r="BP539"/>
  <c r="BP540"/>
  <c r="BP541"/>
  <c r="BP542"/>
  <c r="BP544"/>
  <c r="BP545"/>
  <c r="BP546"/>
  <c r="BP547"/>
  <c r="BP548"/>
  <c r="BP543"/>
  <c r="BP549"/>
  <c r="BP550"/>
  <c r="BP551"/>
  <c r="BP552"/>
  <c r="BP553"/>
  <c r="BP554"/>
  <c r="BP555"/>
  <c r="BP556"/>
  <c r="BP557"/>
  <c r="BP558"/>
  <c r="BP559"/>
  <c r="BP560"/>
  <c r="BP561"/>
  <c r="BP562"/>
  <c r="BP563"/>
  <c r="BP565"/>
  <c r="BP566"/>
  <c r="BP567"/>
  <c r="BP568"/>
  <c r="BP569"/>
  <c r="BP570"/>
  <c r="BP572"/>
  <c r="BP573"/>
  <c r="BP574"/>
  <c r="BP575"/>
  <c r="BP576"/>
  <c r="BP577"/>
  <c r="BP578"/>
  <c r="BP579"/>
  <c r="BP580"/>
  <c r="BP581"/>
  <c r="BP582"/>
  <c r="BP583"/>
  <c r="BP584"/>
  <c r="BP585"/>
  <c r="BP586"/>
  <c r="BP587"/>
  <c r="BP588"/>
  <c r="BP564"/>
  <c r="BP589"/>
  <c r="BP590"/>
  <c r="BP591"/>
  <c r="BP592"/>
  <c r="BP593"/>
  <c r="BP594"/>
  <c r="BP595"/>
  <c r="BP571"/>
  <c r="BP596"/>
  <c r="BP597"/>
  <c r="BP598"/>
  <c r="BP599"/>
  <c r="BP600"/>
  <c r="BP601"/>
  <c r="BP602"/>
  <c r="BP603"/>
  <c r="BP604"/>
  <c r="BP605"/>
  <c r="BP606"/>
  <c r="BP607"/>
  <c r="BP608"/>
  <c r="BP609"/>
  <c r="BP610"/>
  <c r="BP611"/>
  <c r="BP612"/>
  <c r="BP613"/>
  <c r="BP614"/>
  <c r="BP615"/>
  <c r="BP616"/>
  <c r="BP617"/>
  <c r="BP618"/>
  <c r="BP619"/>
  <c r="BP620"/>
  <c r="BP621"/>
  <c r="BP622"/>
  <c r="BP623"/>
  <c r="BP624"/>
  <c r="BP625"/>
  <c r="BP626"/>
  <c r="BP627"/>
  <c r="BP628"/>
  <c r="BP629"/>
  <c r="BP630"/>
  <c r="BP631"/>
  <c r="BP632"/>
  <c r="BP633"/>
  <c r="BP634"/>
  <c r="BP635"/>
  <c r="BP636"/>
  <c r="BP637"/>
  <c r="BP638"/>
  <c r="BP639"/>
  <c r="BP640"/>
  <c r="BP641"/>
  <c r="BP642"/>
  <c r="BP643"/>
  <c r="BP644"/>
  <c r="BP645"/>
  <c r="BP646"/>
  <c r="BP647"/>
  <c r="BP648"/>
  <c r="BP649"/>
  <c r="BP650"/>
  <c r="BP651"/>
  <c r="BP652"/>
  <c r="BP653"/>
  <c r="BP654"/>
  <c r="BP655"/>
  <c r="BP656"/>
  <c r="BP657"/>
  <c r="BP658"/>
  <c r="BP659"/>
  <c r="BP660"/>
  <c r="BP661"/>
  <c r="BP662"/>
  <c r="BP663"/>
  <c r="BP664"/>
  <c r="BP665"/>
  <c r="BP667"/>
  <c r="BP668"/>
  <c r="BP669"/>
  <c r="BP666"/>
  <c r="BP670"/>
  <c r="BP671"/>
  <c r="BP672"/>
  <c r="BP673"/>
  <c r="BP674"/>
  <c r="BP675"/>
  <c r="BP676"/>
  <c r="BP677"/>
  <c r="BP678"/>
  <c r="BP679"/>
  <c r="BP680"/>
  <c r="BP681"/>
  <c r="BP682"/>
  <c r="BP683"/>
  <c r="BM10"/>
  <c r="BM11"/>
  <c r="BM12"/>
  <c r="BM13"/>
  <c r="BM14"/>
  <c r="BM15"/>
  <c r="BM16"/>
  <c r="BM17"/>
  <c r="BM18"/>
  <c r="BM19"/>
  <c r="BM20"/>
  <c r="BM21"/>
  <c r="BM22"/>
  <c r="BM23"/>
  <c r="BM24"/>
  <c r="BM25"/>
  <c r="BM26"/>
  <c r="BM27"/>
  <c r="BM28"/>
  <c r="BM29"/>
  <c r="BM30"/>
  <c r="BM32"/>
  <c r="BM33"/>
  <c r="BM34"/>
  <c r="BM35"/>
  <c r="BM36"/>
  <c r="BM37"/>
  <c r="BM38"/>
  <c r="BM39"/>
  <c r="BM40"/>
  <c r="BM41"/>
  <c r="BM42"/>
  <c r="BM31"/>
  <c r="BM43"/>
  <c r="BM44"/>
  <c r="BM45"/>
  <c r="BM46"/>
  <c r="BM47"/>
  <c r="BM48"/>
  <c r="BM49"/>
  <c r="BM50"/>
  <c r="BM51"/>
  <c r="BM52"/>
  <c r="BM53"/>
  <c r="BM54"/>
  <c r="BM55"/>
  <c r="BM56"/>
  <c r="BM57"/>
  <c r="BM58"/>
  <c r="BM59"/>
  <c r="BM61"/>
  <c r="BM62"/>
  <c r="BM63"/>
  <c r="BM64"/>
  <c r="BM65"/>
  <c r="BM66"/>
  <c r="BM67"/>
  <c r="BM68"/>
  <c r="BM60"/>
  <c r="BM69"/>
  <c r="BM70"/>
  <c r="BM71"/>
  <c r="BM72"/>
  <c r="BM73"/>
  <c r="BM74"/>
  <c r="BM75"/>
  <c r="BM76"/>
  <c r="BM77"/>
  <c r="BM78"/>
  <c r="BM79"/>
  <c r="BM80"/>
  <c r="BM81"/>
  <c r="BM82"/>
  <c r="BM83"/>
  <c r="BM84"/>
  <c r="BM85"/>
  <c r="BM86"/>
  <c r="BM87"/>
  <c r="BM88"/>
  <c r="BM89"/>
  <c r="BM90"/>
  <c r="BM91"/>
  <c r="BM92"/>
  <c r="BM93"/>
  <c r="BM94"/>
  <c r="BM95"/>
  <c r="BM102"/>
  <c r="BM103"/>
  <c r="BM104"/>
  <c r="BM96"/>
  <c r="BM97"/>
  <c r="BM98"/>
  <c r="BM105"/>
  <c r="BM122"/>
  <c r="BM117"/>
  <c r="BM106"/>
  <c r="BM107"/>
  <c r="BM118"/>
  <c r="BM119"/>
  <c r="BM114"/>
  <c r="BM99"/>
  <c r="BM123"/>
  <c r="BM100"/>
  <c r="BM108"/>
  <c r="BM109"/>
  <c r="BM110"/>
  <c r="BM111"/>
  <c r="BM121"/>
  <c r="BM101"/>
  <c r="BM112"/>
  <c r="BM113"/>
  <c r="BM120"/>
  <c r="BM115"/>
  <c r="BM116"/>
  <c r="BM124"/>
  <c r="BM125"/>
  <c r="BM126"/>
  <c r="BM127"/>
  <c r="BM128"/>
  <c r="BM129"/>
  <c r="BM130"/>
  <c r="BM131"/>
  <c r="BM132"/>
  <c r="BM133"/>
  <c r="BM134"/>
  <c r="BM135"/>
  <c r="BM136"/>
  <c r="BM137"/>
  <c r="BM138"/>
  <c r="BM139"/>
  <c r="BM140"/>
  <c r="BM141"/>
  <c r="BM142"/>
  <c r="BM144"/>
  <c r="BM145"/>
  <c r="BM146"/>
  <c r="BM147"/>
  <c r="BM148"/>
  <c r="BM143"/>
  <c r="BM149"/>
  <c r="BM150"/>
  <c r="BM151"/>
  <c r="BM152"/>
  <c r="BM153"/>
  <c r="BM154"/>
  <c r="BM155"/>
  <c r="BM182"/>
  <c r="BM156"/>
  <c r="BM158"/>
  <c r="BM159"/>
  <c r="BM160"/>
  <c r="BM161"/>
  <c r="BM162"/>
  <c r="BM163"/>
  <c r="BM164"/>
  <c r="BM165"/>
  <c r="BM177"/>
  <c r="BM166"/>
  <c r="BM167"/>
  <c r="BM168"/>
  <c r="BM169"/>
  <c r="BM170"/>
  <c r="BM171"/>
  <c r="BM172"/>
  <c r="BM173"/>
  <c r="BM174"/>
  <c r="BM175"/>
  <c r="BM176"/>
  <c r="BM178"/>
  <c r="BM180"/>
  <c r="BM179"/>
  <c r="BM157"/>
  <c r="BM181"/>
  <c r="BM183"/>
  <c r="BM185"/>
  <c r="BM187"/>
  <c r="BM189"/>
  <c r="BM193"/>
  <c r="BM194"/>
  <c r="BM195"/>
  <c r="BM197"/>
  <c r="BM200"/>
  <c r="BM203"/>
  <c r="BM204"/>
  <c r="BM207"/>
  <c r="BM208"/>
  <c r="BM209"/>
  <c r="BM210"/>
  <c r="BM211"/>
  <c r="BM212"/>
  <c r="BM213"/>
  <c r="BM214"/>
  <c r="BM215"/>
  <c r="BM216"/>
  <c r="BM217"/>
  <c r="BM218"/>
  <c r="BM219"/>
  <c r="BM220"/>
  <c r="BM222"/>
  <c r="BM221"/>
  <c r="BM223"/>
  <c r="BM224"/>
  <c r="BM226"/>
  <c r="BM227"/>
  <c r="BM228"/>
  <c r="BM225"/>
  <c r="BM229"/>
  <c r="BM237"/>
  <c r="BM238"/>
  <c r="BM239"/>
  <c r="BM230"/>
  <c r="BM231"/>
  <c r="BM232"/>
  <c r="BM233"/>
  <c r="BM234"/>
  <c r="BM235"/>
  <c r="BM236"/>
  <c r="BM240"/>
  <c r="BM241"/>
  <c r="BM242"/>
  <c r="BM243"/>
  <c r="BM244"/>
  <c r="BM245"/>
  <c r="BM246"/>
  <c r="BM247"/>
  <c r="BM248"/>
  <c r="BM249"/>
  <c r="BM250"/>
  <c r="BM251"/>
  <c r="BM252"/>
  <c r="BM253"/>
  <c r="BM254"/>
  <c r="BM255"/>
  <c r="BM256"/>
  <c r="BM258"/>
  <c r="BM259"/>
  <c r="BM260"/>
  <c r="BM261"/>
  <c r="BM262"/>
  <c r="BM257"/>
  <c r="BM264"/>
  <c r="BM265"/>
  <c r="BM266"/>
  <c r="BM263"/>
  <c r="BM267"/>
  <c r="BM268"/>
  <c r="BM269"/>
  <c r="BM270"/>
  <c r="BM271"/>
  <c r="BM272"/>
  <c r="BM273"/>
  <c r="BM274"/>
  <c r="BM275"/>
  <c r="BM277"/>
  <c r="BM278"/>
  <c r="BM279"/>
  <c r="BM280"/>
  <c r="BM281"/>
  <c r="BM282"/>
  <c r="BM276"/>
  <c r="BM283"/>
  <c r="BM284"/>
  <c r="BM285"/>
  <c r="BM286"/>
  <c r="BM287"/>
  <c r="BM288"/>
  <c r="BM289"/>
  <c r="BM290"/>
  <c r="BM291"/>
  <c r="BM292"/>
  <c r="BM293"/>
  <c r="BM294"/>
  <c r="BM295"/>
  <c r="BM296"/>
  <c r="BM297"/>
  <c r="BM298"/>
  <c r="BM299"/>
  <c r="BM300"/>
  <c r="BM301"/>
  <c r="BM302"/>
  <c r="BM303"/>
  <c r="BM304"/>
  <c r="BM305"/>
  <c r="BM306"/>
  <c r="BM317"/>
  <c r="BM318"/>
  <c r="BM307"/>
  <c r="BM323"/>
  <c r="BM308"/>
  <c r="BM309"/>
  <c r="BM311"/>
  <c r="BM312"/>
  <c r="BM313"/>
  <c r="BM314"/>
  <c r="BM315"/>
  <c r="BM342"/>
  <c r="BM316"/>
  <c r="BM319"/>
  <c r="BM320"/>
  <c r="BM345"/>
  <c r="BM321"/>
  <c r="BM322"/>
  <c r="BM324"/>
  <c r="BM310"/>
  <c r="BM325"/>
  <c r="BM326"/>
  <c r="BM327"/>
  <c r="BM328"/>
  <c r="BM349"/>
  <c r="BM329"/>
  <c r="BM330"/>
  <c r="BM353"/>
  <c r="BM331"/>
  <c r="BM354"/>
  <c r="BM332"/>
  <c r="BM356"/>
  <c r="BM333"/>
  <c r="BM358"/>
  <c r="BM359"/>
  <c r="BM360"/>
  <c r="BM334"/>
  <c r="BM335"/>
  <c r="BM336"/>
  <c r="BM337"/>
  <c r="BM338"/>
  <c r="BM339"/>
  <c r="BM362"/>
  <c r="BM340"/>
  <c r="BM341"/>
  <c r="BM343"/>
  <c r="BM344"/>
  <c r="BM346"/>
  <c r="BM347"/>
  <c r="BM348"/>
  <c r="BM350"/>
  <c r="BM351"/>
  <c r="BM352"/>
  <c r="BM355"/>
  <c r="BM357"/>
  <c r="BM361"/>
  <c r="BM363"/>
  <c r="BM364"/>
  <c r="BM365"/>
  <c r="BM366"/>
  <c r="BM367"/>
  <c r="BM368"/>
  <c r="BM369"/>
  <c r="BM370"/>
  <c r="BM371"/>
  <c r="BM372"/>
  <c r="BM373"/>
  <c r="BM374"/>
  <c r="BM375"/>
  <c r="BM376"/>
  <c r="BM377"/>
  <c r="BM378"/>
  <c r="BM379"/>
  <c r="BM380"/>
  <c r="BM381"/>
  <c r="BM382"/>
  <c r="BM383"/>
  <c r="BM384"/>
  <c r="BM385"/>
  <c r="BM386"/>
  <c r="BM387"/>
  <c r="BM388"/>
  <c r="BM389"/>
  <c r="BM390"/>
  <c r="BM391"/>
  <c r="BM392"/>
  <c r="BM393"/>
  <c r="BM394"/>
  <c r="BM395"/>
  <c r="BM396"/>
  <c r="BM397"/>
  <c r="BM398"/>
  <c r="BM399"/>
  <c r="BM400"/>
  <c r="BM401"/>
  <c r="BM402"/>
  <c r="BM403"/>
  <c r="BM404"/>
  <c r="BM405"/>
  <c r="BM406"/>
  <c r="BM407"/>
  <c r="BM408"/>
  <c r="BM409"/>
  <c r="BM410"/>
  <c r="BM411"/>
  <c r="BM412"/>
  <c r="BM413"/>
  <c r="BM414"/>
  <c r="BM415"/>
  <c r="BM416"/>
  <c r="BM417"/>
  <c r="BM418"/>
  <c r="BM419"/>
  <c r="BM420"/>
  <c r="BM421"/>
  <c r="BM422"/>
  <c r="BM423"/>
  <c r="BM424"/>
  <c r="BM425"/>
  <c r="BM426"/>
  <c r="BM427"/>
  <c r="BM428"/>
  <c r="BM429"/>
  <c r="BM430"/>
  <c r="BM431"/>
  <c r="BM432"/>
  <c r="BM433"/>
  <c r="BM434"/>
  <c r="BM435"/>
  <c r="BM436"/>
  <c r="BM437"/>
  <c r="BM438"/>
  <c r="BM439"/>
  <c r="BM440"/>
  <c r="BM441"/>
  <c r="BM442"/>
  <c r="BM443"/>
  <c r="BM444"/>
  <c r="BM445"/>
  <c r="BM446"/>
  <c r="BM447"/>
  <c r="BM448"/>
  <c r="BM449"/>
  <c r="BM450"/>
  <c r="BM451"/>
  <c r="BM452"/>
  <c r="BM453"/>
  <c r="BM454"/>
  <c r="BM455"/>
  <c r="BM456"/>
  <c r="BM457"/>
  <c r="BM458"/>
  <c r="BM459"/>
  <c r="BM460"/>
  <c r="BM461"/>
  <c r="BM462"/>
  <c r="BM463"/>
  <c r="BM464"/>
  <c r="BM465"/>
  <c r="BM466"/>
  <c r="BM467"/>
  <c r="BM468"/>
  <c r="BM469"/>
  <c r="BM470"/>
  <c r="BM472"/>
  <c r="BM473"/>
  <c r="BM474"/>
  <c r="BM475"/>
  <c r="BM476"/>
  <c r="BM471"/>
  <c r="BM477"/>
  <c r="BM478"/>
  <c r="BM479"/>
  <c r="BM480"/>
  <c r="BM481"/>
  <c r="BM482"/>
  <c r="BM483"/>
  <c r="BM484"/>
  <c r="BM485"/>
  <c r="BM486"/>
  <c r="BM487"/>
  <c r="BM488"/>
  <c r="BM489"/>
  <c r="BM490"/>
  <c r="BM491"/>
  <c r="BM492"/>
  <c r="BM493"/>
  <c r="BM494"/>
  <c r="BM495"/>
  <c r="BM496"/>
  <c r="BM497"/>
  <c r="BM498"/>
  <c r="BM499"/>
  <c r="BM500"/>
  <c r="BM501"/>
  <c r="BM502"/>
  <c r="BM503"/>
  <c r="BM504"/>
  <c r="BM505"/>
  <c r="BM506"/>
  <c r="BM507"/>
  <c r="BM508"/>
  <c r="BM509"/>
  <c r="BM510"/>
  <c r="BM511"/>
  <c r="BM512"/>
  <c r="BM513"/>
  <c r="BM514"/>
  <c r="BM515"/>
  <c r="BM516"/>
  <c r="BM517"/>
  <c r="BM518"/>
  <c r="BM519"/>
  <c r="BM520"/>
  <c r="BM521"/>
  <c r="BM522"/>
  <c r="BM523"/>
  <c r="BM524"/>
  <c r="BM525"/>
  <c r="BM526"/>
  <c r="BM527"/>
  <c r="BM528"/>
  <c r="BM529"/>
  <c r="BM530"/>
  <c r="BM531"/>
  <c r="BM532"/>
  <c r="BM533"/>
  <c r="BM534"/>
  <c r="BM535"/>
  <c r="BM536"/>
  <c r="BM537"/>
  <c r="BM538"/>
  <c r="BM539"/>
  <c r="BM540"/>
  <c r="BM541"/>
  <c r="BM542"/>
  <c r="BM544"/>
  <c r="BM545"/>
  <c r="BM546"/>
  <c r="BM547"/>
  <c r="BM548"/>
  <c r="BM543"/>
  <c r="BM549"/>
  <c r="BM550"/>
  <c r="BM551"/>
  <c r="BM552"/>
  <c r="BM553"/>
  <c r="BM554"/>
  <c r="BM555"/>
  <c r="BM556"/>
  <c r="BM557"/>
  <c r="BM558"/>
  <c r="BM559"/>
  <c r="BM560"/>
  <c r="BM561"/>
  <c r="BM562"/>
  <c r="BM563"/>
  <c r="BM565"/>
  <c r="BM566"/>
  <c r="BM567"/>
  <c r="BM568"/>
  <c r="BM569"/>
  <c r="BM570"/>
  <c r="BM572"/>
  <c r="BM573"/>
  <c r="BM574"/>
  <c r="BM575"/>
  <c r="BM576"/>
  <c r="BM577"/>
  <c r="BM578"/>
  <c r="BM579"/>
  <c r="BM580"/>
  <c r="BM581"/>
  <c r="BM582"/>
  <c r="BM583"/>
  <c r="BM584"/>
  <c r="BM585"/>
  <c r="BM586"/>
  <c r="BM587"/>
  <c r="BM588"/>
  <c r="BM564"/>
  <c r="BM589"/>
  <c r="BM590"/>
  <c r="BM591"/>
  <c r="BM592"/>
  <c r="BM593"/>
  <c r="BM594"/>
  <c r="BM595"/>
  <c r="BM571"/>
  <c r="BM596"/>
  <c r="BM597"/>
  <c r="BM598"/>
  <c r="BM599"/>
  <c r="BM600"/>
  <c r="BM601"/>
  <c r="BM602"/>
  <c r="BM603"/>
  <c r="BM604"/>
  <c r="BM605"/>
  <c r="BM606"/>
  <c r="BM607"/>
  <c r="BM608"/>
  <c r="BM609"/>
  <c r="BM610"/>
  <c r="BM611"/>
  <c r="BM612"/>
  <c r="BM613"/>
  <c r="BM614"/>
  <c r="BM615"/>
  <c r="BM616"/>
  <c r="BM617"/>
  <c r="BM618"/>
  <c r="BM619"/>
  <c r="BM620"/>
  <c r="BM621"/>
  <c r="BM622"/>
  <c r="BM623"/>
  <c r="BM624"/>
  <c r="BM625"/>
  <c r="BM626"/>
  <c r="BM627"/>
  <c r="BM628"/>
  <c r="BM629"/>
  <c r="BM630"/>
  <c r="BM631"/>
  <c r="BM632"/>
  <c r="BM633"/>
  <c r="BM634"/>
  <c r="BM635"/>
  <c r="BM636"/>
  <c r="BM637"/>
  <c r="BM638"/>
  <c r="BM639"/>
  <c r="BM640"/>
  <c r="BM641"/>
  <c r="BM642"/>
  <c r="BM643"/>
  <c r="BM644"/>
  <c r="BM645"/>
  <c r="BM646"/>
  <c r="BM647"/>
  <c r="BM648"/>
  <c r="BM649"/>
  <c r="BM650"/>
  <c r="BM651"/>
  <c r="BM652"/>
  <c r="BM653"/>
  <c r="BM654"/>
  <c r="BM655"/>
  <c r="BM656"/>
  <c r="BM657"/>
  <c r="BM658"/>
  <c r="BM659"/>
  <c r="BM660"/>
  <c r="BM661"/>
  <c r="BM662"/>
  <c r="BM663"/>
  <c r="BM664"/>
  <c r="BM665"/>
  <c r="BM667"/>
  <c r="BM668"/>
  <c r="BM669"/>
  <c r="BM666"/>
  <c r="BM670"/>
  <c r="BM671"/>
  <c r="BM672"/>
  <c r="BM673"/>
  <c r="BM674"/>
  <c r="BM675"/>
  <c r="BM676"/>
  <c r="BM677"/>
  <c r="BM678"/>
  <c r="BM679"/>
  <c r="BM680"/>
  <c r="BM681"/>
  <c r="BM682"/>
  <c r="BM683"/>
  <c r="BJ10"/>
  <c r="BJ11"/>
  <c r="BJ12"/>
  <c r="BJ13"/>
  <c r="BJ14"/>
  <c r="BJ15"/>
  <c r="BJ16"/>
  <c r="BJ17"/>
  <c r="BJ18"/>
  <c r="BJ19"/>
  <c r="BJ20"/>
  <c r="BJ21"/>
  <c r="BJ22"/>
  <c r="BJ23"/>
  <c r="BJ24"/>
  <c r="BJ25"/>
  <c r="BJ26"/>
  <c r="BJ27"/>
  <c r="BJ28"/>
  <c r="BJ29"/>
  <c r="BJ30"/>
  <c r="BJ32"/>
  <c r="BJ33"/>
  <c r="BJ34"/>
  <c r="BJ35"/>
  <c r="BJ36"/>
  <c r="BJ37"/>
  <c r="BJ38"/>
  <c r="BJ39"/>
  <c r="BJ40"/>
  <c r="BJ41"/>
  <c r="BJ42"/>
  <c r="BJ31"/>
  <c r="BJ43"/>
  <c r="BJ44"/>
  <c r="BJ45"/>
  <c r="BJ46"/>
  <c r="BJ47"/>
  <c r="BJ48"/>
  <c r="BJ49"/>
  <c r="BJ50"/>
  <c r="BJ51"/>
  <c r="BJ52"/>
  <c r="BJ53"/>
  <c r="BJ54"/>
  <c r="BJ55"/>
  <c r="BJ56"/>
  <c r="BJ57"/>
  <c r="BJ58"/>
  <c r="BJ59"/>
  <c r="BJ61"/>
  <c r="BJ62"/>
  <c r="BJ63"/>
  <c r="BJ64"/>
  <c r="BJ65"/>
  <c r="BJ66"/>
  <c r="BJ67"/>
  <c r="BJ68"/>
  <c r="BJ60"/>
  <c r="BJ69"/>
  <c r="BJ70"/>
  <c r="BJ71"/>
  <c r="BJ72"/>
  <c r="BJ73"/>
  <c r="BJ74"/>
  <c r="BJ75"/>
  <c r="BJ76"/>
  <c r="BJ77"/>
  <c r="BJ78"/>
  <c r="BJ79"/>
  <c r="BJ80"/>
  <c r="BJ81"/>
  <c r="BJ82"/>
  <c r="BJ83"/>
  <c r="BJ84"/>
  <c r="BJ85"/>
  <c r="BJ86"/>
  <c r="BJ87"/>
  <c r="BJ88"/>
  <c r="BJ89"/>
  <c r="BJ90"/>
  <c r="BJ91"/>
  <c r="BJ92"/>
  <c r="BJ93"/>
  <c r="BJ94"/>
  <c r="BJ95"/>
  <c r="BJ102"/>
  <c r="BJ103"/>
  <c r="BJ104"/>
  <c r="BJ96"/>
  <c r="BJ97"/>
  <c r="BJ98"/>
  <c r="BJ105"/>
  <c r="BJ122"/>
  <c r="BJ117"/>
  <c r="BJ106"/>
  <c r="BJ107"/>
  <c r="BJ118"/>
  <c r="BJ119"/>
  <c r="BJ114"/>
  <c r="BJ99"/>
  <c r="BJ123"/>
  <c r="BJ100"/>
  <c r="BJ108"/>
  <c r="BJ109"/>
  <c r="BJ110"/>
  <c r="BJ111"/>
  <c r="BJ121"/>
  <c r="BJ101"/>
  <c r="BJ112"/>
  <c r="BJ113"/>
  <c r="BJ120"/>
  <c r="BJ115"/>
  <c r="BJ116"/>
  <c r="BJ124"/>
  <c r="BJ125"/>
  <c r="BJ126"/>
  <c r="BJ127"/>
  <c r="BJ128"/>
  <c r="BJ129"/>
  <c r="BJ130"/>
  <c r="BJ131"/>
  <c r="BJ132"/>
  <c r="BJ133"/>
  <c r="BJ134"/>
  <c r="BJ135"/>
  <c r="BJ136"/>
  <c r="BJ137"/>
  <c r="BJ138"/>
  <c r="BJ139"/>
  <c r="BJ140"/>
  <c r="BJ141"/>
  <c r="BJ142"/>
  <c r="BJ144"/>
  <c r="BJ145"/>
  <c r="BJ146"/>
  <c r="BJ147"/>
  <c r="BJ148"/>
  <c r="BJ143"/>
  <c r="BJ149"/>
  <c r="BJ150"/>
  <c r="BJ151"/>
  <c r="BJ152"/>
  <c r="BJ153"/>
  <c r="BJ154"/>
  <c r="BJ155"/>
  <c r="BJ182"/>
  <c r="BJ156"/>
  <c r="BJ158"/>
  <c r="BJ159"/>
  <c r="BJ160"/>
  <c r="BJ161"/>
  <c r="BJ162"/>
  <c r="BJ163"/>
  <c r="BJ164"/>
  <c r="BJ165"/>
  <c r="BJ177"/>
  <c r="BJ166"/>
  <c r="BJ167"/>
  <c r="BJ168"/>
  <c r="BJ169"/>
  <c r="BJ170"/>
  <c r="BJ171"/>
  <c r="BJ172"/>
  <c r="BJ173"/>
  <c r="BJ174"/>
  <c r="BJ175"/>
  <c r="BJ176"/>
  <c r="BJ178"/>
  <c r="BJ180"/>
  <c r="BJ179"/>
  <c r="BJ157"/>
  <c r="BJ181"/>
  <c r="BJ183"/>
  <c r="BJ184"/>
  <c r="BJ185"/>
  <c r="BJ187"/>
  <c r="BJ188"/>
  <c r="BJ186"/>
  <c r="BJ190"/>
  <c r="BJ189"/>
  <c r="BJ191"/>
  <c r="BJ192"/>
  <c r="BJ193"/>
  <c r="BJ194"/>
  <c r="BJ195"/>
  <c r="BJ196"/>
  <c r="BJ197"/>
  <c r="BJ198"/>
  <c r="BJ199"/>
  <c r="BJ200"/>
  <c r="BJ201"/>
  <c r="BJ202"/>
  <c r="BJ203"/>
  <c r="BJ204"/>
  <c r="BJ205"/>
  <c r="BJ206"/>
  <c r="BJ207"/>
  <c r="BJ208"/>
  <c r="BJ209"/>
  <c r="BJ210"/>
  <c r="BJ211"/>
  <c r="BJ212"/>
  <c r="BJ213"/>
  <c r="BJ214"/>
  <c r="BJ215"/>
  <c r="BJ216"/>
  <c r="BJ217"/>
  <c r="BJ218"/>
  <c r="BJ219"/>
  <c r="BJ220"/>
  <c r="BJ222"/>
  <c r="BJ221"/>
  <c r="BJ223"/>
  <c r="BJ224"/>
  <c r="BJ226"/>
  <c r="BJ227"/>
  <c r="BJ228"/>
  <c r="BJ225"/>
  <c r="BJ229"/>
  <c r="BJ237"/>
  <c r="BJ238"/>
  <c r="BJ239"/>
  <c r="BJ230"/>
  <c r="BJ231"/>
  <c r="BJ232"/>
  <c r="BJ233"/>
  <c r="BJ234"/>
  <c r="BJ235"/>
  <c r="BJ236"/>
  <c r="BJ240"/>
  <c r="BJ241"/>
  <c r="BJ242"/>
  <c r="BJ243"/>
  <c r="BJ244"/>
  <c r="BJ245"/>
  <c r="BJ246"/>
  <c r="BJ247"/>
  <c r="BJ248"/>
  <c r="BJ249"/>
  <c r="BJ250"/>
  <c r="BJ251"/>
  <c r="BJ252"/>
  <c r="BJ253"/>
  <c r="BJ254"/>
  <c r="BJ255"/>
  <c r="BJ256"/>
  <c r="BJ258"/>
  <c r="BJ259"/>
  <c r="BJ260"/>
  <c r="BJ261"/>
  <c r="BJ262"/>
  <c r="BJ257"/>
  <c r="BJ264"/>
  <c r="BJ265"/>
  <c r="BJ266"/>
  <c r="BJ263"/>
  <c r="BJ267"/>
  <c r="BJ268"/>
  <c r="BJ269"/>
  <c r="BJ270"/>
  <c r="BJ271"/>
  <c r="BJ272"/>
  <c r="BJ273"/>
  <c r="BJ274"/>
  <c r="BJ275"/>
  <c r="BJ277"/>
  <c r="BJ278"/>
  <c r="BJ279"/>
  <c r="BJ280"/>
  <c r="BJ281"/>
  <c r="BJ282"/>
  <c r="BJ276"/>
  <c r="BJ283"/>
  <c r="BJ284"/>
  <c r="BJ285"/>
  <c r="BJ286"/>
  <c r="BJ287"/>
  <c r="BJ288"/>
  <c r="BJ289"/>
  <c r="BJ290"/>
  <c r="BJ291"/>
  <c r="BJ292"/>
  <c r="BJ293"/>
  <c r="BJ294"/>
  <c r="BJ295"/>
  <c r="BJ296"/>
  <c r="BJ297"/>
  <c r="BJ298"/>
  <c r="BJ299"/>
  <c r="BJ300"/>
  <c r="BJ301"/>
  <c r="BJ302"/>
  <c r="BJ303"/>
  <c r="BJ304"/>
  <c r="BJ305"/>
  <c r="BJ306"/>
  <c r="BJ317"/>
  <c r="BJ318"/>
  <c r="BJ307"/>
  <c r="BJ323"/>
  <c r="BJ308"/>
  <c r="BJ309"/>
  <c r="BJ311"/>
  <c r="BJ312"/>
  <c r="BJ313"/>
  <c r="BJ314"/>
  <c r="BJ315"/>
  <c r="BJ342"/>
  <c r="BJ316"/>
  <c r="BJ319"/>
  <c r="BJ320"/>
  <c r="BJ345"/>
  <c r="BJ321"/>
  <c r="BJ322"/>
  <c r="BJ324"/>
  <c r="BJ310"/>
  <c r="BJ325"/>
  <c r="BJ326"/>
  <c r="BJ327"/>
  <c r="BJ328"/>
  <c r="BJ349"/>
  <c r="BJ329"/>
  <c r="BJ330"/>
  <c r="BJ353"/>
  <c r="BJ331"/>
  <c r="BJ354"/>
  <c r="BJ332"/>
  <c r="BJ356"/>
  <c r="BJ333"/>
  <c r="BJ358"/>
  <c r="BJ359"/>
  <c r="BJ360"/>
  <c r="BJ334"/>
  <c r="BJ335"/>
  <c r="BJ336"/>
  <c r="BJ337"/>
  <c r="BJ338"/>
  <c r="BJ339"/>
  <c r="BJ362"/>
  <c r="BJ340"/>
  <c r="BJ341"/>
  <c r="BJ343"/>
  <c r="BJ344"/>
  <c r="BJ346"/>
  <c r="BJ347"/>
  <c r="BJ348"/>
  <c r="BJ350"/>
  <c r="BJ351"/>
  <c r="BJ352"/>
  <c r="BJ355"/>
  <c r="BJ357"/>
  <c r="BJ361"/>
  <c r="BJ363"/>
  <c r="BJ364"/>
  <c r="BJ365"/>
  <c r="BJ366"/>
  <c r="BJ367"/>
  <c r="BJ368"/>
  <c r="BJ369"/>
  <c r="BJ370"/>
  <c r="BJ371"/>
  <c r="BJ372"/>
  <c r="BJ373"/>
  <c r="BJ374"/>
  <c r="BJ375"/>
  <c r="BJ376"/>
  <c r="BJ377"/>
  <c r="BJ378"/>
  <c r="BJ379"/>
  <c r="BJ380"/>
  <c r="BJ381"/>
  <c r="BJ382"/>
  <c r="BJ383"/>
  <c r="BJ384"/>
  <c r="BJ385"/>
  <c r="BJ386"/>
  <c r="BJ387"/>
  <c r="BJ388"/>
  <c r="BJ389"/>
  <c r="BJ390"/>
  <c r="BJ391"/>
  <c r="BJ392"/>
  <c r="BJ393"/>
  <c r="BJ394"/>
  <c r="BJ395"/>
  <c r="BJ396"/>
  <c r="BJ397"/>
  <c r="BJ398"/>
  <c r="BJ399"/>
  <c r="BJ400"/>
  <c r="BJ401"/>
  <c r="BJ402"/>
  <c r="BJ403"/>
  <c r="BJ404"/>
  <c r="BJ405"/>
  <c r="BJ406"/>
  <c r="BJ407"/>
  <c r="BJ408"/>
  <c r="BJ409"/>
  <c r="BJ410"/>
  <c r="BJ411"/>
  <c r="BJ412"/>
  <c r="BJ413"/>
  <c r="BJ414"/>
  <c r="BJ415"/>
  <c r="BJ416"/>
  <c r="BJ417"/>
  <c r="BJ418"/>
  <c r="BJ419"/>
  <c r="BJ420"/>
  <c r="BJ421"/>
  <c r="BJ422"/>
  <c r="BJ423"/>
  <c r="BJ424"/>
  <c r="BJ425"/>
  <c r="BJ426"/>
  <c r="BJ427"/>
  <c r="BJ428"/>
  <c r="BJ429"/>
  <c r="BJ430"/>
  <c r="BJ431"/>
  <c r="BJ432"/>
  <c r="BJ433"/>
  <c r="BJ434"/>
  <c r="BJ435"/>
  <c r="BJ436"/>
  <c r="BJ437"/>
  <c r="BJ438"/>
  <c r="BJ439"/>
  <c r="BJ440"/>
  <c r="BJ441"/>
  <c r="BJ442"/>
  <c r="BJ443"/>
  <c r="BJ444"/>
  <c r="BJ445"/>
  <c r="BJ446"/>
  <c r="BJ447"/>
  <c r="BJ448"/>
  <c r="BJ449"/>
  <c r="BJ450"/>
  <c r="BJ451"/>
  <c r="BJ452"/>
  <c r="BJ453"/>
  <c r="BJ454"/>
  <c r="BJ455"/>
  <c r="BJ456"/>
  <c r="BJ457"/>
  <c r="BJ458"/>
  <c r="BJ459"/>
  <c r="BJ460"/>
  <c r="BJ461"/>
  <c r="BJ462"/>
  <c r="BJ463"/>
  <c r="BJ464"/>
  <c r="BJ465"/>
  <c r="BJ466"/>
  <c r="BJ467"/>
  <c r="BJ468"/>
  <c r="BJ469"/>
  <c r="BJ470"/>
  <c r="BJ472"/>
  <c r="BJ473"/>
  <c r="BJ474"/>
  <c r="BJ475"/>
  <c r="BJ476"/>
  <c r="BJ471"/>
  <c r="BJ477"/>
  <c r="BJ478"/>
  <c r="BJ479"/>
  <c r="BJ500"/>
  <c r="BJ501"/>
  <c r="BJ502"/>
  <c r="BJ503"/>
  <c r="BJ504"/>
  <c r="BJ505"/>
  <c r="BJ506"/>
  <c r="BJ507"/>
  <c r="BJ508"/>
  <c r="BJ509"/>
  <c r="BJ510"/>
  <c r="BJ511"/>
  <c r="BJ512"/>
  <c r="BJ513"/>
  <c r="BJ514"/>
  <c r="BJ515"/>
  <c r="BJ516"/>
  <c r="BJ517"/>
  <c r="BJ518"/>
  <c r="BJ519"/>
  <c r="BJ520"/>
  <c r="BJ521"/>
  <c r="BJ522"/>
  <c r="BJ523"/>
  <c r="BJ524"/>
  <c r="BJ525"/>
  <c r="BJ526"/>
  <c r="BJ527"/>
  <c r="BJ528"/>
  <c r="BJ529"/>
  <c r="BJ530"/>
  <c r="BJ531"/>
  <c r="BJ532"/>
  <c r="BJ533"/>
  <c r="BJ534"/>
  <c r="BJ535"/>
  <c r="BJ536"/>
  <c r="BJ537"/>
  <c r="BJ538"/>
  <c r="BJ539"/>
  <c r="BJ540"/>
  <c r="BJ541"/>
  <c r="BJ542"/>
  <c r="BJ544"/>
  <c r="BJ545"/>
  <c r="BJ546"/>
  <c r="BJ547"/>
  <c r="BJ548"/>
  <c r="BJ543"/>
  <c r="BJ549"/>
  <c r="BJ550"/>
  <c r="BJ551"/>
  <c r="BJ552"/>
  <c r="BJ553"/>
  <c r="BJ554"/>
  <c r="BJ555"/>
  <c r="BJ556"/>
  <c r="BJ557"/>
  <c r="BJ558"/>
  <c r="BJ559"/>
  <c r="BJ560"/>
  <c r="BJ561"/>
  <c r="BJ562"/>
  <c r="BJ563"/>
  <c r="BJ565"/>
  <c r="BJ566"/>
  <c r="BJ567"/>
  <c r="BJ568"/>
  <c r="BJ569"/>
  <c r="BJ570"/>
  <c r="BJ572"/>
  <c r="BJ573"/>
  <c r="BJ574"/>
  <c r="BJ575"/>
  <c r="BJ576"/>
  <c r="BJ577"/>
  <c r="BJ578"/>
  <c r="BJ579"/>
  <c r="BJ580"/>
  <c r="BJ581"/>
  <c r="BJ582"/>
  <c r="BJ583"/>
  <c r="BJ584"/>
  <c r="BJ585"/>
  <c r="BJ586"/>
  <c r="BJ587"/>
  <c r="BJ588"/>
  <c r="BJ564"/>
  <c r="BJ589"/>
  <c r="BJ590"/>
  <c r="BJ591"/>
  <c r="BJ592"/>
  <c r="BJ593"/>
  <c r="BJ594"/>
  <c r="BJ595"/>
  <c r="BJ571"/>
  <c r="BJ596"/>
  <c r="BJ597"/>
  <c r="BJ598"/>
  <c r="BJ599"/>
  <c r="BJ600"/>
  <c r="BJ601"/>
  <c r="BJ602"/>
  <c r="BJ603"/>
  <c r="BJ604"/>
  <c r="BJ605"/>
  <c r="BJ606"/>
  <c r="BJ607"/>
  <c r="BJ608"/>
  <c r="BJ609"/>
  <c r="BJ610"/>
  <c r="BJ611"/>
  <c r="BJ612"/>
  <c r="BJ613"/>
  <c r="BJ614"/>
  <c r="BJ615"/>
  <c r="BJ616"/>
  <c r="BJ617"/>
  <c r="BJ618"/>
  <c r="BJ619"/>
  <c r="BJ620"/>
  <c r="BJ621"/>
  <c r="BJ622"/>
  <c r="BJ623"/>
  <c r="BJ624"/>
  <c r="BJ625"/>
  <c r="BJ626"/>
  <c r="BJ627"/>
  <c r="BJ628"/>
  <c r="BJ629"/>
  <c r="BJ630"/>
  <c r="BJ631"/>
  <c r="BJ632"/>
  <c r="BJ633"/>
  <c r="BJ634"/>
  <c r="BJ635"/>
  <c r="BJ636"/>
  <c r="BJ637"/>
  <c r="BJ638"/>
  <c r="BJ639"/>
  <c r="BJ640"/>
  <c r="BJ641"/>
  <c r="BJ642"/>
  <c r="BJ643"/>
  <c r="BJ644"/>
  <c r="BJ645"/>
  <c r="BJ646"/>
  <c r="BJ647"/>
  <c r="BJ648"/>
  <c r="BJ649"/>
  <c r="BJ650"/>
  <c r="BJ651"/>
  <c r="BJ652"/>
  <c r="BJ653"/>
  <c r="BJ654"/>
  <c r="BJ655"/>
  <c r="BJ656"/>
  <c r="BJ657"/>
  <c r="BJ658"/>
  <c r="BJ659"/>
  <c r="BJ660"/>
  <c r="BJ661"/>
  <c r="BJ662"/>
  <c r="BJ663"/>
  <c r="BJ664"/>
  <c r="BJ665"/>
  <c r="BJ667"/>
  <c r="BJ668"/>
  <c r="BJ669"/>
  <c r="BJ666"/>
  <c r="BJ670"/>
  <c r="BJ671"/>
  <c r="BJ672"/>
  <c r="BJ673"/>
  <c r="BJ674"/>
  <c r="BJ675"/>
  <c r="BJ676"/>
  <c r="BJ677"/>
  <c r="BJ678"/>
  <c r="BJ679"/>
  <c r="BJ680"/>
  <c r="BJ681"/>
  <c r="BJ682"/>
  <c r="BJ683"/>
  <c r="BG10"/>
  <c r="BG11"/>
  <c r="BG12"/>
  <c r="BG13"/>
  <c r="BG14"/>
  <c r="BG15"/>
  <c r="BG16"/>
  <c r="BG17"/>
  <c r="BG18"/>
  <c r="BG19"/>
  <c r="BG20"/>
  <c r="BG21"/>
  <c r="BG22"/>
  <c r="BG23"/>
  <c r="BG24"/>
  <c r="BG25"/>
  <c r="BG26"/>
  <c r="BG27"/>
  <c r="BG28"/>
  <c r="BG29"/>
  <c r="BG30"/>
  <c r="BG32"/>
  <c r="BG33"/>
  <c r="BG34"/>
  <c r="BG35"/>
  <c r="BG36"/>
  <c r="BG37"/>
  <c r="BG38"/>
  <c r="BG39"/>
  <c r="BG40"/>
  <c r="BG41"/>
  <c r="BG42"/>
  <c r="BG31"/>
  <c r="BG43"/>
  <c r="BG44"/>
  <c r="BG45"/>
  <c r="BG46"/>
  <c r="BG47"/>
  <c r="BG48"/>
  <c r="BG49"/>
  <c r="BG50"/>
  <c r="BG51"/>
  <c r="BG52"/>
  <c r="BG53"/>
  <c r="BG54"/>
  <c r="BG55"/>
  <c r="BG56"/>
  <c r="BG57"/>
  <c r="BG58"/>
  <c r="BG59"/>
  <c r="BG61"/>
  <c r="BG62"/>
  <c r="BG63"/>
  <c r="BG64"/>
  <c r="BG65"/>
  <c r="BG66"/>
  <c r="BG67"/>
  <c r="BG68"/>
  <c r="BG60"/>
  <c r="BG69"/>
  <c r="BG70"/>
  <c r="BG71"/>
  <c r="BG72"/>
  <c r="BG73"/>
  <c r="BG74"/>
  <c r="BG75"/>
  <c r="BG76"/>
  <c r="BG77"/>
  <c r="BG78"/>
  <c r="BG79"/>
  <c r="BG80"/>
  <c r="BG81"/>
  <c r="BG82"/>
  <c r="BG83"/>
  <c r="BG84"/>
  <c r="BG85"/>
  <c r="BG86"/>
  <c r="BG87"/>
  <c r="BG88"/>
  <c r="BG89"/>
  <c r="BG90"/>
  <c r="BG91"/>
  <c r="BG92"/>
  <c r="BG93"/>
  <c r="BG94"/>
  <c r="BG95"/>
  <c r="BG102"/>
  <c r="BG103"/>
  <c r="BG104"/>
  <c r="BG96"/>
  <c r="BG97"/>
  <c r="BG98"/>
  <c r="BG105"/>
  <c r="BG122"/>
  <c r="BG117"/>
  <c r="BG106"/>
  <c r="BG107"/>
  <c r="BG118"/>
  <c r="BG119"/>
  <c r="BG114"/>
  <c r="BG99"/>
  <c r="BG123"/>
  <c r="BG100"/>
  <c r="BG108"/>
  <c r="BG109"/>
  <c r="BG110"/>
  <c r="BG111"/>
  <c r="BG121"/>
  <c r="BG101"/>
  <c r="BG112"/>
  <c r="BG113"/>
  <c r="BG120"/>
  <c r="BG115"/>
  <c r="BG116"/>
  <c r="BG124"/>
  <c r="BG125"/>
  <c r="BG126"/>
  <c r="BG127"/>
  <c r="BG128"/>
  <c r="BG129"/>
  <c r="BG130"/>
  <c r="BG131"/>
  <c r="BG132"/>
  <c r="BG133"/>
  <c r="BG134"/>
  <c r="BG135"/>
  <c r="BG136"/>
  <c r="BG137"/>
  <c r="BG138"/>
  <c r="BG139"/>
  <c r="BG140"/>
  <c r="BG141"/>
  <c r="BG142"/>
  <c r="BG144"/>
  <c r="BG145"/>
  <c r="BG146"/>
  <c r="BG147"/>
  <c r="BG148"/>
  <c r="BG143"/>
  <c r="BG149"/>
  <c r="BG150"/>
  <c r="BG151"/>
  <c r="BG152"/>
  <c r="BG153"/>
  <c r="BG154"/>
  <c r="BG155"/>
  <c r="BG182"/>
  <c r="BG156"/>
  <c r="BG158"/>
  <c r="BG159"/>
  <c r="BG160"/>
  <c r="BG161"/>
  <c r="BG162"/>
  <c r="BG163"/>
  <c r="BG164"/>
  <c r="BG165"/>
  <c r="BG177"/>
  <c r="BG166"/>
  <c r="BG167"/>
  <c r="BG168"/>
  <c r="BG169"/>
  <c r="BG170"/>
  <c r="BG171"/>
  <c r="BG172"/>
  <c r="BG173"/>
  <c r="BG174"/>
  <c r="BG175"/>
  <c r="BG176"/>
  <c r="BG178"/>
  <c r="BG180"/>
  <c r="BG179"/>
  <c r="BG157"/>
  <c r="BG181"/>
  <c r="BG193"/>
  <c r="BG194"/>
  <c r="BG195"/>
  <c r="BG196"/>
  <c r="BG197"/>
  <c r="BG202"/>
  <c r="BG203"/>
  <c r="BG204"/>
  <c r="BG207"/>
  <c r="BG208"/>
  <c r="BG209"/>
  <c r="BG210"/>
  <c r="BG211"/>
  <c r="BG212"/>
  <c r="BG213"/>
  <c r="BG214"/>
  <c r="BG215"/>
  <c r="BG216"/>
  <c r="BG217"/>
  <c r="BG218"/>
  <c r="BG219"/>
  <c r="BG220"/>
  <c r="BG222"/>
  <c r="BG221"/>
  <c r="BG223"/>
  <c r="BG224"/>
  <c r="BG226"/>
  <c r="BG227"/>
  <c r="BG228"/>
  <c r="BG225"/>
  <c r="BG229"/>
  <c r="BG237"/>
  <c r="BG238"/>
  <c r="BG239"/>
  <c r="BG230"/>
  <c r="BG231"/>
  <c r="BG232"/>
  <c r="BG233"/>
  <c r="BG234"/>
  <c r="BG235"/>
  <c r="BG236"/>
  <c r="BG240"/>
  <c r="BG241"/>
  <c r="BG242"/>
  <c r="BG243"/>
  <c r="BG244"/>
  <c r="BG245"/>
  <c r="BG246"/>
  <c r="BG247"/>
  <c r="BG248"/>
  <c r="BG249"/>
  <c r="BG250"/>
  <c r="BG251"/>
  <c r="BG252"/>
  <c r="BG253"/>
  <c r="BG254"/>
  <c r="BG255"/>
  <c r="BG256"/>
  <c r="BG258"/>
  <c r="BG259"/>
  <c r="BG260"/>
  <c r="BG261"/>
  <c r="BG262"/>
  <c r="BG257"/>
  <c r="BG264"/>
  <c r="BG265"/>
  <c r="BG266"/>
  <c r="BG263"/>
  <c r="BG267"/>
  <c r="BG268"/>
  <c r="BG269"/>
  <c r="BG270"/>
  <c r="BG271"/>
  <c r="BG272"/>
  <c r="BG273"/>
  <c r="BG274"/>
  <c r="BG275"/>
  <c r="BG277"/>
  <c r="BG278"/>
  <c r="BG279"/>
  <c r="BG280"/>
  <c r="BG281"/>
  <c r="BG282"/>
  <c r="BG276"/>
  <c r="BG283"/>
  <c r="BG284"/>
  <c r="BG285"/>
  <c r="BG286"/>
  <c r="BG287"/>
  <c r="BG288"/>
  <c r="BG289"/>
  <c r="BG290"/>
  <c r="BG291"/>
  <c r="BG292"/>
  <c r="BG293"/>
  <c r="BG294"/>
  <c r="BG295"/>
  <c r="BG296"/>
  <c r="BG297"/>
  <c r="BG298"/>
  <c r="BG299"/>
  <c r="BG300"/>
  <c r="BG301"/>
  <c r="BG302"/>
  <c r="BG303"/>
  <c r="BG304"/>
  <c r="BG305"/>
  <c r="BG306"/>
  <c r="BG317"/>
  <c r="BG318"/>
  <c r="BG307"/>
  <c r="BG323"/>
  <c r="BG308"/>
  <c r="BG309"/>
  <c r="BG311"/>
  <c r="BG312"/>
  <c r="BG313"/>
  <c r="BG314"/>
  <c r="BG315"/>
  <c r="BG342"/>
  <c r="BG316"/>
  <c r="BG319"/>
  <c r="BG320"/>
  <c r="BG345"/>
  <c r="BG321"/>
  <c r="BG322"/>
  <c r="BG324"/>
  <c r="BG310"/>
  <c r="BG325"/>
  <c r="BG326"/>
  <c r="BG327"/>
  <c r="BG328"/>
  <c r="BG349"/>
  <c r="BG329"/>
  <c r="BG330"/>
  <c r="BG353"/>
  <c r="BG331"/>
  <c r="BG354"/>
  <c r="BG332"/>
  <c r="BG356"/>
  <c r="BG333"/>
  <c r="BG358"/>
  <c r="BG359"/>
  <c r="BG360"/>
  <c r="BG334"/>
  <c r="BG335"/>
  <c r="BG336"/>
  <c r="BG337"/>
  <c r="BG338"/>
  <c r="BG339"/>
  <c r="BG362"/>
  <c r="BG340"/>
  <c r="BG341"/>
  <c r="BG343"/>
  <c r="BG344"/>
  <c r="BG346"/>
  <c r="BG347"/>
  <c r="BG348"/>
  <c r="BG350"/>
  <c r="BG351"/>
  <c r="BG352"/>
  <c r="BG355"/>
  <c r="BG357"/>
  <c r="BG361"/>
  <c r="BG363"/>
  <c r="BG364"/>
  <c r="BG365"/>
  <c r="BG366"/>
  <c r="BG367"/>
  <c r="BG368"/>
  <c r="BG369"/>
  <c r="BG370"/>
  <c r="BG371"/>
  <c r="BG372"/>
  <c r="BG373"/>
  <c r="BG374"/>
  <c r="BG375"/>
  <c r="BG376"/>
  <c r="BG377"/>
  <c r="BG378"/>
  <c r="BG379"/>
  <c r="BG380"/>
  <c r="BG381"/>
  <c r="BG382"/>
  <c r="BG383"/>
  <c r="BG384"/>
  <c r="BG385"/>
  <c r="BG386"/>
  <c r="BG387"/>
  <c r="BG388"/>
  <c r="BG389"/>
  <c r="BG390"/>
  <c r="BG391"/>
  <c r="BG392"/>
  <c r="BG393"/>
  <c r="BG394"/>
  <c r="BG395"/>
  <c r="BG396"/>
  <c r="BG397"/>
  <c r="BG398"/>
  <c r="BG399"/>
  <c r="BG400"/>
  <c r="BG401"/>
  <c r="BG402"/>
  <c r="BG403"/>
  <c r="BG404"/>
  <c r="BG405"/>
  <c r="BG406"/>
  <c r="BG407"/>
  <c r="BG408"/>
  <c r="BG409"/>
  <c r="BG410"/>
  <c r="BG411"/>
  <c r="BG412"/>
  <c r="BG413"/>
  <c r="BG414"/>
  <c r="BG415"/>
  <c r="BG416"/>
  <c r="BG417"/>
  <c r="BG418"/>
  <c r="BG419"/>
  <c r="BG420"/>
  <c r="BG421"/>
  <c r="BG422"/>
  <c r="BG423"/>
  <c r="BG424"/>
  <c r="BG425"/>
  <c r="BG426"/>
  <c r="BG427"/>
  <c r="BG428"/>
  <c r="BG429"/>
  <c r="BG430"/>
  <c r="BG431"/>
  <c r="BG432"/>
  <c r="BG433"/>
  <c r="BG434"/>
  <c r="BG435"/>
  <c r="BG436"/>
  <c r="BG437"/>
  <c r="BG438"/>
  <c r="BG439"/>
  <c r="BG440"/>
  <c r="BG441"/>
  <c r="BG442"/>
  <c r="BG443"/>
  <c r="BG444"/>
  <c r="BG445"/>
  <c r="BG446"/>
  <c r="BG447"/>
  <c r="BG448"/>
  <c r="BG449"/>
  <c r="BG450"/>
  <c r="BG451"/>
  <c r="BG452"/>
  <c r="BG453"/>
  <c r="BG454"/>
  <c r="BG455"/>
  <c r="BG456"/>
  <c r="BG457"/>
  <c r="BG458"/>
  <c r="BG459"/>
  <c r="BG460"/>
  <c r="BG461"/>
  <c r="BG462"/>
  <c r="BG463"/>
  <c r="BG464"/>
  <c r="BG465"/>
  <c r="BG466"/>
  <c r="BG467"/>
  <c r="BG468"/>
  <c r="BG469"/>
  <c r="BG470"/>
  <c r="BG472"/>
  <c r="BG473"/>
  <c r="BG474"/>
  <c r="BG475"/>
  <c r="BG476"/>
  <c r="BG471"/>
  <c r="BG477"/>
  <c r="BG478"/>
  <c r="BG479"/>
  <c r="BG480"/>
  <c r="BG481"/>
  <c r="BG482"/>
  <c r="BG483"/>
  <c r="BG484"/>
  <c r="BG485"/>
  <c r="BG486"/>
  <c r="BG487"/>
  <c r="BG488"/>
  <c r="BG489"/>
  <c r="BG490"/>
  <c r="BG491"/>
  <c r="BG492"/>
  <c r="BG493"/>
  <c r="BG494"/>
  <c r="BG495"/>
  <c r="BG496"/>
  <c r="BG497"/>
  <c r="BG498"/>
  <c r="BG499"/>
  <c r="BG500"/>
  <c r="BG501"/>
  <c r="BG502"/>
  <c r="BG503"/>
  <c r="BG504"/>
  <c r="BG505"/>
  <c r="BG506"/>
  <c r="BG507"/>
  <c r="BG508"/>
  <c r="BG509"/>
  <c r="BG510"/>
  <c r="BG511"/>
  <c r="BG512"/>
  <c r="BG513"/>
  <c r="BG514"/>
  <c r="BG515"/>
  <c r="BG516"/>
  <c r="BG517"/>
  <c r="BG518"/>
  <c r="BG519"/>
  <c r="BG520"/>
  <c r="BG521"/>
  <c r="BG522"/>
  <c r="BG523"/>
  <c r="BG524"/>
  <c r="BG525"/>
  <c r="BG526"/>
  <c r="BG527"/>
  <c r="BG528"/>
  <c r="BG529"/>
  <c r="BG530"/>
  <c r="BG531"/>
  <c r="BG532"/>
  <c r="BG533"/>
  <c r="BG534"/>
  <c r="BG535"/>
  <c r="BG536"/>
  <c r="BG537"/>
  <c r="BG538"/>
  <c r="BG539"/>
  <c r="BG540"/>
  <c r="BG541"/>
  <c r="BG542"/>
  <c r="BG544"/>
  <c r="BG545"/>
  <c r="BG546"/>
  <c r="BG547"/>
  <c r="BG548"/>
  <c r="BG543"/>
  <c r="BG549"/>
  <c r="BG550"/>
  <c r="BG551"/>
  <c r="BG552"/>
  <c r="BG553"/>
  <c r="BG554"/>
  <c r="BG555"/>
  <c r="BG556"/>
  <c r="BG557"/>
  <c r="BG558"/>
  <c r="BG559"/>
  <c r="BG560"/>
  <c r="BG561"/>
  <c r="BG562"/>
  <c r="BG563"/>
  <c r="BG565"/>
  <c r="BG566"/>
  <c r="BG567"/>
  <c r="BG568"/>
  <c r="BG569"/>
  <c r="BG570"/>
  <c r="BG572"/>
  <c r="BG573"/>
  <c r="BG574"/>
  <c r="BG575"/>
  <c r="BG576"/>
  <c r="BG577"/>
  <c r="BG578"/>
  <c r="BG579"/>
  <c r="BG580"/>
  <c r="BG581"/>
  <c r="BG582"/>
  <c r="BG583"/>
  <c r="BG584"/>
  <c r="BG585"/>
  <c r="BG586"/>
  <c r="BG587"/>
  <c r="BG588"/>
  <c r="BG564"/>
  <c r="BG589"/>
  <c r="BG590"/>
  <c r="BG591"/>
  <c r="BG592"/>
  <c r="BG593"/>
  <c r="BG594"/>
  <c r="BG595"/>
  <c r="BG571"/>
  <c r="BG596"/>
  <c r="BG597"/>
  <c r="BG598"/>
  <c r="BG599"/>
  <c r="BG600"/>
  <c r="BG601"/>
  <c r="BG602"/>
  <c r="BG603"/>
  <c r="BG604"/>
  <c r="BG605"/>
  <c r="BG606"/>
  <c r="BG607"/>
  <c r="BG608"/>
  <c r="BG609"/>
  <c r="BG610"/>
  <c r="BG611"/>
  <c r="BG612"/>
  <c r="BG613"/>
  <c r="BG614"/>
  <c r="BG615"/>
  <c r="BG616"/>
  <c r="BG617"/>
  <c r="BG618"/>
  <c r="BG619"/>
  <c r="BG620"/>
  <c r="BG621"/>
  <c r="BG622"/>
  <c r="BG623"/>
  <c r="BG624"/>
  <c r="BG625"/>
  <c r="BG626"/>
  <c r="BG627"/>
  <c r="BG628"/>
  <c r="BG629"/>
  <c r="BG630"/>
  <c r="BG631"/>
  <c r="BG632"/>
  <c r="BG633"/>
  <c r="BG634"/>
  <c r="BG635"/>
  <c r="BG636"/>
  <c r="BG637"/>
  <c r="BG638"/>
  <c r="BG639"/>
  <c r="BG640"/>
  <c r="BG641"/>
  <c r="BG642"/>
  <c r="BG643"/>
  <c r="BG644"/>
  <c r="BG645"/>
  <c r="BG646"/>
  <c r="BG647"/>
  <c r="BG648"/>
  <c r="BG649"/>
  <c r="BG650"/>
  <c r="BG651"/>
  <c r="BG652"/>
  <c r="BG653"/>
  <c r="BG654"/>
  <c r="BG655"/>
  <c r="BG656"/>
  <c r="BG657"/>
  <c r="BG658"/>
  <c r="BG659"/>
  <c r="BG660"/>
  <c r="BG661"/>
  <c r="BG662"/>
  <c r="BG663"/>
  <c r="BG664"/>
  <c r="BG665"/>
  <c r="BG667"/>
  <c r="BG668"/>
  <c r="BG669"/>
  <c r="BG666"/>
  <c r="BG670"/>
  <c r="BG671"/>
  <c r="BG672"/>
  <c r="BG673"/>
  <c r="BG674"/>
  <c r="BG675"/>
  <c r="BG676"/>
  <c r="BG677"/>
  <c r="BG678"/>
  <c r="BG679"/>
  <c r="BG680"/>
  <c r="BG681"/>
  <c r="BG682"/>
  <c r="BG683"/>
  <c r="BD10"/>
  <c r="BD11"/>
  <c r="BD12"/>
  <c r="BD13"/>
  <c r="BD14"/>
  <c r="BD15"/>
  <c r="BD16"/>
  <c r="BD17"/>
  <c r="BD18"/>
  <c r="BD19"/>
  <c r="BD20"/>
  <c r="BD21"/>
  <c r="BD22"/>
  <c r="BD23"/>
  <c r="BD24"/>
  <c r="BD25"/>
  <c r="BD26"/>
  <c r="BD27"/>
  <c r="BD28"/>
  <c r="BD29"/>
  <c r="BD30"/>
  <c r="BD32"/>
  <c r="BD33"/>
  <c r="BD34"/>
  <c r="BD35"/>
  <c r="BD36"/>
  <c r="BD37"/>
  <c r="BD38"/>
  <c r="BD39"/>
  <c r="BD40"/>
  <c r="BD41"/>
  <c r="BD42"/>
  <c r="BD31"/>
  <c r="BD43"/>
  <c r="BD44"/>
  <c r="BD45"/>
  <c r="BD46"/>
  <c r="BD47"/>
  <c r="BD48"/>
  <c r="BD49"/>
  <c r="BD50"/>
  <c r="BD51"/>
  <c r="BD52"/>
  <c r="BD53"/>
  <c r="BD54"/>
  <c r="BD55"/>
  <c r="BD56"/>
  <c r="BD57"/>
  <c r="BD58"/>
  <c r="BD59"/>
  <c r="BD61"/>
  <c r="BD62"/>
  <c r="BD63"/>
  <c r="BD64"/>
  <c r="BD65"/>
  <c r="BD66"/>
  <c r="BD67"/>
  <c r="BD68"/>
  <c r="BD60"/>
  <c r="BD69"/>
  <c r="BD70"/>
  <c r="BD71"/>
  <c r="BD72"/>
  <c r="BD73"/>
  <c r="BD74"/>
  <c r="BD75"/>
  <c r="BD76"/>
  <c r="BD77"/>
  <c r="BD78"/>
  <c r="BD79"/>
  <c r="BD80"/>
  <c r="BD81"/>
  <c r="BD82"/>
  <c r="BD83"/>
  <c r="BD84"/>
  <c r="BD85"/>
  <c r="BD86"/>
  <c r="BD87"/>
  <c r="BD88"/>
  <c r="BD89"/>
  <c r="BD90"/>
  <c r="BD91"/>
  <c r="BD92"/>
  <c r="BD93"/>
  <c r="BD94"/>
  <c r="BD95"/>
  <c r="BD102"/>
  <c r="BD103"/>
  <c r="BD104"/>
  <c r="BD96"/>
  <c r="BD97"/>
  <c r="BD98"/>
  <c r="BD105"/>
  <c r="BD122"/>
  <c r="BD117"/>
  <c r="BD106"/>
  <c r="BD107"/>
  <c r="BD118"/>
  <c r="BD119"/>
  <c r="BD114"/>
  <c r="BD99"/>
  <c r="BD123"/>
  <c r="BD100"/>
  <c r="BD108"/>
  <c r="BD109"/>
  <c r="BD110"/>
  <c r="BD111"/>
  <c r="BD121"/>
  <c r="BD101"/>
  <c r="BD112"/>
  <c r="BD113"/>
  <c r="BD120"/>
  <c r="BD115"/>
  <c r="BD116"/>
  <c r="BD124"/>
  <c r="BD125"/>
  <c r="BD126"/>
  <c r="BD127"/>
  <c r="BD128"/>
  <c r="BD129"/>
  <c r="BD130"/>
  <c r="BD131"/>
  <c r="BD132"/>
  <c r="BD133"/>
  <c r="BD134"/>
  <c r="BD135"/>
  <c r="BD136"/>
  <c r="BD137"/>
  <c r="BD138"/>
  <c r="BD139"/>
  <c r="BD140"/>
  <c r="BD141"/>
  <c r="BD142"/>
  <c r="BD144"/>
  <c r="BD145"/>
  <c r="BD146"/>
  <c r="BD147"/>
  <c r="BD148"/>
  <c r="BD143"/>
  <c r="BD149"/>
  <c r="BD150"/>
  <c r="BD151"/>
  <c r="BD152"/>
  <c r="BD153"/>
  <c r="BD154"/>
  <c r="BD155"/>
  <c r="BD182"/>
  <c r="BD156"/>
  <c r="BD158"/>
  <c r="BD159"/>
  <c r="BD160"/>
  <c r="BD161"/>
  <c r="BD162"/>
  <c r="BD163"/>
  <c r="BD164"/>
  <c r="BD165"/>
  <c r="BD177"/>
  <c r="BD166"/>
  <c r="BD167"/>
  <c r="BD168"/>
  <c r="BD169"/>
  <c r="BD170"/>
  <c r="BD171"/>
  <c r="BD172"/>
  <c r="BD173"/>
  <c r="BD174"/>
  <c r="BD175"/>
  <c r="BD176"/>
  <c r="BD178"/>
  <c r="BD180"/>
  <c r="BD179"/>
  <c r="BD157"/>
  <c r="BD181"/>
  <c r="BD183"/>
  <c r="BD184"/>
  <c r="BD185"/>
  <c r="BD187"/>
  <c r="BD188"/>
  <c r="BD186"/>
  <c r="BD190"/>
  <c r="BD189"/>
  <c r="BD191"/>
  <c r="BD192"/>
  <c r="BD193"/>
  <c r="BD194"/>
  <c r="BD195"/>
  <c r="BD196"/>
  <c r="BD197"/>
  <c r="BD198"/>
  <c r="BD199"/>
  <c r="BD200"/>
  <c r="BD201"/>
  <c r="BD202"/>
  <c r="BD203"/>
  <c r="BD204"/>
  <c r="BD205"/>
  <c r="BD206"/>
  <c r="BD207"/>
  <c r="BD208"/>
  <c r="BD209"/>
  <c r="BD210"/>
  <c r="BD211"/>
  <c r="BD212"/>
  <c r="BD213"/>
  <c r="BD214"/>
  <c r="BD215"/>
  <c r="BD216"/>
  <c r="BD217"/>
  <c r="BD218"/>
  <c r="BD219"/>
  <c r="BD220"/>
  <c r="BD222"/>
  <c r="BD221"/>
  <c r="BD223"/>
  <c r="BD224"/>
  <c r="BD226"/>
  <c r="BD227"/>
  <c r="BD228"/>
  <c r="BD225"/>
  <c r="BD229"/>
  <c r="BD237"/>
  <c r="BD238"/>
  <c r="BD239"/>
  <c r="BD230"/>
  <c r="BD231"/>
  <c r="BD232"/>
  <c r="BD233"/>
  <c r="BD234"/>
  <c r="BD235"/>
  <c r="BD236"/>
  <c r="BD240"/>
  <c r="BD241"/>
  <c r="BD242"/>
  <c r="BD243"/>
  <c r="BD244"/>
  <c r="BD245"/>
  <c r="BD246"/>
  <c r="BD247"/>
  <c r="BD248"/>
  <c r="BD249"/>
  <c r="BD250"/>
  <c r="BD251"/>
  <c r="BD252"/>
  <c r="BD253"/>
  <c r="BD254"/>
  <c r="BD255"/>
  <c r="BD256"/>
  <c r="BD258"/>
  <c r="BD259"/>
  <c r="BD260"/>
  <c r="BD261"/>
  <c r="BD262"/>
  <c r="BD257"/>
  <c r="BD264"/>
  <c r="BD265"/>
  <c r="BD266"/>
  <c r="BD263"/>
  <c r="BD267"/>
  <c r="BD268"/>
  <c r="BD269"/>
  <c r="BD270"/>
  <c r="BD271"/>
  <c r="BD272"/>
  <c r="BD273"/>
  <c r="BD274"/>
  <c r="BD275"/>
  <c r="BD277"/>
  <c r="BD278"/>
  <c r="BD279"/>
  <c r="BD280"/>
  <c r="BD281"/>
  <c r="BD282"/>
  <c r="BD276"/>
  <c r="BD283"/>
  <c r="BD284"/>
  <c r="BD285"/>
  <c r="BD286"/>
  <c r="BD287"/>
  <c r="BD288"/>
  <c r="BD289"/>
  <c r="BD290"/>
  <c r="BD291"/>
  <c r="BD292"/>
  <c r="BD293"/>
  <c r="BD294"/>
  <c r="BD295"/>
  <c r="BD296"/>
  <c r="BD297"/>
  <c r="BD298"/>
  <c r="BD299"/>
  <c r="BD300"/>
  <c r="BD301"/>
  <c r="BD302"/>
  <c r="BD303"/>
  <c r="BD304"/>
  <c r="BD305"/>
  <c r="BD306"/>
  <c r="BD317"/>
  <c r="BD318"/>
  <c r="BD307"/>
  <c r="BD323"/>
  <c r="BD308"/>
  <c r="BD309"/>
  <c r="BD311"/>
  <c r="BD312"/>
  <c r="BD313"/>
  <c r="BD314"/>
  <c r="BD315"/>
  <c r="BD342"/>
  <c r="BD316"/>
  <c r="BD319"/>
  <c r="BD320"/>
  <c r="BD345"/>
  <c r="BD321"/>
  <c r="BD322"/>
  <c r="BD324"/>
  <c r="BD310"/>
  <c r="BD325"/>
  <c r="BD326"/>
  <c r="BD327"/>
  <c r="BD328"/>
  <c r="BD349"/>
  <c r="BD329"/>
  <c r="BD330"/>
  <c r="BD353"/>
  <c r="BD331"/>
  <c r="BD354"/>
  <c r="BD332"/>
  <c r="BD356"/>
  <c r="BD333"/>
  <c r="BD358"/>
  <c r="BD359"/>
  <c r="BD360"/>
  <c r="BD334"/>
  <c r="BD335"/>
  <c r="BD336"/>
  <c r="BD337"/>
  <c r="BD338"/>
  <c r="BD339"/>
  <c r="BD362"/>
  <c r="BD340"/>
  <c r="BD341"/>
  <c r="BD343"/>
  <c r="BD344"/>
  <c r="BD346"/>
  <c r="BD347"/>
  <c r="BD348"/>
  <c r="BD350"/>
  <c r="BD351"/>
  <c r="BD352"/>
  <c r="BD355"/>
  <c r="BD357"/>
  <c r="BD361"/>
  <c r="BD363"/>
  <c r="BD364"/>
  <c r="BD365"/>
  <c r="BD366"/>
  <c r="BD367"/>
  <c r="BD368"/>
  <c r="BD369"/>
  <c r="BD370"/>
  <c r="BD371"/>
  <c r="BD372"/>
  <c r="BD373"/>
  <c r="BD374"/>
  <c r="BD375"/>
  <c r="BD376"/>
  <c r="BD377"/>
  <c r="BD378"/>
  <c r="BD379"/>
  <c r="BD380"/>
  <c r="BD381"/>
  <c r="BD382"/>
  <c r="BD383"/>
  <c r="BD384"/>
  <c r="BD385"/>
  <c r="BD386"/>
  <c r="BD387"/>
  <c r="BD388"/>
  <c r="BD389"/>
  <c r="BD390"/>
  <c r="BD391"/>
  <c r="BD392"/>
  <c r="BD393"/>
  <c r="BD394"/>
  <c r="BD395"/>
  <c r="BD396"/>
  <c r="BD397"/>
  <c r="BD398"/>
  <c r="BD399"/>
  <c r="BD400"/>
  <c r="BD401"/>
  <c r="BD402"/>
  <c r="BD403"/>
  <c r="BD404"/>
  <c r="BD405"/>
  <c r="BD406"/>
  <c r="BD407"/>
  <c r="BD408"/>
  <c r="BD409"/>
  <c r="BD410"/>
  <c r="BD411"/>
  <c r="BD412"/>
  <c r="BD413"/>
  <c r="BD414"/>
  <c r="BD415"/>
  <c r="BD416"/>
  <c r="BD417"/>
  <c r="BD418"/>
  <c r="BD419"/>
  <c r="BD420"/>
  <c r="BD421"/>
  <c r="BD422"/>
  <c r="BD423"/>
  <c r="BD424"/>
  <c r="BD425"/>
  <c r="BD426"/>
  <c r="BD427"/>
  <c r="BD428"/>
  <c r="BD429"/>
  <c r="BD430"/>
  <c r="BD431"/>
  <c r="BD432"/>
  <c r="BD433"/>
  <c r="BD434"/>
  <c r="BD435"/>
  <c r="BD436"/>
  <c r="BD437"/>
  <c r="BD438"/>
  <c r="BD439"/>
  <c r="BD440"/>
  <c r="BD441"/>
  <c r="BD442"/>
  <c r="BD443"/>
  <c r="BD444"/>
  <c r="BD445"/>
  <c r="BD446"/>
  <c r="BD447"/>
  <c r="BD448"/>
  <c r="BD449"/>
  <c r="BD450"/>
  <c r="BD451"/>
  <c r="BD452"/>
  <c r="BD453"/>
  <c r="BD454"/>
  <c r="BD455"/>
  <c r="BD456"/>
  <c r="BD457"/>
  <c r="BD458"/>
  <c r="BD459"/>
  <c r="BD460"/>
  <c r="BD461"/>
  <c r="BD462"/>
  <c r="BD463"/>
  <c r="BD464"/>
  <c r="BD465"/>
  <c r="BD466"/>
  <c r="BD467"/>
  <c r="BD468"/>
  <c r="BD469"/>
  <c r="BD470"/>
  <c r="BD472"/>
  <c r="BD473"/>
  <c r="BD474"/>
  <c r="BD475"/>
  <c r="BD476"/>
  <c r="BD471"/>
  <c r="BD477"/>
  <c r="BD478"/>
  <c r="BD479"/>
  <c r="BD480"/>
  <c r="BD481"/>
  <c r="BD482"/>
  <c r="BD483"/>
  <c r="BD484"/>
  <c r="BD485"/>
  <c r="BD486"/>
  <c r="BD487"/>
  <c r="BD488"/>
  <c r="BD489"/>
  <c r="BD490"/>
  <c r="BD491"/>
  <c r="BD492"/>
  <c r="BD493"/>
  <c r="BD494"/>
  <c r="BD495"/>
  <c r="BD496"/>
  <c r="BD497"/>
  <c r="BD498"/>
  <c r="BD499"/>
  <c r="BD500"/>
  <c r="BD501"/>
  <c r="BD502"/>
  <c r="BD503"/>
  <c r="BD504"/>
  <c r="BD505"/>
  <c r="BD506"/>
  <c r="BD507"/>
  <c r="BD508"/>
  <c r="BD509"/>
  <c r="BD510"/>
  <c r="BD511"/>
  <c r="BD512"/>
  <c r="BD513"/>
  <c r="BD514"/>
  <c r="BD515"/>
  <c r="BD516"/>
  <c r="BD517"/>
  <c r="BD518"/>
  <c r="BD519"/>
  <c r="BD520"/>
  <c r="BD521"/>
  <c r="BD522"/>
  <c r="BD523"/>
  <c r="BD524"/>
  <c r="BD525"/>
  <c r="BD526"/>
  <c r="BD527"/>
  <c r="BD528"/>
  <c r="BD529"/>
  <c r="BD530"/>
  <c r="BD531"/>
  <c r="BD532"/>
  <c r="BD533"/>
  <c r="BD534"/>
  <c r="BD535"/>
  <c r="BD536"/>
  <c r="BD537"/>
  <c r="BD538"/>
  <c r="BD539"/>
  <c r="BD540"/>
  <c r="BD541"/>
  <c r="BD542"/>
  <c r="BD544"/>
  <c r="BD545"/>
  <c r="BD546"/>
  <c r="BD547"/>
  <c r="BD548"/>
  <c r="BD543"/>
  <c r="BD549"/>
  <c r="BD550"/>
  <c r="BD551"/>
  <c r="BD552"/>
  <c r="BD553"/>
  <c r="BD554"/>
  <c r="BD555"/>
  <c r="BD556"/>
  <c r="BD557"/>
  <c r="BD558"/>
  <c r="BD559"/>
  <c r="BD560"/>
  <c r="BD561"/>
  <c r="BD562"/>
  <c r="BD563"/>
  <c r="BD565"/>
  <c r="BD566"/>
  <c r="BD567"/>
  <c r="BD568"/>
  <c r="BD569"/>
  <c r="BD570"/>
  <c r="BD572"/>
  <c r="BD573"/>
  <c r="BD574"/>
  <c r="BD575"/>
  <c r="BD576"/>
  <c r="BD577"/>
  <c r="BD578"/>
  <c r="BD579"/>
  <c r="BD580"/>
  <c r="BD581"/>
  <c r="BD582"/>
  <c r="BD583"/>
  <c r="BD584"/>
  <c r="BD585"/>
  <c r="BD586"/>
  <c r="BD587"/>
  <c r="BD588"/>
  <c r="BD564"/>
  <c r="BD589"/>
  <c r="BD590"/>
  <c r="BD591"/>
  <c r="BD592"/>
  <c r="BD593"/>
  <c r="BD594"/>
  <c r="BD595"/>
  <c r="BD571"/>
  <c r="BD596"/>
  <c r="BD597"/>
  <c r="BD598"/>
  <c r="BD599"/>
  <c r="BD600"/>
  <c r="BD601"/>
  <c r="BD602"/>
  <c r="BD603"/>
  <c r="BD604"/>
  <c r="BD605"/>
  <c r="BD606"/>
  <c r="BD607"/>
  <c r="BD608"/>
  <c r="BD609"/>
  <c r="BD610"/>
  <c r="BD611"/>
  <c r="BD612"/>
  <c r="BD613"/>
  <c r="BD614"/>
  <c r="BD615"/>
  <c r="BD616"/>
  <c r="BD617"/>
  <c r="BD618"/>
  <c r="BD619"/>
  <c r="BD620"/>
  <c r="BD621"/>
  <c r="BD622"/>
  <c r="BD623"/>
  <c r="BD624"/>
  <c r="BD625"/>
  <c r="BD626"/>
  <c r="BD627"/>
  <c r="BD628"/>
  <c r="BD629"/>
  <c r="BD630"/>
  <c r="BD631"/>
  <c r="BD632"/>
  <c r="BD633"/>
  <c r="BD634"/>
  <c r="BD635"/>
  <c r="BD636"/>
  <c r="BD637"/>
  <c r="BD638"/>
  <c r="BD639"/>
  <c r="BD640"/>
  <c r="BD641"/>
  <c r="BD642"/>
  <c r="BD643"/>
  <c r="BD644"/>
  <c r="BD645"/>
  <c r="BD646"/>
  <c r="BD647"/>
  <c r="BD648"/>
  <c r="BD649"/>
  <c r="BD650"/>
  <c r="BD651"/>
  <c r="BD652"/>
  <c r="BD653"/>
  <c r="BD654"/>
  <c r="BD655"/>
  <c r="BD656"/>
  <c r="BD657"/>
  <c r="BD658"/>
  <c r="BD659"/>
  <c r="BD660"/>
  <c r="BD661"/>
  <c r="BD662"/>
  <c r="BD663"/>
  <c r="BD664"/>
  <c r="BD665"/>
  <c r="BD667"/>
  <c r="BD668"/>
  <c r="BD669"/>
  <c r="BD666"/>
  <c r="BD670"/>
  <c r="BD671"/>
  <c r="BD672"/>
  <c r="BD673"/>
  <c r="BD674"/>
  <c r="BD675"/>
  <c r="BD676"/>
  <c r="BD677"/>
  <c r="BD678"/>
  <c r="BD679"/>
  <c r="BD680"/>
  <c r="BD681"/>
  <c r="BD682"/>
  <c r="BD683"/>
  <c r="BA10"/>
  <c r="BA11"/>
  <c r="BA12"/>
  <c r="BA13"/>
  <c r="BA14"/>
  <c r="BA15"/>
  <c r="BA16"/>
  <c r="BA17"/>
  <c r="BA18"/>
  <c r="BA19"/>
  <c r="BA20"/>
  <c r="BA21"/>
  <c r="BA22"/>
  <c r="BA23"/>
  <c r="BA24"/>
  <c r="BA25"/>
  <c r="BA26"/>
  <c r="BA27"/>
  <c r="BA28"/>
  <c r="BA29"/>
  <c r="BA30"/>
  <c r="BA32"/>
  <c r="BA33"/>
  <c r="BA34"/>
  <c r="BA35"/>
  <c r="BA36"/>
  <c r="BA37"/>
  <c r="BA38"/>
  <c r="BA39"/>
  <c r="BA40"/>
  <c r="BA41"/>
  <c r="BA42"/>
  <c r="BA31"/>
  <c r="BA43"/>
  <c r="BA44"/>
  <c r="BA45"/>
  <c r="BA46"/>
  <c r="BA47"/>
  <c r="BA48"/>
  <c r="BA49"/>
  <c r="BA50"/>
  <c r="BA51"/>
  <c r="BA52"/>
  <c r="BA53"/>
  <c r="BA54"/>
  <c r="BA55"/>
  <c r="BA56"/>
  <c r="BA57"/>
  <c r="BA58"/>
  <c r="BA59"/>
  <c r="BA61"/>
  <c r="BA62"/>
  <c r="BA63"/>
  <c r="BA64"/>
  <c r="BA65"/>
  <c r="BA66"/>
  <c r="BA67"/>
  <c r="BA68"/>
  <c r="BA60"/>
  <c r="BA69"/>
  <c r="BA70"/>
  <c r="BA71"/>
  <c r="BA72"/>
  <c r="BA73"/>
  <c r="BA74"/>
  <c r="BA75"/>
  <c r="BA76"/>
  <c r="BA77"/>
  <c r="BA78"/>
  <c r="BA79"/>
  <c r="BA80"/>
  <c r="BA81"/>
  <c r="BA82"/>
  <c r="BA83"/>
  <c r="BA84"/>
  <c r="BA85"/>
  <c r="BA86"/>
  <c r="BA87"/>
  <c r="BA88"/>
  <c r="BA89"/>
  <c r="BA90"/>
  <c r="BA91"/>
  <c r="BA92"/>
  <c r="BA93"/>
  <c r="BA94"/>
  <c r="BA95"/>
  <c r="BA102"/>
  <c r="BA103"/>
  <c r="BA104"/>
  <c r="BA96"/>
  <c r="BA97"/>
  <c r="BA98"/>
  <c r="BA105"/>
  <c r="BA122"/>
  <c r="BA117"/>
  <c r="BA106"/>
  <c r="BA107"/>
  <c r="BA118"/>
  <c r="BA119"/>
  <c r="BA114"/>
  <c r="BA99"/>
  <c r="BA123"/>
  <c r="BA100"/>
  <c r="BA108"/>
  <c r="BA109"/>
  <c r="BA110"/>
  <c r="BA111"/>
  <c r="BA121"/>
  <c r="BA101"/>
  <c r="BA112"/>
  <c r="BA113"/>
  <c r="BA120"/>
  <c r="BA115"/>
  <c r="BA116"/>
  <c r="BA124"/>
  <c r="BA125"/>
  <c r="BA126"/>
  <c r="BA127"/>
  <c r="BA128"/>
  <c r="BA129"/>
  <c r="BA130"/>
  <c r="BA131"/>
  <c r="BA132"/>
  <c r="BA133"/>
  <c r="BA134"/>
  <c r="BA135"/>
  <c r="BA136"/>
  <c r="BA137"/>
  <c r="BA138"/>
  <c r="BA139"/>
  <c r="BA140"/>
  <c r="BA141"/>
  <c r="BA142"/>
  <c r="BA144"/>
  <c r="BA145"/>
  <c r="BA146"/>
  <c r="BA147"/>
  <c r="BA148"/>
  <c r="BA143"/>
  <c r="BA149"/>
  <c r="BA150"/>
  <c r="BA151"/>
  <c r="BA152"/>
  <c r="BA153"/>
  <c r="BA154"/>
  <c r="BA155"/>
  <c r="BA182"/>
  <c r="BA156"/>
  <c r="BA158"/>
  <c r="BA159"/>
  <c r="BA160"/>
  <c r="BA161"/>
  <c r="BA162"/>
  <c r="BA163"/>
  <c r="BA164"/>
  <c r="BA165"/>
  <c r="BA177"/>
  <c r="BA166"/>
  <c r="BA167"/>
  <c r="BA168"/>
  <c r="BA169"/>
  <c r="BA170"/>
  <c r="BA171"/>
  <c r="BA172"/>
  <c r="BA173"/>
  <c r="BA174"/>
  <c r="BA175"/>
  <c r="BA176"/>
  <c r="BA178"/>
  <c r="BA180"/>
  <c r="BA179"/>
  <c r="BA157"/>
  <c r="BA181"/>
  <c r="BA203"/>
  <c r="BA207"/>
  <c r="BA208"/>
  <c r="BA209"/>
  <c r="BA210"/>
  <c r="BA211"/>
  <c r="BA212"/>
  <c r="BA213"/>
  <c r="BA214"/>
  <c r="BA215"/>
  <c r="BA216"/>
  <c r="BA217"/>
  <c r="BA218"/>
  <c r="BA219"/>
  <c r="BA220"/>
  <c r="BA222"/>
  <c r="BA221"/>
  <c r="BA223"/>
  <c r="BA224"/>
  <c r="BA226"/>
  <c r="BA227"/>
  <c r="BA228"/>
  <c r="BA225"/>
  <c r="BA229"/>
  <c r="BA237"/>
  <c r="BA238"/>
  <c r="BA239"/>
  <c r="BA230"/>
  <c r="BA231"/>
  <c r="BA232"/>
  <c r="BA233"/>
  <c r="BA234"/>
  <c r="BA235"/>
  <c r="BA236"/>
  <c r="BA240"/>
  <c r="BA241"/>
  <c r="BA242"/>
  <c r="BA243"/>
  <c r="BA244"/>
  <c r="BA245"/>
  <c r="BA246"/>
  <c r="BA247"/>
  <c r="BA248"/>
  <c r="BA249"/>
  <c r="BA250"/>
  <c r="BA251"/>
  <c r="BA252"/>
  <c r="BA253"/>
  <c r="BA254"/>
  <c r="BA255"/>
  <c r="BA256"/>
  <c r="BA258"/>
  <c r="BA259"/>
  <c r="BA260"/>
  <c r="BA261"/>
  <c r="BA262"/>
  <c r="BA257"/>
  <c r="BA264"/>
  <c r="BA265"/>
  <c r="BA266"/>
  <c r="BA263"/>
  <c r="BA267"/>
  <c r="BA268"/>
  <c r="BA269"/>
  <c r="BA270"/>
  <c r="BA271"/>
  <c r="BA272"/>
  <c r="BA273"/>
  <c r="BA274"/>
  <c r="BA275"/>
  <c r="BA277"/>
  <c r="BA278"/>
  <c r="BA279"/>
  <c r="BA280"/>
  <c r="BA281"/>
  <c r="BA282"/>
  <c r="BA276"/>
  <c r="BA283"/>
  <c r="BA284"/>
  <c r="BA285"/>
  <c r="BA286"/>
  <c r="BA287"/>
  <c r="BA288"/>
  <c r="BA289"/>
  <c r="BA290"/>
  <c r="BA291"/>
  <c r="BA292"/>
  <c r="BA293"/>
  <c r="BA294"/>
  <c r="BA295"/>
  <c r="BA296"/>
  <c r="BA297"/>
  <c r="BA298"/>
  <c r="BA299"/>
  <c r="BA300"/>
  <c r="BA301"/>
  <c r="BA302"/>
  <c r="BA303"/>
  <c r="BA304"/>
  <c r="BA305"/>
  <c r="BA306"/>
  <c r="BA317"/>
  <c r="BA318"/>
  <c r="BA307"/>
  <c r="BA323"/>
  <c r="BA308"/>
  <c r="BA309"/>
  <c r="BA311"/>
  <c r="BA312"/>
  <c r="BA313"/>
  <c r="BA314"/>
  <c r="BA315"/>
  <c r="BA342"/>
  <c r="BA316"/>
  <c r="BA319"/>
  <c r="BA320"/>
  <c r="BA345"/>
  <c r="BA321"/>
  <c r="BA322"/>
  <c r="BA324"/>
  <c r="BA310"/>
  <c r="BA325"/>
  <c r="BA326"/>
  <c r="BA327"/>
  <c r="BA328"/>
  <c r="BA349"/>
  <c r="BA329"/>
  <c r="BA330"/>
  <c r="BA353"/>
  <c r="BA331"/>
  <c r="BA354"/>
  <c r="BA332"/>
  <c r="BA356"/>
  <c r="BA333"/>
  <c r="BA358"/>
  <c r="BA359"/>
  <c r="BA360"/>
  <c r="BA334"/>
  <c r="BA335"/>
  <c r="BA336"/>
  <c r="BA337"/>
  <c r="BA338"/>
  <c r="BA339"/>
  <c r="BA362"/>
  <c r="BA340"/>
  <c r="BA341"/>
  <c r="BA343"/>
  <c r="BA344"/>
  <c r="BA346"/>
  <c r="BA347"/>
  <c r="BA348"/>
  <c r="BA350"/>
  <c r="BA351"/>
  <c r="BA352"/>
  <c r="BA355"/>
  <c r="BA357"/>
  <c r="BA361"/>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BA447"/>
  <c r="BA448"/>
  <c r="BA449"/>
  <c r="BA450"/>
  <c r="BA451"/>
  <c r="BA452"/>
  <c r="BA453"/>
  <c r="BA454"/>
  <c r="BA455"/>
  <c r="BA456"/>
  <c r="BA457"/>
  <c r="BA458"/>
  <c r="BA459"/>
  <c r="BA460"/>
  <c r="BA461"/>
  <c r="BA462"/>
  <c r="BA463"/>
  <c r="BA464"/>
  <c r="BA465"/>
  <c r="BA466"/>
  <c r="BA467"/>
  <c r="BA468"/>
  <c r="BA469"/>
  <c r="BA470"/>
  <c r="BA472"/>
  <c r="BA473"/>
  <c r="BA474"/>
  <c r="BA475"/>
  <c r="BA476"/>
  <c r="BA471"/>
  <c r="BA477"/>
  <c r="BA478"/>
  <c r="BA479"/>
  <c r="BA480"/>
  <c r="BA481"/>
  <c r="BA482"/>
  <c r="BA483"/>
  <c r="BA484"/>
  <c r="BA485"/>
  <c r="BA486"/>
  <c r="BA487"/>
  <c r="BA488"/>
  <c r="BA489"/>
  <c r="BA490"/>
  <c r="BA491"/>
  <c r="BA492"/>
  <c r="BA493"/>
  <c r="BA494"/>
  <c r="BA495"/>
  <c r="BA496"/>
  <c r="BA497"/>
  <c r="BA498"/>
  <c r="BA499"/>
  <c r="BA500"/>
  <c r="BA501"/>
  <c r="BA502"/>
  <c r="BA503"/>
  <c r="BA504"/>
  <c r="BA505"/>
  <c r="BA506"/>
  <c r="BA507"/>
  <c r="BA508"/>
  <c r="BA509"/>
  <c r="BA510"/>
  <c r="BA511"/>
  <c r="BA512"/>
  <c r="BA513"/>
  <c r="BA514"/>
  <c r="BA515"/>
  <c r="BA516"/>
  <c r="BA517"/>
  <c r="BA518"/>
  <c r="BA519"/>
  <c r="BA520"/>
  <c r="BA521"/>
  <c r="BA522"/>
  <c r="BA523"/>
  <c r="BA524"/>
  <c r="BA525"/>
  <c r="BA526"/>
  <c r="BA527"/>
  <c r="BA528"/>
  <c r="BA529"/>
  <c r="BA530"/>
  <c r="BA531"/>
  <c r="BA532"/>
  <c r="BA533"/>
  <c r="BA534"/>
  <c r="BA535"/>
  <c r="BA536"/>
  <c r="BA537"/>
  <c r="BA538"/>
  <c r="BA539"/>
  <c r="BA540"/>
  <c r="BA541"/>
  <c r="BA542"/>
  <c r="BA544"/>
  <c r="BA545"/>
  <c r="BA546"/>
  <c r="BA547"/>
  <c r="BA548"/>
  <c r="BA543"/>
  <c r="BA549"/>
  <c r="BA550"/>
  <c r="BA551"/>
  <c r="BA552"/>
  <c r="BA553"/>
  <c r="BA554"/>
  <c r="BA555"/>
  <c r="BA556"/>
  <c r="BA557"/>
  <c r="BA558"/>
  <c r="BA559"/>
  <c r="BA560"/>
  <c r="BA561"/>
  <c r="BA562"/>
  <c r="BA563"/>
  <c r="BA565"/>
  <c r="BA566"/>
  <c r="BA567"/>
  <c r="BA568"/>
  <c r="BA569"/>
  <c r="BA570"/>
  <c r="BA572"/>
  <c r="BA573"/>
  <c r="BA574"/>
  <c r="BA575"/>
  <c r="BA576"/>
  <c r="BA577"/>
  <c r="BA578"/>
  <c r="BA579"/>
  <c r="BA580"/>
  <c r="BA581"/>
  <c r="BA582"/>
  <c r="BA583"/>
  <c r="BA584"/>
  <c r="BA585"/>
  <c r="BA586"/>
  <c r="BA587"/>
  <c r="BA588"/>
  <c r="BA564"/>
  <c r="BA589"/>
  <c r="BA590"/>
  <c r="BA591"/>
  <c r="BA592"/>
  <c r="BA593"/>
  <c r="BA594"/>
  <c r="BA595"/>
  <c r="BA571"/>
  <c r="BA596"/>
  <c r="BA597"/>
  <c r="BA598"/>
  <c r="BA599"/>
  <c r="BA600"/>
  <c r="BA601"/>
  <c r="BA602"/>
  <c r="BA603"/>
  <c r="BA604"/>
  <c r="BA605"/>
  <c r="BA606"/>
  <c r="BA607"/>
  <c r="BA608"/>
  <c r="BA609"/>
  <c r="BA610"/>
  <c r="BA611"/>
  <c r="BA612"/>
  <c r="BA613"/>
  <c r="BA614"/>
  <c r="BA615"/>
  <c r="BA616"/>
  <c r="BA617"/>
  <c r="BA618"/>
  <c r="BA619"/>
  <c r="BA620"/>
  <c r="BA621"/>
  <c r="BA622"/>
  <c r="BA623"/>
  <c r="BA624"/>
  <c r="BA625"/>
  <c r="BA626"/>
  <c r="BA627"/>
  <c r="BA628"/>
  <c r="BA629"/>
  <c r="BA630"/>
  <c r="BA631"/>
  <c r="BA632"/>
  <c r="BA633"/>
  <c r="BA634"/>
  <c r="BA635"/>
  <c r="BA636"/>
  <c r="BA637"/>
  <c r="BA638"/>
  <c r="BA639"/>
  <c r="BA640"/>
  <c r="BA641"/>
  <c r="BA642"/>
  <c r="BA643"/>
  <c r="BA644"/>
  <c r="BA645"/>
  <c r="BA646"/>
  <c r="BA647"/>
  <c r="BA648"/>
  <c r="BA649"/>
  <c r="BA650"/>
  <c r="BA651"/>
  <c r="BA652"/>
  <c r="BA653"/>
  <c r="BA654"/>
  <c r="BA655"/>
  <c r="BA656"/>
  <c r="BA657"/>
  <c r="BA658"/>
  <c r="BA659"/>
  <c r="BA660"/>
  <c r="BA661"/>
  <c r="BA662"/>
  <c r="BA663"/>
  <c r="BA664"/>
  <c r="BA665"/>
  <c r="BA667"/>
  <c r="BA668"/>
  <c r="BA669"/>
  <c r="BA666"/>
  <c r="BA670"/>
  <c r="BA671"/>
  <c r="BA672"/>
  <c r="BA673"/>
  <c r="BA674"/>
  <c r="BA675"/>
  <c r="BA676"/>
  <c r="BA677"/>
  <c r="BA678"/>
  <c r="BA679"/>
  <c r="BA680"/>
  <c r="BA681"/>
  <c r="BA682"/>
  <c r="BA683"/>
  <c r="AX10"/>
  <c r="AX11"/>
  <c r="AX12"/>
  <c r="AX13"/>
  <c r="AX14"/>
  <c r="AX15"/>
  <c r="AX16"/>
  <c r="AX17"/>
  <c r="AX18"/>
  <c r="AX19"/>
  <c r="AX20"/>
  <c r="AX21"/>
  <c r="AX22"/>
  <c r="AX23"/>
  <c r="AX24"/>
  <c r="AX25"/>
  <c r="AX26"/>
  <c r="AX27"/>
  <c r="AX28"/>
  <c r="AX29"/>
  <c r="AX30"/>
  <c r="AX32"/>
  <c r="AX33"/>
  <c r="AX34"/>
  <c r="AX35"/>
  <c r="AX36"/>
  <c r="AX37"/>
  <c r="AX38"/>
  <c r="AX39"/>
  <c r="AX40"/>
  <c r="AX41"/>
  <c r="AX42"/>
  <c r="AX31"/>
  <c r="AX43"/>
  <c r="AX44"/>
  <c r="AX45"/>
  <c r="AX46"/>
  <c r="AX47"/>
  <c r="AX48"/>
  <c r="AX49"/>
  <c r="AX50"/>
  <c r="AX51"/>
  <c r="AX52"/>
  <c r="AX53"/>
  <c r="AX54"/>
  <c r="AX55"/>
  <c r="AX56"/>
  <c r="AX57"/>
  <c r="AX58"/>
  <c r="AX59"/>
  <c r="AX61"/>
  <c r="AX62"/>
  <c r="AX63"/>
  <c r="AX64"/>
  <c r="AX65"/>
  <c r="AX66"/>
  <c r="AX67"/>
  <c r="AX68"/>
  <c r="AX60"/>
  <c r="AX69"/>
  <c r="AX70"/>
  <c r="AX71"/>
  <c r="AX72"/>
  <c r="AX73"/>
  <c r="AX74"/>
  <c r="AX75"/>
  <c r="AX76"/>
  <c r="AX77"/>
  <c r="AX78"/>
  <c r="AX79"/>
  <c r="AX80"/>
  <c r="AX81"/>
  <c r="AX82"/>
  <c r="AX83"/>
  <c r="AX84"/>
  <c r="AX85"/>
  <c r="AX86"/>
  <c r="AX87"/>
  <c r="AX88"/>
  <c r="AX89"/>
  <c r="AX90"/>
  <c r="AX91"/>
  <c r="AX92"/>
  <c r="AX93"/>
  <c r="AX94"/>
  <c r="AX95"/>
  <c r="AX102"/>
  <c r="AX103"/>
  <c r="AX104"/>
  <c r="AX96"/>
  <c r="AX97"/>
  <c r="AX98"/>
  <c r="AX105"/>
  <c r="AX122"/>
  <c r="AX117"/>
  <c r="AX106"/>
  <c r="AX107"/>
  <c r="AX118"/>
  <c r="AX119"/>
  <c r="AX114"/>
  <c r="AX99"/>
  <c r="AX123"/>
  <c r="AX100"/>
  <c r="AX108"/>
  <c r="AX109"/>
  <c r="AX110"/>
  <c r="AX111"/>
  <c r="AX121"/>
  <c r="AX101"/>
  <c r="AX112"/>
  <c r="AX113"/>
  <c r="AX120"/>
  <c r="AX115"/>
  <c r="AX116"/>
  <c r="AX124"/>
  <c r="AX125"/>
  <c r="AX126"/>
  <c r="AX127"/>
  <c r="AX128"/>
  <c r="AX129"/>
  <c r="AX130"/>
  <c r="AX131"/>
  <c r="AX132"/>
  <c r="AX133"/>
  <c r="AX134"/>
  <c r="AX135"/>
  <c r="AX136"/>
  <c r="AX137"/>
  <c r="AX138"/>
  <c r="AX139"/>
  <c r="AX140"/>
  <c r="AX141"/>
  <c r="AX142"/>
  <c r="AX144"/>
  <c r="AX145"/>
  <c r="AX146"/>
  <c r="AX147"/>
  <c r="AX148"/>
  <c r="AX143"/>
  <c r="AX149"/>
  <c r="AX150"/>
  <c r="AX151"/>
  <c r="AX152"/>
  <c r="AX153"/>
  <c r="AX154"/>
  <c r="AX155"/>
  <c r="AX182"/>
  <c r="AX156"/>
  <c r="AX158"/>
  <c r="AX159"/>
  <c r="AX160"/>
  <c r="AX161"/>
  <c r="AX162"/>
  <c r="AX163"/>
  <c r="AX164"/>
  <c r="AX165"/>
  <c r="AX177"/>
  <c r="AX166"/>
  <c r="AX167"/>
  <c r="AX168"/>
  <c r="AX169"/>
  <c r="AX170"/>
  <c r="AX171"/>
  <c r="AX172"/>
  <c r="AX173"/>
  <c r="AX174"/>
  <c r="AX175"/>
  <c r="AX176"/>
  <c r="AX178"/>
  <c r="AX180"/>
  <c r="AX179"/>
  <c r="AX157"/>
  <c r="AX181"/>
  <c r="AX183"/>
  <c r="AX184"/>
  <c r="AX185"/>
  <c r="AX187"/>
  <c r="AX188"/>
  <c r="AX186"/>
  <c r="AX190"/>
  <c r="AX189"/>
  <c r="AX191"/>
  <c r="AX192"/>
  <c r="AX193"/>
  <c r="AX194"/>
  <c r="AX195"/>
  <c r="AX196"/>
  <c r="AX197"/>
  <c r="AX198"/>
  <c r="AX199"/>
  <c r="AX200"/>
  <c r="AX201"/>
  <c r="AX202"/>
  <c r="AX203"/>
  <c r="AX204"/>
  <c r="AX205"/>
  <c r="AX206"/>
  <c r="AX207"/>
  <c r="AX208"/>
  <c r="AX209"/>
  <c r="AX210"/>
  <c r="AX211"/>
  <c r="AX212"/>
  <c r="AX213"/>
  <c r="AX214"/>
  <c r="AX215"/>
  <c r="AX216"/>
  <c r="AX217"/>
  <c r="AX218"/>
  <c r="AX219"/>
  <c r="AX220"/>
  <c r="AX222"/>
  <c r="AX221"/>
  <c r="AX223"/>
  <c r="AX224"/>
  <c r="AX226"/>
  <c r="AX227"/>
  <c r="AX228"/>
  <c r="AX225"/>
  <c r="AX229"/>
  <c r="AX237"/>
  <c r="AX238"/>
  <c r="AX239"/>
  <c r="AX230"/>
  <c r="AX231"/>
  <c r="AX232"/>
  <c r="AX233"/>
  <c r="AX234"/>
  <c r="AX235"/>
  <c r="AX236"/>
  <c r="AX240"/>
  <c r="AX241"/>
  <c r="AX242"/>
  <c r="AX243"/>
  <c r="AX244"/>
  <c r="AX245"/>
  <c r="AX246"/>
  <c r="AX247"/>
  <c r="AX248"/>
  <c r="AX249"/>
  <c r="AX250"/>
  <c r="AX251"/>
  <c r="AX252"/>
  <c r="AX253"/>
  <c r="AX254"/>
  <c r="AX255"/>
  <c r="AX256"/>
  <c r="AX258"/>
  <c r="AX259"/>
  <c r="AX260"/>
  <c r="AX261"/>
  <c r="AX262"/>
  <c r="AX257"/>
  <c r="AX264"/>
  <c r="AX265"/>
  <c r="AX266"/>
  <c r="AX263"/>
  <c r="AX267"/>
  <c r="AX268"/>
  <c r="AX269"/>
  <c r="AX270"/>
  <c r="AX271"/>
  <c r="AX272"/>
  <c r="AX273"/>
  <c r="AX274"/>
  <c r="AX275"/>
  <c r="AX277"/>
  <c r="AX278"/>
  <c r="AX279"/>
  <c r="AX280"/>
  <c r="AX281"/>
  <c r="AX282"/>
  <c r="AX276"/>
  <c r="AX283"/>
  <c r="AX284"/>
  <c r="AX285"/>
  <c r="AX286"/>
  <c r="AX287"/>
  <c r="AX288"/>
  <c r="AX289"/>
  <c r="AX290"/>
  <c r="AX291"/>
  <c r="AX292"/>
  <c r="AX293"/>
  <c r="AX294"/>
  <c r="AX295"/>
  <c r="AX296"/>
  <c r="AX297"/>
  <c r="AX298"/>
  <c r="AX299"/>
  <c r="AX300"/>
  <c r="AX301"/>
  <c r="AX302"/>
  <c r="AX303"/>
  <c r="AX304"/>
  <c r="AX305"/>
  <c r="AX306"/>
  <c r="AX317"/>
  <c r="AX318"/>
  <c r="AX307"/>
  <c r="AX323"/>
  <c r="AX308"/>
  <c r="AX309"/>
  <c r="AX311"/>
  <c r="AX312"/>
  <c r="AX313"/>
  <c r="AX314"/>
  <c r="AX315"/>
  <c r="AX342"/>
  <c r="AX316"/>
  <c r="AX319"/>
  <c r="AX320"/>
  <c r="AX345"/>
  <c r="AX321"/>
  <c r="AX322"/>
  <c r="AX324"/>
  <c r="AX310"/>
  <c r="AX325"/>
  <c r="AX326"/>
  <c r="AX327"/>
  <c r="AX328"/>
  <c r="AX349"/>
  <c r="AX329"/>
  <c r="AX330"/>
  <c r="AX353"/>
  <c r="AX331"/>
  <c r="AX354"/>
  <c r="AX332"/>
  <c r="AX356"/>
  <c r="AX333"/>
  <c r="AX358"/>
  <c r="AX359"/>
  <c r="AX360"/>
  <c r="AX334"/>
  <c r="AX335"/>
  <c r="AX336"/>
  <c r="AX337"/>
  <c r="AX338"/>
  <c r="AX339"/>
  <c r="AX362"/>
  <c r="AX340"/>
  <c r="AX341"/>
  <c r="AX343"/>
  <c r="AX344"/>
  <c r="AX346"/>
  <c r="AX347"/>
  <c r="AX348"/>
  <c r="AX350"/>
  <c r="AX351"/>
  <c r="AX352"/>
  <c r="AX355"/>
  <c r="AX357"/>
  <c r="AX361"/>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2"/>
  <c r="AX473"/>
  <c r="AX474"/>
  <c r="AX475"/>
  <c r="AX476"/>
  <c r="AX471"/>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4"/>
  <c r="AX545"/>
  <c r="AX546"/>
  <c r="AX547"/>
  <c r="AX548"/>
  <c r="AX543"/>
  <c r="AX549"/>
  <c r="AX550"/>
  <c r="AX551"/>
  <c r="AX552"/>
  <c r="AX553"/>
  <c r="AX554"/>
  <c r="AX555"/>
  <c r="AX556"/>
  <c r="AX557"/>
  <c r="AX558"/>
  <c r="AX559"/>
  <c r="AX560"/>
  <c r="AX561"/>
  <c r="AX562"/>
  <c r="AX563"/>
  <c r="AX565"/>
  <c r="AX566"/>
  <c r="AX567"/>
  <c r="AX568"/>
  <c r="AX569"/>
  <c r="AX570"/>
  <c r="AX572"/>
  <c r="AX573"/>
  <c r="AX574"/>
  <c r="AX575"/>
  <c r="AX576"/>
  <c r="AX577"/>
  <c r="AX578"/>
  <c r="AX579"/>
  <c r="AX580"/>
  <c r="AX581"/>
  <c r="AX582"/>
  <c r="AX583"/>
  <c r="AX584"/>
  <c r="AX585"/>
  <c r="AX586"/>
  <c r="AX587"/>
  <c r="AX588"/>
  <c r="AX564"/>
  <c r="AX589"/>
  <c r="AX590"/>
  <c r="AX591"/>
  <c r="AX592"/>
  <c r="AX593"/>
  <c r="AX594"/>
  <c r="AX595"/>
  <c r="AX571"/>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7"/>
  <c r="AX668"/>
  <c r="AX669"/>
  <c r="AX666"/>
  <c r="AX670"/>
  <c r="AX671"/>
  <c r="AX672"/>
  <c r="AX673"/>
  <c r="AX674"/>
  <c r="AX675"/>
  <c r="AX676"/>
  <c r="AX677"/>
  <c r="AX678"/>
  <c r="AX679"/>
  <c r="AX680"/>
  <c r="AX681"/>
  <c r="AX682"/>
  <c r="AX683"/>
  <c r="AU10"/>
  <c r="AU11"/>
  <c r="AU12"/>
  <c r="AU13"/>
  <c r="AU14"/>
  <c r="AU15"/>
  <c r="AU16"/>
  <c r="AU17"/>
  <c r="AU18"/>
  <c r="AU19"/>
  <c r="AU20"/>
  <c r="AU21"/>
  <c r="AU22"/>
  <c r="AU23"/>
  <c r="AU24"/>
  <c r="AU25"/>
  <c r="AU26"/>
  <c r="AU27"/>
  <c r="AU28"/>
  <c r="AU29"/>
  <c r="AU30"/>
  <c r="AU32"/>
  <c r="AU33"/>
  <c r="AU34"/>
  <c r="AU35"/>
  <c r="AU36"/>
  <c r="AU37"/>
  <c r="AU38"/>
  <c r="AU39"/>
  <c r="AU40"/>
  <c r="AU41"/>
  <c r="AU42"/>
  <c r="AU31"/>
  <c r="AU43"/>
  <c r="AU44"/>
  <c r="AU45"/>
  <c r="AU46"/>
  <c r="AU47"/>
  <c r="AU48"/>
  <c r="AU49"/>
  <c r="AU50"/>
  <c r="AU51"/>
  <c r="AU52"/>
  <c r="AU53"/>
  <c r="AU54"/>
  <c r="AU55"/>
  <c r="AU56"/>
  <c r="AU57"/>
  <c r="AU58"/>
  <c r="AU59"/>
  <c r="AU61"/>
  <c r="AU62"/>
  <c r="AU63"/>
  <c r="AU64"/>
  <c r="AU65"/>
  <c r="AU66"/>
  <c r="AU67"/>
  <c r="AU68"/>
  <c r="AU60"/>
  <c r="AU69"/>
  <c r="AU70"/>
  <c r="AU71"/>
  <c r="AU72"/>
  <c r="AU73"/>
  <c r="AU74"/>
  <c r="AU75"/>
  <c r="AU76"/>
  <c r="AU77"/>
  <c r="AU78"/>
  <c r="AU79"/>
  <c r="AU80"/>
  <c r="AU81"/>
  <c r="AU82"/>
  <c r="AU83"/>
  <c r="AU84"/>
  <c r="AU85"/>
  <c r="AU86"/>
  <c r="AU87"/>
  <c r="AU88"/>
  <c r="AU89"/>
  <c r="AU90"/>
  <c r="AU91"/>
  <c r="AU92"/>
  <c r="AU93"/>
  <c r="AU94"/>
  <c r="AU95"/>
  <c r="AU102"/>
  <c r="AU103"/>
  <c r="AU104"/>
  <c r="AU96"/>
  <c r="AU97"/>
  <c r="AU98"/>
  <c r="AU105"/>
  <c r="AU122"/>
  <c r="AU117"/>
  <c r="AU106"/>
  <c r="AU107"/>
  <c r="AU118"/>
  <c r="AU119"/>
  <c r="AU114"/>
  <c r="AU99"/>
  <c r="AU123"/>
  <c r="AU100"/>
  <c r="AU108"/>
  <c r="AU109"/>
  <c r="AU110"/>
  <c r="AU111"/>
  <c r="AU121"/>
  <c r="AU101"/>
  <c r="AU112"/>
  <c r="AU113"/>
  <c r="AU120"/>
  <c r="AU115"/>
  <c r="AU116"/>
  <c r="AU124"/>
  <c r="AU125"/>
  <c r="AU126"/>
  <c r="AU127"/>
  <c r="AU128"/>
  <c r="AU129"/>
  <c r="AU130"/>
  <c r="AU131"/>
  <c r="AU132"/>
  <c r="AU133"/>
  <c r="AU134"/>
  <c r="AU135"/>
  <c r="AU136"/>
  <c r="AU137"/>
  <c r="AU138"/>
  <c r="AU139"/>
  <c r="AU140"/>
  <c r="AU141"/>
  <c r="AU142"/>
  <c r="AU144"/>
  <c r="AU145"/>
  <c r="AU146"/>
  <c r="AU147"/>
  <c r="AU148"/>
  <c r="AU143"/>
  <c r="AU149"/>
  <c r="AU150"/>
  <c r="AU151"/>
  <c r="AU152"/>
  <c r="AU153"/>
  <c r="AU154"/>
  <c r="AU155"/>
  <c r="AU182"/>
  <c r="AU156"/>
  <c r="AU158"/>
  <c r="AU159"/>
  <c r="AU160"/>
  <c r="AU161"/>
  <c r="AU162"/>
  <c r="AU163"/>
  <c r="AU164"/>
  <c r="AU165"/>
  <c r="AU177"/>
  <c r="AU166"/>
  <c r="AU167"/>
  <c r="AU168"/>
  <c r="AU169"/>
  <c r="AU170"/>
  <c r="AU171"/>
  <c r="AU172"/>
  <c r="AU173"/>
  <c r="AU174"/>
  <c r="AU175"/>
  <c r="AU176"/>
  <c r="AU178"/>
  <c r="AU180"/>
  <c r="AU179"/>
  <c r="AU157"/>
  <c r="AU181"/>
  <c r="AU190"/>
  <c r="AU198"/>
  <c r="AU206"/>
  <c r="AU207"/>
  <c r="AU208"/>
  <c r="AU209"/>
  <c r="AU210"/>
  <c r="AU211"/>
  <c r="AU212"/>
  <c r="AU213"/>
  <c r="AU214"/>
  <c r="AU215"/>
  <c r="AU216"/>
  <c r="AU217"/>
  <c r="AU218"/>
  <c r="AU219"/>
  <c r="AU220"/>
  <c r="AU222"/>
  <c r="AU221"/>
  <c r="AU223"/>
  <c r="AU224"/>
  <c r="AU226"/>
  <c r="AU227"/>
  <c r="AU228"/>
  <c r="AU225"/>
  <c r="AU229"/>
  <c r="AU237"/>
  <c r="AU238"/>
  <c r="AU239"/>
  <c r="AU230"/>
  <c r="AU231"/>
  <c r="AU232"/>
  <c r="AU233"/>
  <c r="AU234"/>
  <c r="AU235"/>
  <c r="AU236"/>
  <c r="AU240"/>
  <c r="AU241"/>
  <c r="AU242"/>
  <c r="AU243"/>
  <c r="AU244"/>
  <c r="AU245"/>
  <c r="AU246"/>
  <c r="AU247"/>
  <c r="AU248"/>
  <c r="AU249"/>
  <c r="AU250"/>
  <c r="AU251"/>
  <c r="AU252"/>
  <c r="AU253"/>
  <c r="AU254"/>
  <c r="AU255"/>
  <c r="AU256"/>
  <c r="AU258"/>
  <c r="AU259"/>
  <c r="AU260"/>
  <c r="AU261"/>
  <c r="AU262"/>
  <c r="AU257"/>
  <c r="AU264"/>
  <c r="AU265"/>
  <c r="AU266"/>
  <c r="AU263"/>
  <c r="AU267"/>
  <c r="AU268"/>
  <c r="AU269"/>
  <c r="AU270"/>
  <c r="AU271"/>
  <c r="AU272"/>
  <c r="AU273"/>
  <c r="AU274"/>
  <c r="AU275"/>
  <c r="AU277"/>
  <c r="AU278"/>
  <c r="AU279"/>
  <c r="AU280"/>
  <c r="AU281"/>
  <c r="AU282"/>
  <c r="AU276"/>
  <c r="AU283"/>
  <c r="AU284"/>
  <c r="AU285"/>
  <c r="AU286"/>
  <c r="AU287"/>
  <c r="AU288"/>
  <c r="AU289"/>
  <c r="AU290"/>
  <c r="AU291"/>
  <c r="AU292"/>
  <c r="AU293"/>
  <c r="AU294"/>
  <c r="AU295"/>
  <c r="AU296"/>
  <c r="AU297"/>
  <c r="AU298"/>
  <c r="AU299"/>
  <c r="AU300"/>
  <c r="AU301"/>
  <c r="AU302"/>
  <c r="AU303"/>
  <c r="AU304"/>
  <c r="AU305"/>
  <c r="AU306"/>
  <c r="AU317"/>
  <c r="AU318"/>
  <c r="AU307"/>
  <c r="AU323"/>
  <c r="AU308"/>
  <c r="AU309"/>
  <c r="AU311"/>
  <c r="AU312"/>
  <c r="AU313"/>
  <c r="AU314"/>
  <c r="AU315"/>
  <c r="AU342"/>
  <c r="AU316"/>
  <c r="AU319"/>
  <c r="AU320"/>
  <c r="AU345"/>
  <c r="AU321"/>
  <c r="AU322"/>
  <c r="AU324"/>
  <c r="AU310"/>
  <c r="AU325"/>
  <c r="AU326"/>
  <c r="AU327"/>
  <c r="AU328"/>
  <c r="AU349"/>
  <c r="AU329"/>
  <c r="AU330"/>
  <c r="AU353"/>
  <c r="AU331"/>
  <c r="AU354"/>
  <c r="AU332"/>
  <c r="AU356"/>
  <c r="AU333"/>
  <c r="AU358"/>
  <c r="AU359"/>
  <c r="AU360"/>
  <c r="AU334"/>
  <c r="AU335"/>
  <c r="AU336"/>
  <c r="AU337"/>
  <c r="AU338"/>
  <c r="AU339"/>
  <c r="AU362"/>
  <c r="AU340"/>
  <c r="AU341"/>
  <c r="AU343"/>
  <c r="AU344"/>
  <c r="AU346"/>
  <c r="AU347"/>
  <c r="AU348"/>
  <c r="AU350"/>
  <c r="AU351"/>
  <c r="AU352"/>
  <c r="AU355"/>
  <c r="AU357"/>
  <c r="AU361"/>
  <c r="AU363"/>
  <c r="AU364"/>
  <c r="AU365"/>
  <c r="AU366"/>
  <c r="AU367"/>
  <c r="AU368"/>
  <c r="AU369"/>
  <c r="AU370"/>
  <c r="AU371"/>
  <c r="AU372"/>
  <c r="AU373"/>
  <c r="AU374"/>
  <c r="AU375"/>
  <c r="AU376"/>
  <c r="AU377"/>
  <c r="AU378"/>
  <c r="AU379"/>
  <c r="AU380"/>
  <c r="AU381"/>
  <c r="AU382"/>
  <c r="AU383"/>
  <c r="AU384"/>
  <c r="AU385"/>
  <c r="AU386"/>
  <c r="AU387"/>
  <c r="AU388"/>
  <c r="AU389"/>
  <c r="AU390"/>
  <c r="AU391"/>
  <c r="AU392"/>
  <c r="AU393"/>
  <c r="AU394"/>
  <c r="AU395"/>
  <c r="AU396"/>
  <c r="AU397"/>
  <c r="AU398"/>
  <c r="AU399"/>
  <c r="AU400"/>
  <c r="AU401"/>
  <c r="AU402"/>
  <c r="AU403"/>
  <c r="AU404"/>
  <c r="AU405"/>
  <c r="AU406"/>
  <c r="AU407"/>
  <c r="AU408"/>
  <c r="AU409"/>
  <c r="AU410"/>
  <c r="AU411"/>
  <c r="AU412"/>
  <c r="AU413"/>
  <c r="AU414"/>
  <c r="AU415"/>
  <c r="AU416"/>
  <c r="AU417"/>
  <c r="AU418"/>
  <c r="AU419"/>
  <c r="AU420"/>
  <c r="AU421"/>
  <c r="AU422"/>
  <c r="AU423"/>
  <c r="AU424"/>
  <c r="AU425"/>
  <c r="AU426"/>
  <c r="AU427"/>
  <c r="AU428"/>
  <c r="AU429"/>
  <c r="AU430"/>
  <c r="AU431"/>
  <c r="AU432"/>
  <c r="AU433"/>
  <c r="AU434"/>
  <c r="AU435"/>
  <c r="AU436"/>
  <c r="AU437"/>
  <c r="AU438"/>
  <c r="AU439"/>
  <c r="AU440"/>
  <c r="AU441"/>
  <c r="AU442"/>
  <c r="AU443"/>
  <c r="AU444"/>
  <c r="AU445"/>
  <c r="AU446"/>
  <c r="AU447"/>
  <c r="AU448"/>
  <c r="AU449"/>
  <c r="AU450"/>
  <c r="AU451"/>
  <c r="AU452"/>
  <c r="AU453"/>
  <c r="AU454"/>
  <c r="AU455"/>
  <c r="AU456"/>
  <c r="AU457"/>
  <c r="AU458"/>
  <c r="AU459"/>
  <c r="AU460"/>
  <c r="AU461"/>
  <c r="AU462"/>
  <c r="AU463"/>
  <c r="AU464"/>
  <c r="AU465"/>
  <c r="AU466"/>
  <c r="AU467"/>
  <c r="AU468"/>
  <c r="AU469"/>
  <c r="AU470"/>
  <c r="AU472"/>
  <c r="AU473"/>
  <c r="AU474"/>
  <c r="AU475"/>
  <c r="AU476"/>
  <c r="AU471"/>
  <c r="AU477"/>
  <c r="AU478"/>
  <c r="AU479"/>
  <c r="AU480"/>
  <c r="AU481"/>
  <c r="AU482"/>
  <c r="AU483"/>
  <c r="AU484"/>
  <c r="AU485"/>
  <c r="AU486"/>
  <c r="AU487"/>
  <c r="AU488"/>
  <c r="AU489"/>
  <c r="AU490"/>
  <c r="AU491"/>
  <c r="AU492"/>
  <c r="AU493"/>
  <c r="AU494"/>
  <c r="AU495"/>
  <c r="AU496"/>
  <c r="AU497"/>
  <c r="AU498"/>
  <c r="AU499"/>
  <c r="AU500"/>
  <c r="AU501"/>
  <c r="AU502"/>
  <c r="AU503"/>
  <c r="AU504"/>
  <c r="AU505"/>
  <c r="AU506"/>
  <c r="AU507"/>
  <c r="AU508"/>
  <c r="AU509"/>
  <c r="AU510"/>
  <c r="AU511"/>
  <c r="AU512"/>
  <c r="AU513"/>
  <c r="AU514"/>
  <c r="AU515"/>
  <c r="AU516"/>
  <c r="AU517"/>
  <c r="AU518"/>
  <c r="AU519"/>
  <c r="AU520"/>
  <c r="AU521"/>
  <c r="AU522"/>
  <c r="AU523"/>
  <c r="AU524"/>
  <c r="AU525"/>
  <c r="AU526"/>
  <c r="AU527"/>
  <c r="AU528"/>
  <c r="AU529"/>
  <c r="AU530"/>
  <c r="AU531"/>
  <c r="AU532"/>
  <c r="AU533"/>
  <c r="AU534"/>
  <c r="AU535"/>
  <c r="AU536"/>
  <c r="AU537"/>
  <c r="AU538"/>
  <c r="AU539"/>
  <c r="AU540"/>
  <c r="AU541"/>
  <c r="AU542"/>
  <c r="AU544"/>
  <c r="AU545"/>
  <c r="AU546"/>
  <c r="AU547"/>
  <c r="AU548"/>
  <c r="AU543"/>
  <c r="AU549"/>
  <c r="AU550"/>
  <c r="AU551"/>
  <c r="AU552"/>
  <c r="AU553"/>
  <c r="AU554"/>
  <c r="AU555"/>
  <c r="AU556"/>
  <c r="AU557"/>
  <c r="AU558"/>
  <c r="AU559"/>
  <c r="AU560"/>
  <c r="AU561"/>
  <c r="AU562"/>
  <c r="AU563"/>
  <c r="AU565"/>
  <c r="AU566"/>
  <c r="AU567"/>
  <c r="AU568"/>
  <c r="AU569"/>
  <c r="AU570"/>
  <c r="AU572"/>
  <c r="AU573"/>
  <c r="AU574"/>
  <c r="AU575"/>
  <c r="AU576"/>
  <c r="AU577"/>
  <c r="AU578"/>
  <c r="AU579"/>
  <c r="AU580"/>
  <c r="AU581"/>
  <c r="AU582"/>
  <c r="AU583"/>
  <c r="AU584"/>
  <c r="AU585"/>
  <c r="AU586"/>
  <c r="AU587"/>
  <c r="AU588"/>
  <c r="AU564"/>
  <c r="AU589"/>
  <c r="AU590"/>
  <c r="AU591"/>
  <c r="AU592"/>
  <c r="AU593"/>
  <c r="AU594"/>
  <c r="AU595"/>
  <c r="AU571"/>
  <c r="AU596"/>
  <c r="AU597"/>
  <c r="AU598"/>
  <c r="AU599"/>
  <c r="AU600"/>
  <c r="AU601"/>
  <c r="AU602"/>
  <c r="AU603"/>
  <c r="AU604"/>
  <c r="AU605"/>
  <c r="AU606"/>
  <c r="AU607"/>
  <c r="AU608"/>
  <c r="AU609"/>
  <c r="AU610"/>
  <c r="AU611"/>
  <c r="AU612"/>
  <c r="AU613"/>
  <c r="AU614"/>
  <c r="AU615"/>
  <c r="AU616"/>
  <c r="AU617"/>
  <c r="AU618"/>
  <c r="AU619"/>
  <c r="AU620"/>
  <c r="AU621"/>
  <c r="AU622"/>
  <c r="AU623"/>
  <c r="AU624"/>
  <c r="AU625"/>
  <c r="AU626"/>
  <c r="AU627"/>
  <c r="AU628"/>
  <c r="AU629"/>
  <c r="AU630"/>
  <c r="AU631"/>
  <c r="AU632"/>
  <c r="AU633"/>
  <c r="AU634"/>
  <c r="AU635"/>
  <c r="AU636"/>
  <c r="AU637"/>
  <c r="AU638"/>
  <c r="AU639"/>
  <c r="AU640"/>
  <c r="AU641"/>
  <c r="AU642"/>
  <c r="AU643"/>
  <c r="AU644"/>
  <c r="AU645"/>
  <c r="AU646"/>
  <c r="AU647"/>
  <c r="AU648"/>
  <c r="AU649"/>
  <c r="AU650"/>
  <c r="AU651"/>
  <c r="AU652"/>
  <c r="AU653"/>
  <c r="AU654"/>
  <c r="AU655"/>
  <c r="AU656"/>
  <c r="AU657"/>
  <c r="AU658"/>
  <c r="AU659"/>
  <c r="AU660"/>
  <c r="AU661"/>
  <c r="AU662"/>
  <c r="AU663"/>
  <c r="AU664"/>
  <c r="AU665"/>
  <c r="AU667"/>
  <c r="AU668"/>
  <c r="AU669"/>
  <c r="AU666"/>
  <c r="AU670"/>
  <c r="AU671"/>
  <c r="AU672"/>
  <c r="AU673"/>
  <c r="AU674"/>
  <c r="AU675"/>
  <c r="AU676"/>
  <c r="AU677"/>
  <c r="AU678"/>
  <c r="AU679"/>
  <c r="AU680"/>
  <c r="AU681"/>
  <c r="AU682"/>
  <c r="AU683"/>
  <c r="AR10"/>
  <c r="AR11"/>
  <c r="AR12"/>
  <c r="AR13"/>
  <c r="AR14"/>
  <c r="AR15"/>
  <c r="AR16"/>
  <c r="AR17"/>
  <c r="AR18"/>
  <c r="AR19"/>
  <c r="AR20"/>
  <c r="AR21"/>
  <c r="AR22"/>
  <c r="AR23"/>
  <c r="AR24"/>
  <c r="AR25"/>
  <c r="AR26"/>
  <c r="AR27"/>
  <c r="AR28"/>
  <c r="AR29"/>
  <c r="AR30"/>
  <c r="AR32"/>
  <c r="AR33"/>
  <c r="AR34"/>
  <c r="AR35"/>
  <c r="AR36"/>
  <c r="AR37"/>
  <c r="AR38"/>
  <c r="AR39"/>
  <c r="AR40"/>
  <c r="AR41"/>
  <c r="AR42"/>
  <c r="AR31"/>
  <c r="AR43"/>
  <c r="AR44"/>
  <c r="AR45"/>
  <c r="AR46"/>
  <c r="AR47"/>
  <c r="AR48"/>
  <c r="AR49"/>
  <c r="AR50"/>
  <c r="AR51"/>
  <c r="AR52"/>
  <c r="AR53"/>
  <c r="AR54"/>
  <c r="AR55"/>
  <c r="AR56"/>
  <c r="AR57"/>
  <c r="AR58"/>
  <c r="AR59"/>
  <c r="AR61"/>
  <c r="AR62"/>
  <c r="AR63"/>
  <c r="AR64"/>
  <c r="AR65"/>
  <c r="AR66"/>
  <c r="AR67"/>
  <c r="AR68"/>
  <c r="AR60"/>
  <c r="AR69"/>
  <c r="AR70"/>
  <c r="AR71"/>
  <c r="AR72"/>
  <c r="AR73"/>
  <c r="AR74"/>
  <c r="AR75"/>
  <c r="AR76"/>
  <c r="AR77"/>
  <c r="AR78"/>
  <c r="AR79"/>
  <c r="AR80"/>
  <c r="AR81"/>
  <c r="AR82"/>
  <c r="AR83"/>
  <c r="AR84"/>
  <c r="AR85"/>
  <c r="AR86"/>
  <c r="AR87"/>
  <c r="AR88"/>
  <c r="AR89"/>
  <c r="AR90"/>
  <c r="AR91"/>
  <c r="AR92"/>
  <c r="AR93"/>
  <c r="AR94"/>
  <c r="AR95"/>
  <c r="AR102"/>
  <c r="AR103"/>
  <c r="AR104"/>
  <c r="AR96"/>
  <c r="AR97"/>
  <c r="AR98"/>
  <c r="AR105"/>
  <c r="AR122"/>
  <c r="AR117"/>
  <c r="AR106"/>
  <c r="AR107"/>
  <c r="AR118"/>
  <c r="AR119"/>
  <c r="AR114"/>
  <c r="AR99"/>
  <c r="AR123"/>
  <c r="AR100"/>
  <c r="AR108"/>
  <c r="AR109"/>
  <c r="AR110"/>
  <c r="AR111"/>
  <c r="AR121"/>
  <c r="AR101"/>
  <c r="AR112"/>
  <c r="AR113"/>
  <c r="AR120"/>
  <c r="AR115"/>
  <c r="AR116"/>
  <c r="AR124"/>
  <c r="AR125"/>
  <c r="AR126"/>
  <c r="AR127"/>
  <c r="AR128"/>
  <c r="AR129"/>
  <c r="AR130"/>
  <c r="AR131"/>
  <c r="AR132"/>
  <c r="AR133"/>
  <c r="AR134"/>
  <c r="AR135"/>
  <c r="AR136"/>
  <c r="AR137"/>
  <c r="AR138"/>
  <c r="AR139"/>
  <c r="AR140"/>
  <c r="AR141"/>
  <c r="AR142"/>
  <c r="AR144"/>
  <c r="AR145"/>
  <c r="AR146"/>
  <c r="AR147"/>
  <c r="AR148"/>
  <c r="AR143"/>
  <c r="AR149"/>
  <c r="AR150"/>
  <c r="AR151"/>
  <c r="AR152"/>
  <c r="AR153"/>
  <c r="AR154"/>
  <c r="AR155"/>
  <c r="AR182"/>
  <c r="AR156"/>
  <c r="AR158"/>
  <c r="AR159"/>
  <c r="AR160"/>
  <c r="AR161"/>
  <c r="AR162"/>
  <c r="AR163"/>
  <c r="AR164"/>
  <c r="AR165"/>
  <c r="AR177"/>
  <c r="AR166"/>
  <c r="AR167"/>
  <c r="AR168"/>
  <c r="AR169"/>
  <c r="AR170"/>
  <c r="AR171"/>
  <c r="AR172"/>
  <c r="AR173"/>
  <c r="AR174"/>
  <c r="AR175"/>
  <c r="AR176"/>
  <c r="AR178"/>
  <c r="AR180"/>
  <c r="AR179"/>
  <c r="AR157"/>
  <c r="AR181"/>
  <c r="AR183"/>
  <c r="AR184"/>
  <c r="AR185"/>
  <c r="AR187"/>
  <c r="AR188"/>
  <c r="AR186"/>
  <c r="AR190"/>
  <c r="AR189"/>
  <c r="AR191"/>
  <c r="AR192"/>
  <c r="AR193"/>
  <c r="AR194"/>
  <c r="AR195"/>
  <c r="AR196"/>
  <c r="AR197"/>
  <c r="AR198"/>
  <c r="AR199"/>
  <c r="AR200"/>
  <c r="AR201"/>
  <c r="AR202"/>
  <c r="AR203"/>
  <c r="AR204"/>
  <c r="AR205"/>
  <c r="AR206"/>
  <c r="AR207"/>
  <c r="AR208"/>
  <c r="AR209"/>
  <c r="AR210"/>
  <c r="AR211"/>
  <c r="AR212"/>
  <c r="AR213"/>
  <c r="AR214"/>
  <c r="AR215"/>
  <c r="AR216"/>
  <c r="AR217"/>
  <c r="AR218"/>
  <c r="AR219"/>
  <c r="AR220"/>
  <c r="AR222"/>
  <c r="AR221"/>
  <c r="AR223"/>
  <c r="AR224"/>
  <c r="AR226"/>
  <c r="AR227"/>
  <c r="AR228"/>
  <c r="AR225"/>
  <c r="AR229"/>
  <c r="AR237"/>
  <c r="AR238"/>
  <c r="AR239"/>
  <c r="AR230"/>
  <c r="AR231"/>
  <c r="AR232"/>
  <c r="AR233"/>
  <c r="AR234"/>
  <c r="AR235"/>
  <c r="AR236"/>
  <c r="AR240"/>
  <c r="AR241"/>
  <c r="AR242"/>
  <c r="AR243"/>
  <c r="AR244"/>
  <c r="AR245"/>
  <c r="AR246"/>
  <c r="AR247"/>
  <c r="AR248"/>
  <c r="AR249"/>
  <c r="AR250"/>
  <c r="AR251"/>
  <c r="AR252"/>
  <c r="AR253"/>
  <c r="AR254"/>
  <c r="AR255"/>
  <c r="AR256"/>
  <c r="AR258"/>
  <c r="AR259"/>
  <c r="AR260"/>
  <c r="AR261"/>
  <c r="AR262"/>
  <c r="AR257"/>
  <c r="AR264"/>
  <c r="AR265"/>
  <c r="AR266"/>
  <c r="AR263"/>
  <c r="AR267"/>
  <c r="AR268"/>
  <c r="AR269"/>
  <c r="AR270"/>
  <c r="AR271"/>
  <c r="AR272"/>
  <c r="AR273"/>
  <c r="AR274"/>
  <c r="AR275"/>
  <c r="AR277"/>
  <c r="AR278"/>
  <c r="AR279"/>
  <c r="AR280"/>
  <c r="AR281"/>
  <c r="AR282"/>
  <c r="AR276"/>
  <c r="AR283"/>
  <c r="AR284"/>
  <c r="AR285"/>
  <c r="AR286"/>
  <c r="AR287"/>
  <c r="AR288"/>
  <c r="AR289"/>
  <c r="AR290"/>
  <c r="AR291"/>
  <c r="AR292"/>
  <c r="AR293"/>
  <c r="AR294"/>
  <c r="AR295"/>
  <c r="AR296"/>
  <c r="AR297"/>
  <c r="AR298"/>
  <c r="AR299"/>
  <c r="AR300"/>
  <c r="AR301"/>
  <c r="AR302"/>
  <c r="AR303"/>
  <c r="AR304"/>
  <c r="AR305"/>
  <c r="AR306"/>
  <c r="AR317"/>
  <c r="AR318"/>
  <c r="AR307"/>
  <c r="AR323"/>
  <c r="AR308"/>
  <c r="AR309"/>
  <c r="AR311"/>
  <c r="AR312"/>
  <c r="AR313"/>
  <c r="AR314"/>
  <c r="AR315"/>
  <c r="AR342"/>
  <c r="AR316"/>
  <c r="AR319"/>
  <c r="AR320"/>
  <c r="AR345"/>
  <c r="AR321"/>
  <c r="AR322"/>
  <c r="AR324"/>
  <c r="AR310"/>
  <c r="AR325"/>
  <c r="AR326"/>
  <c r="AR327"/>
  <c r="AR328"/>
  <c r="AR349"/>
  <c r="AR329"/>
  <c r="AR330"/>
  <c r="AR353"/>
  <c r="AR331"/>
  <c r="AR354"/>
  <c r="AR332"/>
  <c r="AR356"/>
  <c r="AR333"/>
  <c r="AR358"/>
  <c r="AR359"/>
  <c r="AR360"/>
  <c r="AR334"/>
  <c r="AR335"/>
  <c r="AR336"/>
  <c r="AR337"/>
  <c r="AR338"/>
  <c r="AR339"/>
  <c r="AR362"/>
  <c r="AR340"/>
  <c r="AR341"/>
  <c r="AR343"/>
  <c r="AR344"/>
  <c r="AR346"/>
  <c r="AR347"/>
  <c r="AR348"/>
  <c r="AR350"/>
  <c r="AR351"/>
  <c r="AR352"/>
  <c r="AR355"/>
  <c r="AR357"/>
  <c r="AR361"/>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2"/>
  <c r="AR473"/>
  <c r="AR474"/>
  <c r="AR475"/>
  <c r="AR476"/>
  <c r="AR471"/>
  <c r="AR477"/>
  <c r="AR478"/>
  <c r="AR479"/>
  <c r="AR480"/>
  <c r="AR481"/>
  <c r="AR482"/>
  <c r="AR483"/>
  <c r="AR484"/>
  <c r="AR485"/>
  <c r="AR486"/>
  <c r="AR487"/>
  <c r="AR488"/>
  <c r="AR489"/>
  <c r="AR490"/>
  <c r="AR491"/>
  <c r="AR492"/>
  <c r="AR493"/>
  <c r="AR494"/>
  <c r="AR495"/>
  <c r="AR496"/>
  <c r="AR497"/>
  <c r="AR498"/>
  <c r="AR499"/>
  <c r="AR500"/>
  <c r="AR501"/>
  <c r="AR502"/>
  <c r="AR503"/>
  <c r="AR504"/>
  <c r="AR505"/>
  <c r="AR506"/>
  <c r="AR507"/>
  <c r="AR508"/>
  <c r="AR509"/>
  <c r="AR510"/>
  <c r="AR511"/>
  <c r="AR512"/>
  <c r="AR513"/>
  <c r="AR514"/>
  <c r="AR515"/>
  <c r="AR516"/>
  <c r="AR517"/>
  <c r="AR518"/>
  <c r="AR519"/>
  <c r="AR520"/>
  <c r="AR521"/>
  <c r="AR522"/>
  <c r="AR523"/>
  <c r="AR524"/>
  <c r="AR525"/>
  <c r="AR526"/>
  <c r="AR527"/>
  <c r="AR528"/>
  <c r="AR529"/>
  <c r="AR530"/>
  <c r="AR531"/>
  <c r="AR532"/>
  <c r="AR533"/>
  <c r="AR534"/>
  <c r="AR535"/>
  <c r="AR536"/>
  <c r="AR537"/>
  <c r="AR538"/>
  <c r="AR539"/>
  <c r="AR540"/>
  <c r="AR541"/>
  <c r="AR542"/>
  <c r="AR544"/>
  <c r="AR545"/>
  <c r="AR546"/>
  <c r="AR547"/>
  <c r="AR548"/>
  <c r="AR543"/>
  <c r="AR549"/>
  <c r="AR550"/>
  <c r="AR551"/>
  <c r="AR552"/>
  <c r="AR553"/>
  <c r="AR554"/>
  <c r="AR555"/>
  <c r="AR556"/>
  <c r="AR557"/>
  <c r="AR558"/>
  <c r="AR559"/>
  <c r="AR560"/>
  <c r="AR561"/>
  <c r="AR562"/>
  <c r="AR563"/>
  <c r="AR565"/>
  <c r="AR566"/>
  <c r="AR567"/>
  <c r="AR568"/>
  <c r="AR569"/>
  <c r="AR570"/>
  <c r="AR572"/>
  <c r="AR573"/>
  <c r="AR574"/>
  <c r="AR575"/>
  <c r="AR576"/>
  <c r="AR577"/>
  <c r="AR578"/>
  <c r="AR579"/>
  <c r="AR580"/>
  <c r="AR581"/>
  <c r="AR582"/>
  <c r="AR583"/>
  <c r="AR584"/>
  <c r="AR585"/>
  <c r="AR586"/>
  <c r="AR587"/>
  <c r="AR588"/>
  <c r="AR564"/>
  <c r="AR589"/>
  <c r="AR590"/>
  <c r="AR591"/>
  <c r="AR592"/>
  <c r="AR593"/>
  <c r="AR594"/>
  <c r="AR595"/>
  <c r="AR571"/>
  <c r="AR596"/>
  <c r="AR597"/>
  <c r="AR598"/>
  <c r="AR599"/>
  <c r="AR600"/>
  <c r="AR601"/>
  <c r="AR602"/>
  <c r="AR603"/>
  <c r="AR604"/>
  <c r="AR605"/>
  <c r="AR606"/>
  <c r="AR607"/>
  <c r="AR608"/>
  <c r="AR609"/>
  <c r="AR610"/>
  <c r="AR611"/>
  <c r="AR612"/>
  <c r="AR613"/>
  <c r="AR614"/>
  <c r="AR615"/>
  <c r="AR616"/>
  <c r="AR617"/>
  <c r="AR618"/>
  <c r="AR619"/>
  <c r="AR620"/>
  <c r="AR621"/>
  <c r="AR622"/>
  <c r="AR623"/>
  <c r="AR624"/>
  <c r="AR625"/>
  <c r="AR626"/>
  <c r="AR627"/>
  <c r="AR628"/>
  <c r="AR629"/>
  <c r="AR630"/>
  <c r="AR631"/>
  <c r="AR632"/>
  <c r="AR633"/>
  <c r="AR634"/>
  <c r="AR635"/>
  <c r="AR636"/>
  <c r="AR637"/>
  <c r="AR638"/>
  <c r="AR639"/>
  <c r="AR640"/>
  <c r="AR641"/>
  <c r="AR642"/>
  <c r="AR643"/>
  <c r="AR644"/>
  <c r="AR645"/>
  <c r="AR646"/>
  <c r="AR647"/>
  <c r="AR648"/>
  <c r="AR649"/>
  <c r="AR650"/>
  <c r="AR651"/>
  <c r="AR652"/>
  <c r="AR653"/>
  <c r="AR654"/>
  <c r="AR655"/>
  <c r="AR656"/>
  <c r="AR657"/>
  <c r="AR658"/>
  <c r="AR659"/>
  <c r="AR660"/>
  <c r="AR661"/>
  <c r="AR662"/>
  <c r="AR663"/>
  <c r="AR664"/>
  <c r="AR665"/>
  <c r="AR667"/>
  <c r="AR668"/>
  <c r="AR669"/>
  <c r="AR666"/>
  <c r="AR670"/>
  <c r="AR671"/>
  <c r="AR672"/>
  <c r="AR673"/>
  <c r="AR674"/>
  <c r="AR675"/>
  <c r="AR676"/>
  <c r="AR677"/>
  <c r="AR678"/>
  <c r="AR679"/>
  <c r="AR680"/>
  <c r="AR681"/>
  <c r="AR682"/>
  <c r="AR683"/>
  <c r="AO10"/>
  <c r="AO11"/>
  <c r="AO12"/>
  <c r="AO13"/>
  <c r="AO14"/>
  <c r="AO15"/>
  <c r="AO16"/>
  <c r="AO17"/>
  <c r="AO18"/>
  <c r="AO19"/>
  <c r="AO20"/>
  <c r="AO21"/>
  <c r="AO22"/>
  <c r="AO23"/>
  <c r="AO24"/>
  <c r="AO25"/>
  <c r="AO26"/>
  <c r="AO27"/>
  <c r="AO28"/>
  <c r="AO29"/>
  <c r="AO30"/>
  <c r="AO32"/>
  <c r="AO33"/>
  <c r="AO34"/>
  <c r="AO35"/>
  <c r="AO36"/>
  <c r="AO37"/>
  <c r="AO38"/>
  <c r="AO39"/>
  <c r="AO40"/>
  <c r="AO41"/>
  <c r="AO42"/>
  <c r="AO31"/>
  <c r="AO43"/>
  <c r="AO44"/>
  <c r="AO45"/>
  <c r="AO46"/>
  <c r="AO47"/>
  <c r="AO48"/>
  <c r="AO49"/>
  <c r="AO50"/>
  <c r="AO51"/>
  <c r="AO52"/>
  <c r="AO53"/>
  <c r="AO54"/>
  <c r="AO55"/>
  <c r="AO56"/>
  <c r="AO57"/>
  <c r="AO58"/>
  <c r="AO59"/>
  <c r="AO61"/>
  <c r="AO62"/>
  <c r="AO63"/>
  <c r="AO64"/>
  <c r="AO65"/>
  <c r="AO66"/>
  <c r="AO67"/>
  <c r="AO68"/>
  <c r="AO60"/>
  <c r="AO69"/>
  <c r="AO70"/>
  <c r="AO71"/>
  <c r="AO72"/>
  <c r="AO73"/>
  <c r="AO74"/>
  <c r="AO75"/>
  <c r="AO76"/>
  <c r="AO77"/>
  <c r="AO78"/>
  <c r="AO79"/>
  <c r="AO80"/>
  <c r="AO81"/>
  <c r="AO82"/>
  <c r="AO83"/>
  <c r="AO84"/>
  <c r="AO85"/>
  <c r="AO86"/>
  <c r="AO87"/>
  <c r="AO88"/>
  <c r="AO89"/>
  <c r="AO90"/>
  <c r="AO91"/>
  <c r="AO92"/>
  <c r="AO93"/>
  <c r="AO94"/>
  <c r="AO95"/>
  <c r="AO102"/>
  <c r="AO103"/>
  <c r="AO104"/>
  <c r="AO96"/>
  <c r="AO97"/>
  <c r="AO98"/>
  <c r="AO105"/>
  <c r="AO122"/>
  <c r="AO117"/>
  <c r="AO106"/>
  <c r="AO107"/>
  <c r="AO118"/>
  <c r="AO119"/>
  <c r="AO114"/>
  <c r="AO99"/>
  <c r="AO123"/>
  <c r="AO100"/>
  <c r="AO108"/>
  <c r="AO109"/>
  <c r="AO110"/>
  <c r="AO111"/>
  <c r="AO121"/>
  <c r="AO101"/>
  <c r="AO112"/>
  <c r="AO113"/>
  <c r="AO120"/>
  <c r="AO115"/>
  <c r="AO116"/>
  <c r="AO124"/>
  <c r="AO125"/>
  <c r="AO126"/>
  <c r="AO127"/>
  <c r="AO128"/>
  <c r="AO129"/>
  <c r="AO130"/>
  <c r="AO131"/>
  <c r="AO132"/>
  <c r="AO133"/>
  <c r="AO134"/>
  <c r="AO135"/>
  <c r="AO136"/>
  <c r="AO137"/>
  <c r="AO138"/>
  <c r="AO139"/>
  <c r="AO140"/>
  <c r="AO141"/>
  <c r="AO142"/>
  <c r="AO144"/>
  <c r="AO145"/>
  <c r="AO146"/>
  <c r="AO147"/>
  <c r="AO148"/>
  <c r="AO143"/>
  <c r="AO149"/>
  <c r="AO150"/>
  <c r="AO151"/>
  <c r="AO152"/>
  <c r="AO153"/>
  <c r="AO154"/>
  <c r="AO155"/>
  <c r="AO182"/>
  <c r="AO156"/>
  <c r="AO158"/>
  <c r="AO159"/>
  <c r="AO160"/>
  <c r="AO161"/>
  <c r="AO162"/>
  <c r="AO163"/>
  <c r="AO164"/>
  <c r="AO165"/>
  <c r="AO177"/>
  <c r="AO166"/>
  <c r="AO167"/>
  <c r="AO168"/>
  <c r="AO169"/>
  <c r="AO170"/>
  <c r="AO171"/>
  <c r="AO172"/>
  <c r="AO173"/>
  <c r="AO174"/>
  <c r="AO175"/>
  <c r="AO176"/>
  <c r="AO178"/>
  <c r="AO180"/>
  <c r="AO179"/>
  <c r="AO157"/>
  <c r="AO181"/>
  <c r="AO183"/>
  <c r="AO184"/>
  <c r="AO185"/>
  <c r="AO187"/>
  <c r="AO188"/>
  <c r="AO186"/>
  <c r="AO190"/>
  <c r="AO189"/>
  <c r="AO191"/>
  <c r="AO192"/>
  <c r="AO193"/>
  <c r="AO194"/>
  <c r="AO195"/>
  <c r="AO196"/>
  <c r="AO197"/>
  <c r="AO198"/>
  <c r="AO199"/>
  <c r="AO200"/>
  <c r="AO201"/>
  <c r="AO202"/>
  <c r="AO203"/>
  <c r="AO204"/>
  <c r="AO205"/>
  <c r="AO206"/>
  <c r="AO207"/>
  <c r="AO208"/>
  <c r="AO209"/>
  <c r="AO210"/>
  <c r="AO211"/>
  <c r="AO212"/>
  <c r="AO213"/>
  <c r="AO214"/>
  <c r="AO215"/>
  <c r="AO216"/>
  <c r="AO217"/>
  <c r="AO218"/>
  <c r="AO219"/>
  <c r="AO220"/>
  <c r="AO222"/>
  <c r="AO221"/>
  <c r="AO223"/>
  <c r="AO224"/>
  <c r="AO226"/>
  <c r="AO227"/>
  <c r="AO228"/>
  <c r="AO225"/>
  <c r="AO229"/>
  <c r="AO237"/>
  <c r="AO238"/>
  <c r="AO239"/>
  <c r="AO230"/>
  <c r="AO231"/>
  <c r="AO232"/>
  <c r="AO233"/>
  <c r="AO234"/>
  <c r="AO235"/>
  <c r="AO236"/>
  <c r="AO240"/>
  <c r="AO241"/>
  <c r="AO242"/>
  <c r="AO243"/>
  <c r="AO244"/>
  <c r="AO245"/>
  <c r="AO246"/>
  <c r="AO247"/>
  <c r="AO248"/>
  <c r="AO249"/>
  <c r="AO250"/>
  <c r="AO251"/>
  <c r="AO252"/>
  <c r="AO253"/>
  <c r="AO254"/>
  <c r="AO255"/>
  <c r="AO256"/>
  <c r="AO258"/>
  <c r="AO259"/>
  <c r="AO260"/>
  <c r="AO261"/>
  <c r="AO262"/>
  <c r="AO257"/>
  <c r="AO264"/>
  <c r="AO265"/>
  <c r="AO266"/>
  <c r="AO263"/>
  <c r="AO267"/>
  <c r="AO268"/>
  <c r="AO269"/>
  <c r="AO270"/>
  <c r="AO271"/>
  <c r="AO272"/>
  <c r="AO273"/>
  <c r="AO274"/>
  <c r="AO275"/>
  <c r="AO277"/>
  <c r="AO278"/>
  <c r="AO279"/>
  <c r="AO280"/>
  <c r="AO281"/>
  <c r="AO282"/>
  <c r="AO276"/>
  <c r="AO283"/>
  <c r="AO284"/>
  <c r="AO285"/>
  <c r="AO286"/>
  <c r="AO287"/>
  <c r="AO288"/>
  <c r="AO289"/>
  <c r="AO290"/>
  <c r="AO291"/>
  <c r="AO292"/>
  <c r="AO293"/>
  <c r="AO294"/>
  <c r="AO295"/>
  <c r="AO296"/>
  <c r="AO297"/>
  <c r="AO298"/>
  <c r="AO299"/>
  <c r="AO300"/>
  <c r="AO301"/>
  <c r="AO302"/>
  <c r="AO303"/>
  <c r="AO304"/>
  <c r="AO305"/>
  <c r="AO306"/>
  <c r="AO317"/>
  <c r="AO318"/>
  <c r="AO307"/>
  <c r="AO323"/>
  <c r="AO308"/>
  <c r="AO309"/>
  <c r="AO311"/>
  <c r="AO312"/>
  <c r="AO313"/>
  <c r="AO314"/>
  <c r="AO315"/>
  <c r="AO342"/>
  <c r="AO316"/>
  <c r="AO319"/>
  <c r="AO320"/>
  <c r="AO345"/>
  <c r="AO321"/>
  <c r="AO322"/>
  <c r="AO324"/>
  <c r="AO310"/>
  <c r="AO325"/>
  <c r="AO326"/>
  <c r="AO327"/>
  <c r="AO328"/>
  <c r="AO349"/>
  <c r="AO329"/>
  <c r="AO330"/>
  <c r="AO353"/>
  <c r="AO331"/>
  <c r="AO354"/>
  <c r="AO332"/>
  <c r="AO356"/>
  <c r="AO333"/>
  <c r="AO358"/>
  <c r="AO359"/>
  <c r="AO360"/>
  <c r="AO334"/>
  <c r="AO335"/>
  <c r="AO336"/>
  <c r="AO337"/>
  <c r="AO338"/>
  <c r="AO339"/>
  <c r="AO362"/>
  <c r="AO340"/>
  <c r="AO341"/>
  <c r="AO343"/>
  <c r="AO344"/>
  <c r="AO346"/>
  <c r="AO347"/>
  <c r="AO348"/>
  <c r="AO350"/>
  <c r="AO351"/>
  <c r="AO352"/>
  <c r="AO355"/>
  <c r="AO357"/>
  <c r="AO361"/>
  <c r="AO363"/>
  <c r="AO364"/>
  <c r="AO365"/>
  <c r="AO366"/>
  <c r="AO367"/>
  <c r="AO368"/>
  <c r="AO369"/>
  <c r="AO370"/>
  <c r="AO371"/>
  <c r="AO372"/>
  <c r="AO373"/>
  <c r="AO374"/>
  <c r="AO375"/>
  <c r="AO376"/>
  <c r="AO377"/>
  <c r="AO378"/>
  <c r="AO379"/>
  <c r="AO380"/>
  <c r="AO381"/>
  <c r="AO382"/>
  <c r="AO383"/>
  <c r="AO384"/>
  <c r="AO385"/>
  <c r="AO386"/>
  <c r="AO387"/>
  <c r="AO388"/>
  <c r="AO389"/>
  <c r="AO390"/>
  <c r="AO391"/>
  <c r="AO392"/>
  <c r="AO393"/>
  <c r="AO394"/>
  <c r="AO395"/>
  <c r="AO396"/>
  <c r="AO397"/>
  <c r="AO398"/>
  <c r="AO399"/>
  <c r="AO400"/>
  <c r="AO401"/>
  <c r="AO402"/>
  <c r="AO403"/>
  <c r="AO404"/>
  <c r="AO405"/>
  <c r="AO406"/>
  <c r="AO407"/>
  <c r="AO408"/>
  <c r="AO409"/>
  <c r="AO410"/>
  <c r="AO411"/>
  <c r="AO412"/>
  <c r="AO413"/>
  <c r="AO414"/>
  <c r="AO415"/>
  <c r="AO416"/>
  <c r="AO417"/>
  <c r="AO418"/>
  <c r="AO419"/>
  <c r="AO420"/>
  <c r="AO421"/>
  <c r="AO422"/>
  <c r="AO423"/>
  <c r="AO424"/>
  <c r="AO425"/>
  <c r="AO426"/>
  <c r="AO427"/>
  <c r="AO428"/>
  <c r="AO429"/>
  <c r="AO430"/>
  <c r="AO431"/>
  <c r="AO432"/>
  <c r="AO433"/>
  <c r="AO434"/>
  <c r="AO435"/>
  <c r="AO436"/>
  <c r="AO437"/>
  <c r="AO438"/>
  <c r="AO439"/>
  <c r="AO440"/>
  <c r="AO441"/>
  <c r="AO442"/>
  <c r="AO443"/>
  <c r="AO444"/>
  <c r="AO445"/>
  <c r="AO446"/>
  <c r="AO447"/>
  <c r="AO448"/>
  <c r="AO449"/>
  <c r="AO450"/>
  <c r="AO451"/>
  <c r="AO452"/>
  <c r="AO453"/>
  <c r="AO454"/>
  <c r="AO455"/>
  <c r="AO456"/>
  <c r="AO457"/>
  <c r="AO458"/>
  <c r="AO459"/>
  <c r="AO460"/>
  <c r="AO461"/>
  <c r="AO462"/>
  <c r="AO463"/>
  <c r="AO464"/>
  <c r="AO465"/>
  <c r="AO466"/>
  <c r="AO467"/>
  <c r="AO468"/>
  <c r="AO469"/>
  <c r="AO470"/>
  <c r="AO472"/>
  <c r="AO473"/>
  <c r="AO474"/>
  <c r="AO475"/>
  <c r="AO476"/>
  <c r="AO471"/>
  <c r="AO477"/>
  <c r="AO478"/>
  <c r="AO479"/>
  <c r="AO480"/>
  <c r="AO481"/>
  <c r="AO482"/>
  <c r="AO483"/>
  <c r="AO484"/>
  <c r="AO485"/>
  <c r="AO486"/>
  <c r="AO487"/>
  <c r="AO488"/>
  <c r="AO489"/>
  <c r="AO490"/>
  <c r="AO491"/>
  <c r="AO492"/>
  <c r="AO493"/>
  <c r="AO494"/>
  <c r="AO495"/>
  <c r="AO496"/>
  <c r="AO497"/>
  <c r="AO498"/>
  <c r="AO499"/>
  <c r="AO500"/>
  <c r="AO501"/>
  <c r="AO502"/>
  <c r="AO503"/>
  <c r="AO504"/>
  <c r="AO505"/>
  <c r="AO506"/>
  <c r="AO507"/>
  <c r="AO508"/>
  <c r="AO509"/>
  <c r="AO510"/>
  <c r="AO511"/>
  <c r="AO512"/>
  <c r="AO513"/>
  <c r="AO514"/>
  <c r="AO515"/>
  <c r="AO516"/>
  <c r="AO517"/>
  <c r="AO518"/>
  <c r="AO519"/>
  <c r="AO520"/>
  <c r="AO521"/>
  <c r="AO522"/>
  <c r="AO523"/>
  <c r="AO524"/>
  <c r="AO525"/>
  <c r="AO526"/>
  <c r="AO527"/>
  <c r="AO528"/>
  <c r="AO529"/>
  <c r="AO530"/>
  <c r="AO531"/>
  <c r="AO532"/>
  <c r="AO533"/>
  <c r="AO534"/>
  <c r="AO535"/>
  <c r="AO536"/>
  <c r="AO537"/>
  <c r="AO538"/>
  <c r="AO539"/>
  <c r="AO540"/>
  <c r="AO541"/>
  <c r="AO542"/>
  <c r="AO544"/>
  <c r="AO545"/>
  <c r="AO546"/>
  <c r="AO547"/>
  <c r="AO548"/>
  <c r="AO543"/>
  <c r="AO549"/>
  <c r="AO550"/>
  <c r="AO551"/>
  <c r="AO552"/>
  <c r="AO553"/>
  <c r="AO554"/>
  <c r="AO555"/>
  <c r="AO556"/>
  <c r="AO557"/>
  <c r="AO558"/>
  <c r="AO559"/>
  <c r="AO560"/>
  <c r="AO561"/>
  <c r="AO562"/>
  <c r="AO563"/>
  <c r="AO565"/>
  <c r="AO566"/>
  <c r="AO567"/>
  <c r="AO568"/>
  <c r="AO569"/>
  <c r="AO570"/>
  <c r="AO572"/>
  <c r="AO573"/>
  <c r="AO574"/>
  <c r="AO575"/>
  <c r="AO576"/>
  <c r="AO577"/>
  <c r="AO578"/>
  <c r="AO579"/>
  <c r="AO580"/>
  <c r="AO581"/>
  <c r="AO582"/>
  <c r="AO583"/>
  <c r="AO584"/>
  <c r="AO585"/>
  <c r="AO586"/>
  <c r="AO587"/>
  <c r="AO588"/>
  <c r="AO564"/>
  <c r="AO589"/>
  <c r="AO590"/>
  <c r="AO591"/>
  <c r="AO592"/>
  <c r="AO593"/>
  <c r="AO594"/>
  <c r="AO595"/>
  <c r="AO571"/>
  <c r="AO596"/>
  <c r="AO597"/>
  <c r="AO598"/>
  <c r="AO599"/>
  <c r="AO600"/>
  <c r="AO601"/>
  <c r="AO602"/>
  <c r="AO603"/>
  <c r="AO604"/>
  <c r="AO605"/>
  <c r="AO606"/>
  <c r="AO607"/>
  <c r="AO608"/>
  <c r="AO609"/>
  <c r="AO610"/>
  <c r="AO611"/>
  <c r="AO612"/>
  <c r="AO613"/>
  <c r="AO614"/>
  <c r="AO615"/>
  <c r="AO616"/>
  <c r="AO617"/>
  <c r="AO618"/>
  <c r="AO619"/>
  <c r="AO620"/>
  <c r="AO621"/>
  <c r="AO622"/>
  <c r="AO623"/>
  <c r="AO624"/>
  <c r="AO625"/>
  <c r="AO626"/>
  <c r="AO627"/>
  <c r="AO628"/>
  <c r="AO629"/>
  <c r="AO630"/>
  <c r="AO631"/>
  <c r="AO632"/>
  <c r="AO633"/>
  <c r="AO634"/>
  <c r="AO635"/>
  <c r="AO636"/>
  <c r="AO637"/>
  <c r="AO638"/>
  <c r="AO639"/>
  <c r="AO640"/>
  <c r="AO641"/>
  <c r="AO642"/>
  <c r="AO643"/>
  <c r="AO644"/>
  <c r="AO645"/>
  <c r="AO646"/>
  <c r="AO647"/>
  <c r="AO648"/>
  <c r="AO649"/>
  <c r="AO650"/>
  <c r="AO651"/>
  <c r="AO652"/>
  <c r="AO653"/>
  <c r="AO654"/>
  <c r="AO655"/>
  <c r="AO656"/>
  <c r="AO657"/>
  <c r="AO658"/>
  <c r="AO659"/>
  <c r="AO660"/>
  <c r="AO661"/>
  <c r="AO662"/>
  <c r="AO663"/>
  <c r="AO664"/>
  <c r="AO665"/>
  <c r="AO667"/>
  <c r="AO668"/>
  <c r="AO669"/>
  <c r="AO666"/>
  <c r="AO670"/>
  <c r="AO671"/>
  <c r="AO672"/>
  <c r="AO673"/>
  <c r="AO674"/>
  <c r="AO675"/>
  <c r="AO676"/>
  <c r="AO677"/>
  <c r="AO678"/>
  <c r="AO679"/>
  <c r="AO680"/>
  <c r="AO681"/>
  <c r="AO682"/>
  <c r="AO683"/>
  <c r="AL10"/>
  <c r="AL11"/>
  <c r="AL12"/>
  <c r="AL13"/>
  <c r="AL14"/>
  <c r="AL15"/>
  <c r="AL16"/>
  <c r="AL17"/>
  <c r="AL18"/>
  <c r="AL19"/>
  <c r="AL20"/>
  <c r="AL21"/>
  <c r="AL22"/>
  <c r="AL23"/>
  <c r="AL24"/>
  <c r="AL25"/>
  <c r="AL26"/>
  <c r="AL27"/>
  <c r="AL28"/>
  <c r="AL29"/>
  <c r="AL30"/>
  <c r="AL32"/>
  <c r="AL33"/>
  <c r="AL34"/>
  <c r="AL35"/>
  <c r="AL36"/>
  <c r="AL37"/>
  <c r="AL38"/>
  <c r="AL39"/>
  <c r="AL40"/>
  <c r="AL41"/>
  <c r="AL42"/>
  <c r="AL31"/>
  <c r="AL43"/>
  <c r="AL44"/>
  <c r="AL45"/>
  <c r="AL46"/>
  <c r="AL47"/>
  <c r="AL48"/>
  <c r="AL49"/>
  <c r="AL50"/>
  <c r="AL51"/>
  <c r="AL52"/>
  <c r="AL53"/>
  <c r="AL54"/>
  <c r="AL55"/>
  <c r="AL56"/>
  <c r="AL57"/>
  <c r="AL58"/>
  <c r="AL59"/>
  <c r="AL61"/>
  <c r="AL62"/>
  <c r="AL63"/>
  <c r="AL64"/>
  <c r="AL65"/>
  <c r="AL66"/>
  <c r="AL67"/>
  <c r="AL68"/>
  <c r="AL60"/>
  <c r="AL69"/>
  <c r="AL70"/>
  <c r="AL71"/>
  <c r="AL72"/>
  <c r="AL73"/>
  <c r="AL74"/>
  <c r="AL75"/>
  <c r="AL76"/>
  <c r="AL77"/>
  <c r="AL78"/>
  <c r="AL79"/>
  <c r="AL80"/>
  <c r="AL81"/>
  <c r="AL82"/>
  <c r="AL83"/>
  <c r="AL84"/>
  <c r="AL85"/>
  <c r="AL86"/>
  <c r="AL87"/>
  <c r="AL88"/>
  <c r="AL89"/>
  <c r="AL90"/>
  <c r="AL91"/>
  <c r="AL92"/>
  <c r="AL93"/>
  <c r="AL94"/>
  <c r="AL95"/>
  <c r="AL102"/>
  <c r="AL103"/>
  <c r="AL104"/>
  <c r="AL96"/>
  <c r="AL97"/>
  <c r="AL98"/>
  <c r="AL105"/>
  <c r="AL122"/>
  <c r="AL117"/>
  <c r="AL106"/>
  <c r="AL107"/>
  <c r="AL118"/>
  <c r="AL119"/>
  <c r="AL114"/>
  <c r="AL99"/>
  <c r="AL123"/>
  <c r="AL100"/>
  <c r="AL108"/>
  <c r="AL109"/>
  <c r="AL110"/>
  <c r="AL111"/>
  <c r="AL121"/>
  <c r="AL101"/>
  <c r="AL112"/>
  <c r="AL113"/>
  <c r="AL120"/>
  <c r="AL115"/>
  <c r="AL116"/>
  <c r="AL124"/>
  <c r="AL125"/>
  <c r="AL126"/>
  <c r="AL127"/>
  <c r="AL128"/>
  <c r="AL129"/>
  <c r="AL130"/>
  <c r="AL131"/>
  <c r="AL132"/>
  <c r="AL133"/>
  <c r="AL134"/>
  <c r="AL135"/>
  <c r="AL136"/>
  <c r="AL137"/>
  <c r="AL138"/>
  <c r="AL139"/>
  <c r="AL140"/>
  <c r="AL141"/>
  <c r="AL142"/>
  <c r="AL144"/>
  <c r="AL145"/>
  <c r="AL146"/>
  <c r="AL147"/>
  <c r="AL148"/>
  <c r="AL143"/>
  <c r="AL149"/>
  <c r="AL150"/>
  <c r="AL151"/>
  <c r="AL152"/>
  <c r="AL153"/>
  <c r="AL154"/>
  <c r="AL155"/>
  <c r="AL182"/>
  <c r="AL156"/>
  <c r="AL158"/>
  <c r="AL159"/>
  <c r="AL160"/>
  <c r="AL161"/>
  <c r="AL162"/>
  <c r="AL163"/>
  <c r="AL164"/>
  <c r="AL165"/>
  <c r="AL177"/>
  <c r="AL166"/>
  <c r="AL167"/>
  <c r="AL168"/>
  <c r="AL169"/>
  <c r="AL170"/>
  <c r="AL171"/>
  <c r="AL172"/>
  <c r="AL173"/>
  <c r="AL174"/>
  <c r="AL175"/>
  <c r="AL176"/>
  <c r="AL178"/>
  <c r="AL180"/>
  <c r="AL179"/>
  <c r="AL157"/>
  <c r="AL181"/>
  <c r="AL183"/>
  <c r="AL184"/>
  <c r="AL185"/>
  <c r="AL187"/>
  <c r="AL188"/>
  <c r="AL186"/>
  <c r="AL190"/>
  <c r="AL189"/>
  <c r="AL191"/>
  <c r="AL192"/>
  <c r="AL193"/>
  <c r="AL194"/>
  <c r="AL195"/>
  <c r="AL196"/>
  <c r="AL197"/>
  <c r="AL198"/>
  <c r="AL199"/>
  <c r="AL200"/>
  <c r="AL201"/>
  <c r="AL202"/>
  <c r="AL203"/>
  <c r="AL204"/>
  <c r="AL205"/>
  <c r="AL206"/>
  <c r="AL207"/>
  <c r="AL208"/>
  <c r="AL209"/>
  <c r="AL210"/>
  <c r="AL211"/>
  <c r="AL212"/>
  <c r="AL213"/>
  <c r="AL214"/>
  <c r="AL215"/>
  <c r="AL216"/>
  <c r="AL217"/>
  <c r="AL218"/>
  <c r="AL219"/>
  <c r="AL220"/>
  <c r="AL222"/>
  <c r="AL221"/>
  <c r="AL223"/>
  <c r="AL224"/>
  <c r="AL226"/>
  <c r="AL227"/>
  <c r="AL228"/>
  <c r="AL225"/>
  <c r="AL229"/>
  <c r="AL237"/>
  <c r="AL238"/>
  <c r="AL239"/>
  <c r="AL230"/>
  <c r="AL231"/>
  <c r="AL232"/>
  <c r="AL233"/>
  <c r="AL234"/>
  <c r="AL235"/>
  <c r="AL236"/>
  <c r="AL240"/>
  <c r="AL241"/>
  <c r="AL242"/>
  <c r="AL243"/>
  <c r="AL244"/>
  <c r="AL245"/>
  <c r="AL246"/>
  <c r="AL247"/>
  <c r="AL248"/>
  <c r="AL249"/>
  <c r="AL250"/>
  <c r="AL251"/>
  <c r="AL252"/>
  <c r="AL253"/>
  <c r="AL254"/>
  <c r="AL255"/>
  <c r="AL256"/>
  <c r="AL258"/>
  <c r="AL259"/>
  <c r="AL260"/>
  <c r="AL261"/>
  <c r="AL262"/>
  <c r="AL257"/>
  <c r="AL264"/>
  <c r="AL265"/>
  <c r="AL266"/>
  <c r="AL263"/>
  <c r="AL267"/>
  <c r="AL268"/>
  <c r="AL269"/>
  <c r="AL270"/>
  <c r="AL271"/>
  <c r="AL272"/>
  <c r="AL273"/>
  <c r="AL274"/>
  <c r="AL275"/>
  <c r="AL277"/>
  <c r="AL278"/>
  <c r="AL279"/>
  <c r="AL280"/>
  <c r="AL281"/>
  <c r="AL282"/>
  <c r="AL276"/>
  <c r="AL283"/>
  <c r="AL284"/>
  <c r="AL285"/>
  <c r="AL286"/>
  <c r="AL287"/>
  <c r="AL288"/>
  <c r="AL289"/>
  <c r="AL290"/>
  <c r="AL291"/>
  <c r="AL292"/>
  <c r="AL293"/>
  <c r="AL294"/>
  <c r="AL295"/>
  <c r="AL296"/>
  <c r="AL297"/>
  <c r="AL298"/>
  <c r="AL299"/>
  <c r="AL300"/>
  <c r="AL301"/>
  <c r="AL302"/>
  <c r="AL303"/>
  <c r="AL304"/>
  <c r="AL305"/>
  <c r="AL306"/>
  <c r="AL317"/>
  <c r="AL318"/>
  <c r="AL307"/>
  <c r="AL323"/>
  <c r="AL308"/>
  <c r="AL309"/>
  <c r="AL311"/>
  <c r="AL312"/>
  <c r="AL313"/>
  <c r="AL314"/>
  <c r="AL315"/>
  <c r="AL342"/>
  <c r="AL316"/>
  <c r="AL319"/>
  <c r="AL320"/>
  <c r="AL345"/>
  <c r="AL321"/>
  <c r="AL322"/>
  <c r="AL324"/>
  <c r="AL310"/>
  <c r="AL325"/>
  <c r="AL326"/>
  <c r="AL327"/>
  <c r="AL328"/>
  <c r="AL349"/>
  <c r="AL329"/>
  <c r="AL330"/>
  <c r="AL353"/>
  <c r="AL331"/>
  <c r="AL354"/>
  <c r="AL332"/>
  <c r="AL356"/>
  <c r="AL333"/>
  <c r="AL358"/>
  <c r="AL359"/>
  <c r="AL360"/>
  <c r="AL334"/>
  <c r="AL335"/>
  <c r="AL336"/>
  <c r="AL337"/>
  <c r="AL338"/>
  <c r="AL339"/>
  <c r="AL362"/>
  <c r="AL340"/>
  <c r="AL341"/>
  <c r="AL343"/>
  <c r="AL344"/>
  <c r="AL346"/>
  <c r="AL347"/>
  <c r="AL348"/>
  <c r="AL350"/>
  <c r="AL351"/>
  <c r="AL352"/>
  <c r="AL355"/>
  <c r="AL357"/>
  <c r="AL361"/>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2"/>
  <c r="AL473"/>
  <c r="AL474"/>
  <c r="AL475"/>
  <c r="AL476"/>
  <c r="AL471"/>
  <c r="AL477"/>
  <c r="AL478"/>
  <c r="AL479"/>
  <c r="AL480"/>
  <c r="AL481"/>
  <c r="AL482"/>
  <c r="AL483"/>
  <c r="AL484"/>
  <c r="AL485"/>
  <c r="AL486"/>
  <c r="AL487"/>
  <c r="AL488"/>
  <c r="AL489"/>
  <c r="AL490"/>
  <c r="AL491"/>
  <c r="AL492"/>
  <c r="AL493"/>
  <c r="AL494"/>
  <c r="AL495"/>
  <c r="AL496"/>
  <c r="AL497"/>
  <c r="AL498"/>
  <c r="AL499"/>
  <c r="AL500"/>
  <c r="AL501"/>
  <c r="AL502"/>
  <c r="AL503"/>
  <c r="AL504"/>
  <c r="AL505"/>
  <c r="AL506"/>
  <c r="AL507"/>
  <c r="AL508"/>
  <c r="AL509"/>
  <c r="AL510"/>
  <c r="AL511"/>
  <c r="AL512"/>
  <c r="AL513"/>
  <c r="AL514"/>
  <c r="AL515"/>
  <c r="AL516"/>
  <c r="AL517"/>
  <c r="AL518"/>
  <c r="AL519"/>
  <c r="AL520"/>
  <c r="AL521"/>
  <c r="AL522"/>
  <c r="AL523"/>
  <c r="AL524"/>
  <c r="AL525"/>
  <c r="AL526"/>
  <c r="AL527"/>
  <c r="AL528"/>
  <c r="AL529"/>
  <c r="AL530"/>
  <c r="AL531"/>
  <c r="AL532"/>
  <c r="AL533"/>
  <c r="AL534"/>
  <c r="AL535"/>
  <c r="AL536"/>
  <c r="AL537"/>
  <c r="AL538"/>
  <c r="AL539"/>
  <c r="AL540"/>
  <c r="AL541"/>
  <c r="AL542"/>
  <c r="AL544"/>
  <c r="AL545"/>
  <c r="AL546"/>
  <c r="AL547"/>
  <c r="AL548"/>
  <c r="AL543"/>
  <c r="AL549"/>
  <c r="AL550"/>
  <c r="AL551"/>
  <c r="AL552"/>
  <c r="AL553"/>
  <c r="AL554"/>
  <c r="AL555"/>
  <c r="AL556"/>
  <c r="AL557"/>
  <c r="AL558"/>
  <c r="AL559"/>
  <c r="AL560"/>
  <c r="AL561"/>
  <c r="AL562"/>
  <c r="AL563"/>
  <c r="AL565"/>
  <c r="AL566"/>
  <c r="AL567"/>
  <c r="AL568"/>
  <c r="AL569"/>
  <c r="AL570"/>
  <c r="AL572"/>
  <c r="AL573"/>
  <c r="AL574"/>
  <c r="AL575"/>
  <c r="AL576"/>
  <c r="AL577"/>
  <c r="AL578"/>
  <c r="AL579"/>
  <c r="AL580"/>
  <c r="AL581"/>
  <c r="AL582"/>
  <c r="AL583"/>
  <c r="AL584"/>
  <c r="AL585"/>
  <c r="AL586"/>
  <c r="AL587"/>
  <c r="AL588"/>
  <c r="AL564"/>
  <c r="AL589"/>
  <c r="AL590"/>
  <c r="AL591"/>
  <c r="AL592"/>
  <c r="AL593"/>
  <c r="AL594"/>
  <c r="AL595"/>
  <c r="AL571"/>
  <c r="AL596"/>
  <c r="AL597"/>
  <c r="AL598"/>
  <c r="AL599"/>
  <c r="AL600"/>
  <c r="AL601"/>
  <c r="AL602"/>
  <c r="AL603"/>
  <c r="AL604"/>
  <c r="AL605"/>
  <c r="AL606"/>
  <c r="AL607"/>
  <c r="AL608"/>
  <c r="AL609"/>
  <c r="AL610"/>
  <c r="AL611"/>
  <c r="AL612"/>
  <c r="AL613"/>
  <c r="AL614"/>
  <c r="AL615"/>
  <c r="AL616"/>
  <c r="AL617"/>
  <c r="AL618"/>
  <c r="AL619"/>
  <c r="AL620"/>
  <c r="AL621"/>
  <c r="AL622"/>
  <c r="AL623"/>
  <c r="AL624"/>
  <c r="AL625"/>
  <c r="AL626"/>
  <c r="AL627"/>
  <c r="AL628"/>
  <c r="AL629"/>
  <c r="AL630"/>
  <c r="AL631"/>
  <c r="AL632"/>
  <c r="AL633"/>
  <c r="AL634"/>
  <c r="AL635"/>
  <c r="AL636"/>
  <c r="AL637"/>
  <c r="AL638"/>
  <c r="AL639"/>
  <c r="AL640"/>
  <c r="AL641"/>
  <c r="AL642"/>
  <c r="AL643"/>
  <c r="AL644"/>
  <c r="AL645"/>
  <c r="AL646"/>
  <c r="AL647"/>
  <c r="AL648"/>
  <c r="AL649"/>
  <c r="AL650"/>
  <c r="AL651"/>
  <c r="AL652"/>
  <c r="AL653"/>
  <c r="AL654"/>
  <c r="AL655"/>
  <c r="AL656"/>
  <c r="AL657"/>
  <c r="AL658"/>
  <c r="AL659"/>
  <c r="AL660"/>
  <c r="AL661"/>
  <c r="AL662"/>
  <c r="AL663"/>
  <c r="AL664"/>
  <c r="AL665"/>
  <c r="AL667"/>
  <c r="AL668"/>
  <c r="AL669"/>
  <c r="AL666"/>
  <c r="AL670"/>
  <c r="AL671"/>
  <c r="AL672"/>
  <c r="AL673"/>
  <c r="AL674"/>
  <c r="AL675"/>
  <c r="AL676"/>
  <c r="AL677"/>
  <c r="AL678"/>
  <c r="AL679"/>
  <c r="AL680"/>
  <c r="AL681"/>
  <c r="AL682"/>
  <c r="AL683"/>
  <c r="AI10"/>
  <c r="AI11"/>
  <c r="AI12"/>
  <c r="AI13"/>
  <c r="AI14"/>
  <c r="AI15"/>
  <c r="AI16"/>
  <c r="AI17"/>
  <c r="AI18"/>
  <c r="AI19"/>
  <c r="AI20"/>
  <c r="AI21"/>
  <c r="AI22"/>
  <c r="AI23"/>
  <c r="AI24"/>
  <c r="AI25"/>
  <c r="AI26"/>
  <c r="AI27"/>
  <c r="AI28"/>
  <c r="AI29"/>
  <c r="AI30"/>
  <c r="AI32"/>
  <c r="AI33"/>
  <c r="AI34"/>
  <c r="AI35"/>
  <c r="AI36"/>
  <c r="AI37"/>
  <c r="AI38"/>
  <c r="AI39"/>
  <c r="AI40"/>
  <c r="AI41"/>
  <c r="AI42"/>
  <c r="AI31"/>
  <c r="AI43"/>
  <c r="AI44"/>
  <c r="AI45"/>
  <c r="AI46"/>
  <c r="AI47"/>
  <c r="AI48"/>
  <c r="AI49"/>
  <c r="AI50"/>
  <c r="AI51"/>
  <c r="AI52"/>
  <c r="AI53"/>
  <c r="AI54"/>
  <c r="AI55"/>
  <c r="AI56"/>
  <c r="AI57"/>
  <c r="AI58"/>
  <c r="AI59"/>
  <c r="AI61"/>
  <c r="AI62"/>
  <c r="AI63"/>
  <c r="AI64"/>
  <c r="AI65"/>
  <c r="AI66"/>
  <c r="AI67"/>
  <c r="AI68"/>
  <c r="AI60"/>
  <c r="AI69"/>
  <c r="AI70"/>
  <c r="AI71"/>
  <c r="AI72"/>
  <c r="AI73"/>
  <c r="AI74"/>
  <c r="AI75"/>
  <c r="AI76"/>
  <c r="AI77"/>
  <c r="AI78"/>
  <c r="AI79"/>
  <c r="AI80"/>
  <c r="AI81"/>
  <c r="AI82"/>
  <c r="AI83"/>
  <c r="AI84"/>
  <c r="AI85"/>
  <c r="AI86"/>
  <c r="AI87"/>
  <c r="AI88"/>
  <c r="AI89"/>
  <c r="AI90"/>
  <c r="AI91"/>
  <c r="AI92"/>
  <c r="AI93"/>
  <c r="AI94"/>
  <c r="AI95"/>
  <c r="AI102"/>
  <c r="AI103"/>
  <c r="AI104"/>
  <c r="AI96"/>
  <c r="AI97"/>
  <c r="AI98"/>
  <c r="AI105"/>
  <c r="AI122"/>
  <c r="AI117"/>
  <c r="AI106"/>
  <c r="AI107"/>
  <c r="AI118"/>
  <c r="AI119"/>
  <c r="AI114"/>
  <c r="AI99"/>
  <c r="AI123"/>
  <c r="AI100"/>
  <c r="AI108"/>
  <c r="AI109"/>
  <c r="AI110"/>
  <c r="AI111"/>
  <c r="AI121"/>
  <c r="AI101"/>
  <c r="AI112"/>
  <c r="AI113"/>
  <c r="AI120"/>
  <c r="AI115"/>
  <c r="AI116"/>
  <c r="AI124"/>
  <c r="AI125"/>
  <c r="AI126"/>
  <c r="AI127"/>
  <c r="AI128"/>
  <c r="AI129"/>
  <c r="AI130"/>
  <c r="AI131"/>
  <c r="AI132"/>
  <c r="AI133"/>
  <c r="AI134"/>
  <c r="AI135"/>
  <c r="AI136"/>
  <c r="AI137"/>
  <c r="AI138"/>
  <c r="AI139"/>
  <c r="AI140"/>
  <c r="AI141"/>
  <c r="AI142"/>
  <c r="AI144"/>
  <c r="AI145"/>
  <c r="AI146"/>
  <c r="AI147"/>
  <c r="AI148"/>
  <c r="AI143"/>
  <c r="AI149"/>
  <c r="AI150"/>
  <c r="AI151"/>
  <c r="AI152"/>
  <c r="AI153"/>
  <c r="AI154"/>
  <c r="AI155"/>
  <c r="AI182"/>
  <c r="AI156"/>
  <c r="AI158"/>
  <c r="AI159"/>
  <c r="AI160"/>
  <c r="AI161"/>
  <c r="AI162"/>
  <c r="AI163"/>
  <c r="AI164"/>
  <c r="AI165"/>
  <c r="AI177"/>
  <c r="AI166"/>
  <c r="AI167"/>
  <c r="AI168"/>
  <c r="AI169"/>
  <c r="AI170"/>
  <c r="AI171"/>
  <c r="AI172"/>
  <c r="AI173"/>
  <c r="AI174"/>
  <c r="AI175"/>
  <c r="AI176"/>
  <c r="AI178"/>
  <c r="AI180"/>
  <c r="AI179"/>
  <c r="AI157"/>
  <c r="AI181"/>
  <c r="AI184"/>
  <c r="AI186"/>
  <c r="AI189"/>
  <c r="AI191"/>
  <c r="AI192"/>
  <c r="AI193"/>
  <c r="AI194"/>
  <c r="AI195"/>
  <c r="AI196"/>
  <c r="AI197"/>
  <c r="AI198"/>
  <c r="AI199"/>
  <c r="AI200"/>
  <c r="AI201"/>
  <c r="AI202"/>
  <c r="AI203"/>
  <c r="AI204"/>
  <c r="AI205"/>
  <c r="AI206"/>
  <c r="AI207"/>
  <c r="AI208"/>
  <c r="AI209"/>
  <c r="AI210"/>
  <c r="AI211"/>
  <c r="AI212"/>
  <c r="AI213"/>
  <c r="AI214"/>
  <c r="AI215"/>
  <c r="AI216"/>
  <c r="AI217"/>
  <c r="AI218"/>
  <c r="AI219"/>
  <c r="AI220"/>
  <c r="AI222"/>
  <c r="AI221"/>
  <c r="AI223"/>
  <c r="AI224"/>
  <c r="AI226"/>
  <c r="AI227"/>
  <c r="AI228"/>
  <c r="AI225"/>
  <c r="AI229"/>
  <c r="AI237"/>
  <c r="AI238"/>
  <c r="AI239"/>
  <c r="AI230"/>
  <c r="AI231"/>
  <c r="AI232"/>
  <c r="AI233"/>
  <c r="AI234"/>
  <c r="AI235"/>
  <c r="AI236"/>
  <c r="AI240"/>
  <c r="AI241"/>
  <c r="AI242"/>
  <c r="AI243"/>
  <c r="AI244"/>
  <c r="AI245"/>
  <c r="AI246"/>
  <c r="AI247"/>
  <c r="AI248"/>
  <c r="AI249"/>
  <c r="AI250"/>
  <c r="AI251"/>
  <c r="AI252"/>
  <c r="AI253"/>
  <c r="AI254"/>
  <c r="AI255"/>
  <c r="AI256"/>
  <c r="AI258"/>
  <c r="AI259"/>
  <c r="AI260"/>
  <c r="AI261"/>
  <c r="AI262"/>
  <c r="AI257"/>
  <c r="AI264"/>
  <c r="AI265"/>
  <c r="AI266"/>
  <c r="AI263"/>
  <c r="AI267"/>
  <c r="AI268"/>
  <c r="AI269"/>
  <c r="AI270"/>
  <c r="AI271"/>
  <c r="AI272"/>
  <c r="AI273"/>
  <c r="AI274"/>
  <c r="AI275"/>
  <c r="AI277"/>
  <c r="AI278"/>
  <c r="AI279"/>
  <c r="AI280"/>
  <c r="AI281"/>
  <c r="AI282"/>
  <c r="AI276"/>
  <c r="AI283"/>
  <c r="AI284"/>
  <c r="AI285"/>
  <c r="AI286"/>
  <c r="AI287"/>
  <c r="AI288"/>
  <c r="AI289"/>
  <c r="AI290"/>
  <c r="AI291"/>
  <c r="AI292"/>
  <c r="AI293"/>
  <c r="AI294"/>
  <c r="AI295"/>
  <c r="AI296"/>
  <c r="AI297"/>
  <c r="AI298"/>
  <c r="AI299"/>
  <c r="AI300"/>
  <c r="AI301"/>
  <c r="AI302"/>
  <c r="AI303"/>
  <c r="AI304"/>
  <c r="AI305"/>
  <c r="AI306"/>
  <c r="AI317"/>
  <c r="AI318"/>
  <c r="AI307"/>
  <c r="AI323"/>
  <c r="AI308"/>
  <c r="AI309"/>
  <c r="AI311"/>
  <c r="AI312"/>
  <c r="AI313"/>
  <c r="AI314"/>
  <c r="AI315"/>
  <c r="AI342"/>
  <c r="AI316"/>
  <c r="AI319"/>
  <c r="AI320"/>
  <c r="AI345"/>
  <c r="AI321"/>
  <c r="AI322"/>
  <c r="AI324"/>
  <c r="AI310"/>
  <c r="AI325"/>
  <c r="AI326"/>
  <c r="AI327"/>
  <c r="AI328"/>
  <c r="AI349"/>
  <c r="AI329"/>
  <c r="AI330"/>
  <c r="AI353"/>
  <c r="AI331"/>
  <c r="AI354"/>
  <c r="AI332"/>
  <c r="AI356"/>
  <c r="AI333"/>
  <c r="AI358"/>
  <c r="AI359"/>
  <c r="AI360"/>
  <c r="AI334"/>
  <c r="AI335"/>
  <c r="AI336"/>
  <c r="AI337"/>
  <c r="AI338"/>
  <c r="AI339"/>
  <c r="AI362"/>
  <c r="AI340"/>
  <c r="AI341"/>
  <c r="AI343"/>
  <c r="AI344"/>
  <c r="AI346"/>
  <c r="AI347"/>
  <c r="AI348"/>
  <c r="AI350"/>
  <c r="AI351"/>
  <c r="AI352"/>
  <c r="AI355"/>
  <c r="AI357"/>
  <c r="AI361"/>
  <c r="AI363"/>
  <c r="AI364"/>
  <c r="AI365"/>
  <c r="AI366"/>
  <c r="AI367"/>
  <c r="AI368"/>
  <c r="AI369"/>
  <c r="AI370"/>
  <c r="AI371"/>
  <c r="AI372"/>
  <c r="AI373"/>
  <c r="AI374"/>
  <c r="AI375"/>
  <c r="AI376"/>
  <c r="AI377"/>
  <c r="AI378"/>
  <c r="AI379"/>
  <c r="AI380"/>
  <c r="AI381"/>
  <c r="AI382"/>
  <c r="AI383"/>
  <c r="AI384"/>
  <c r="AI385"/>
  <c r="AI386"/>
  <c r="AI387"/>
  <c r="AI388"/>
  <c r="AI389"/>
  <c r="AI390"/>
  <c r="AI391"/>
  <c r="AI392"/>
  <c r="AI393"/>
  <c r="AI394"/>
  <c r="AI395"/>
  <c r="AI396"/>
  <c r="AI397"/>
  <c r="AI398"/>
  <c r="AI399"/>
  <c r="AI400"/>
  <c r="AI401"/>
  <c r="AI402"/>
  <c r="AI403"/>
  <c r="AI404"/>
  <c r="AI405"/>
  <c r="AI406"/>
  <c r="AI407"/>
  <c r="AI408"/>
  <c r="AI409"/>
  <c r="AI410"/>
  <c r="AI411"/>
  <c r="AI412"/>
  <c r="AI413"/>
  <c r="AI414"/>
  <c r="AI415"/>
  <c r="AI416"/>
  <c r="AI417"/>
  <c r="AI418"/>
  <c r="AI419"/>
  <c r="AI420"/>
  <c r="AI421"/>
  <c r="AI422"/>
  <c r="AI423"/>
  <c r="AI424"/>
  <c r="AI425"/>
  <c r="AI426"/>
  <c r="AI427"/>
  <c r="AI428"/>
  <c r="AI429"/>
  <c r="AI430"/>
  <c r="AI431"/>
  <c r="AI432"/>
  <c r="AI433"/>
  <c r="AI434"/>
  <c r="AI435"/>
  <c r="AI436"/>
  <c r="AI437"/>
  <c r="AI438"/>
  <c r="AI439"/>
  <c r="AI440"/>
  <c r="AI441"/>
  <c r="AI442"/>
  <c r="AI443"/>
  <c r="AI444"/>
  <c r="AI445"/>
  <c r="AI446"/>
  <c r="AI447"/>
  <c r="AI448"/>
  <c r="AI449"/>
  <c r="AI450"/>
  <c r="AI451"/>
  <c r="AI452"/>
  <c r="AI453"/>
  <c r="AI454"/>
  <c r="AI455"/>
  <c r="AI456"/>
  <c r="AI457"/>
  <c r="AI458"/>
  <c r="AI459"/>
  <c r="AI460"/>
  <c r="AI461"/>
  <c r="AI462"/>
  <c r="AI463"/>
  <c r="AI464"/>
  <c r="AI465"/>
  <c r="AI466"/>
  <c r="AI467"/>
  <c r="AI468"/>
  <c r="AI469"/>
  <c r="AI470"/>
  <c r="AI472"/>
  <c r="AI473"/>
  <c r="AI474"/>
  <c r="AI475"/>
  <c r="AI476"/>
  <c r="AI471"/>
  <c r="AI477"/>
  <c r="AI478"/>
  <c r="AI479"/>
  <c r="AI480"/>
  <c r="AI481"/>
  <c r="AI482"/>
  <c r="AI483"/>
  <c r="AI484"/>
  <c r="AI485"/>
  <c r="AI486"/>
  <c r="AI487"/>
  <c r="AI488"/>
  <c r="AI489"/>
  <c r="AI490"/>
  <c r="AI491"/>
  <c r="AI492"/>
  <c r="AI493"/>
  <c r="AI494"/>
  <c r="AI495"/>
  <c r="AI496"/>
  <c r="AI497"/>
  <c r="AI498"/>
  <c r="AI499"/>
  <c r="AI500"/>
  <c r="AI501"/>
  <c r="AI502"/>
  <c r="AI503"/>
  <c r="AI504"/>
  <c r="AI505"/>
  <c r="AI506"/>
  <c r="AI507"/>
  <c r="AI508"/>
  <c r="AI509"/>
  <c r="AI510"/>
  <c r="AI511"/>
  <c r="AI512"/>
  <c r="AI513"/>
  <c r="AI514"/>
  <c r="AI515"/>
  <c r="AI516"/>
  <c r="AI517"/>
  <c r="AI518"/>
  <c r="AI519"/>
  <c r="AI520"/>
  <c r="AI521"/>
  <c r="AI522"/>
  <c r="AI523"/>
  <c r="AI524"/>
  <c r="AI525"/>
  <c r="AI526"/>
  <c r="AI527"/>
  <c r="AI528"/>
  <c r="AI529"/>
  <c r="AI530"/>
  <c r="AI531"/>
  <c r="AI532"/>
  <c r="AI533"/>
  <c r="AI534"/>
  <c r="AI535"/>
  <c r="AI536"/>
  <c r="AI537"/>
  <c r="AI538"/>
  <c r="AI539"/>
  <c r="AI540"/>
  <c r="AI541"/>
  <c r="AI542"/>
  <c r="AI544"/>
  <c r="AI545"/>
  <c r="AI546"/>
  <c r="AI547"/>
  <c r="AI548"/>
  <c r="AI543"/>
  <c r="AI549"/>
  <c r="AI550"/>
  <c r="AI551"/>
  <c r="AI552"/>
  <c r="AI553"/>
  <c r="AI554"/>
  <c r="AI555"/>
  <c r="AI556"/>
  <c r="AI557"/>
  <c r="AI558"/>
  <c r="AI559"/>
  <c r="AI560"/>
  <c r="AI561"/>
  <c r="AI562"/>
  <c r="AI563"/>
  <c r="AI565"/>
  <c r="AI566"/>
  <c r="AI567"/>
  <c r="AI568"/>
  <c r="AI569"/>
  <c r="AI570"/>
  <c r="AI572"/>
  <c r="AI573"/>
  <c r="AI574"/>
  <c r="AI575"/>
  <c r="AI576"/>
  <c r="AI577"/>
  <c r="AI578"/>
  <c r="AI579"/>
  <c r="AI580"/>
  <c r="AI581"/>
  <c r="AI582"/>
  <c r="AI583"/>
  <c r="AI584"/>
  <c r="AI585"/>
  <c r="AI586"/>
  <c r="AI587"/>
  <c r="AI588"/>
  <c r="AI564"/>
  <c r="AI589"/>
  <c r="AI590"/>
  <c r="AI591"/>
  <c r="AI592"/>
  <c r="AI593"/>
  <c r="AI594"/>
  <c r="AI595"/>
  <c r="AI571"/>
  <c r="AI596"/>
  <c r="AI597"/>
  <c r="AI598"/>
  <c r="AI599"/>
  <c r="AI600"/>
  <c r="AI601"/>
  <c r="AI602"/>
  <c r="AI603"/>
  <c r="AI604"/>
  <c r="AI605"/>
  <c r="AI606"/>
  <c r="AI607"/>
  <c r="AI608"/>
  <c r="AI609"/>
  <c r="AI610"/>
  <c r="AI611"/>
  <c r="AI612"/>
  <c r="AI613"/>
  <c r="AI614"/>
  <c r="AI615"/>
  <c r="AI616"/>
  <c r="AI617"/>
  <c r="AI618"/>
  <c r="AI619"/>
  <c r="AI620"/>
  <c r="AI621"/>
  <c r="AI622"/>
  <c r="AI623"/>
  <c r="AI624"/>
  <c r="AI625"/>
  <c r="AI626"/>
  <c r="AI627"/>
  <c r="AI628"/>
  <c r="AI629"/>
  <c r="AI630"/>
  <c r="AI631"/>
  <c r="AI632"/>
  <c r="AI633"/>
  <c r="AI634"/>
  <c r="AI635"/>
  <c r="AI636"/>
  <c r="AI637"/>
  <c r="AI638"/>
  <c r="AI639"/>
  <c r="AI640"/>
  <c r="AI641"/>
  <c r="AI642"/>
  <c r="AI643"/>
  <c r="AI644"/>
  <c r="AI645"/>
  <c r="AI646"/>
  <c r="AI647"/>
  <c r="AI648"/>
  <c r="AI649"/>
  <c r="AI650"/>
  <c r="AI651"/>
  <c r="AI652"/>
  <c r="AI653"/>
  <c r="AI654"/>
  <c r="AI655"/>
  <c r="AI656"/>
  <c r="AI657"/>
  <c r="AI658"/>
  <c r="AI659"/>
  <c r="AI660"/>
  <c r="AI661"/>
  <c r="AI662"/>
  <c r="AI663"/>
  <c r="AI664"/>
  <c r="AI665"/>
  <c r="AI667"/>
  <c r="AI668"/>
  <c r="AI669"/>
  <c r="AI666"/>
  <c r="AI670"/>
  <c r="AI671"/>
  <c r="AI672"/>
  <c r="AI673"/>
  <c r="AI674"/>
  <c r="AI675"/>
  <c r="AI676"/>
  <c r="AI677"/>
  <c r="AI678"/>
  <c r="AI679"/>
  <c r="AI680"/>
  <c r="AI681"/>
  <c r="AI682"/>
  <c r="AI683"/>
  <c r="AF10"/>
  <c r="AF11"/>
  <c r="AF12"/>
  <c r="AF13"/>
  <c r="AF14"/>
  <c r="AF15"/>
  <c r="AF16"/>
  <c r="AF17"/>
  <c r="AF18"/>
  <c r="AF19"/>
  <c r="AF20"/>
  <c r="AF21"/>
  <c r="AF22"/>
  <c r="AF23"/>
  <c r="AF24"/>
  <c r="AF25"/>
  <c r="AF26"/>
  <c r="AF27"/>
  <c r="AF28"/>
  <c r="AF29"/>
  <c r="AF30"/>
  <c r="AF32"/>
  <c r="AF33"/>
  <c r="AF34"/>
  <c r="AF35"/>
  <c r="AF36"/>
  <c r="AF37"/>
  <c r="AF38"/>
  <c r="AF39"/>
  <c r="AF40"/>
  <c r="AF41"/>
  <c r="AF42"/>
  <c r="AF31"/>
  <c r="AF43"/>
  <c r="AF44"/>
  <c r="AF45"/>
  <c r="AF46"/>
  <c r="AF47"/>
  <c r="AF48"/>
  <c r="AF49"/>
  <c r="AF50"/>
  <c r="AF51"/>
  <c r="AF52"/>
  <c r="AF53"/>
  <c r="AF54"/>
  <c r="AF55"/>
  <c r="AF56"/>
  <c r="AF57"/>
  <c r="AF58"/>
  <c r="AF59"/>
  <c r="AF61"/>
  <c r="AF62"/>
  <c r="AF63"/>
  <c r="AF64"/>
  <c r="AF65"/>
  <c r="AF66"/>
  <c r="AF67"/>
  <c r="AF68"/>
  <c r="AF60"/>
  <c r="AF69"/>
  <c r="AF70"/>
  <c r="AF71"/>
  <c r="AF72"/>
  <c r="AF73"/>
  <c r="AF74"/>
  <c r="AF75"/>
  <c r="AF76"/>
  <c r="AF77"/>
  <c r="AF78"/>
  <c r="AF79"/>
  <c r="AF80"/>
  <c r="AF81"/>
  <c r="AF82"/>
  <c r="AF83"/>
  <c r="AF84"/>
  <c r="AF85"/>
  <c r="AF86"/>
  <c r="AF87"/>
  <c r="AF88"/>
  <c r="AF89"/>
  <c r="AF90"/>
  <c r="AF91"/>
  <c r="AF92"/>
  <c r="AF93"/>
  <c r="AF94"/>
  <c r="AF95"/>
  <c r="AF102"/>
  <c r="AF103"/>
  <c r="AF104"/>
  <c r="AF96"/>
  <c r="AF97"/>
  <c r="AF98"/>
  <c r="AF105"/>
  <c r="AF122"/>
  <c r="AF117"/>
  <c r="AF106"/>
  <c r="AF107"/>
  <c r="AF118"/>
  <c r="AF119"/>
  <c r="AF114"/>
  <c r="AF99"/>
  <c r="AF123"/>
  <c r="AF100"/>
  <c r="AF108"/>
  <c r="AF109"/>
  <c r="AF110"/>
  <c r="AF111"/>
  <c r="AF121"/>
  <c r="AF101"/>
  <c r="AF112"/>
  <c r="AF113"/>
  <c r="AF120"/>
  <c r="AF115"/>
  <c r="AF116"/>
  <c r="AF124"/>
  <c r="AF125"/>
  <c r="AF126"/>
  <c r="AF127"/>
  <c r="AF128"/>
  <c r="AF129"/>
  <c r="AF130"/>
  <c r="AF131"/>
  <c r="AF132"/>
  <c r="AF133"/>
  <c r="AF134"/>
  <c r="AF135"/>
  <c r="AF136"/>
  <c r="AF137"/>
  <c r="AF138"/>
  <c r="AF139"/>
  <c r="AF140"/>
  <c r="AF141"/>
  <c r="AF142"/>
  <c r="AF144"/>
  <c r="AF145"/>
  <c r="AF146"/>
  <c r="AF147"/>
  <c r="AF148"/>
  <c r="AF143"/>
  <c r="AF149"/>
  <c r="AF150"/>
  <c r="AF151"/>
  <c r="AF152"/>
  <c r="AF153"/>
  <c r="AF154"/>
  <c r="AF155"/>
  <c r="AF182"/>
  <c r="AF156"/>
  <c r="AF158"/>
  <c r="AF159"/>
  <c r="AF160"/>
  <c r="AF161"/>
  <c r="AF162"/>
  <c r="AF163"/>
  <c r="AF164"/>
  <c r="AF165"/>
  <c r="AF177"/>
  <c r="AF166"/>
  <c r="AF167"/>
  <c r="AF168"/>
  <c r="AF169"/>
  <c r="AF170"/>
  <c r="AF171"/>
  <c r="AF172"/>
  <c r="AF173"/>
  <c r="AF174"/>
  <c r="AF175"/>
  <c r="AF176"/>
  <c r="AF178"/>
  <c r="AF180"/>
  <c r="AF179"/>
  <c r="AF157"/>
  <c r="AF181"/>
  <c r="AF183"/>
  <c r="AF184"/>
  <c r="AF185"/>
  <c r="AF187"/>
  <c r="AF188"/>
  <c r="AF186"/>
  <c r="AF190"/>
  <c r="AF189"/>
  <c r="AF191"/>
  <c r="AF192"/>
  <c r="AF193"/>
  <c r="AF194"/>
  <c r="AF195"/>
  <c r="AF196"/>
  <c r="AF197"/>
  <c r="AF198"/>
  <c r="AF199"/>
  <c r="AF200"/>
  <c r="AF201"/>
  <c r="AF202"/>
  <c r="AF203"/>
  <c r="AF204"/>
  <c r="AF205"/>
  <c r="AF206"/>
  <c r="AF207"/>
  <c r="AF208"/>
  <c r="AF209"/>
  <c r="AF210"/>
  <c r="AF211"/>
  <c r="AF212"/>
  <c r="AF213"/>
  <c r="AF214"/>
  <c r="AF215"/>
  <c r="AF216"/>
  <c r="AF217"/>
  <c r="AF218"/>
  <c r="AF219"/>
  <c r="AF220"/>
  <c r="AF222"/>
  <c r="AF221"/>
  <c r="AF223"/>
  <c r="AF224"/>
  <c r="AF226"/>
  <c r="AF227"/>
  <c r="AF228"/>
  <c r="AF225"/>
  <c r="AF229"/>
  <c r="AF237"/>
  <c r="AF238"/>
  <c r="AF239"/>
  <c r="AF230"/>
  <c r="AF231"/>
  <c r="AF232"/>
  <c r="AF233"/>
  <c r="AF234"/>
  <c r="AF235"/>
  <c r="AF236"/>
  <c r="AF240"/>
  <c r="AF241"/>
  <c r="AF242"/>
  <c r="AF243"/>
  <c r="AF244"/>
  <c r="AF245"/>
  <c r="AF246"/>
  <c r="AF247"/>
  <c r="AF248"/>
  <c r="AF249"/>
  <c r="AF250"/>
  <c r="AF251"/>
  <c r="AF252"/>
  <c r="AF253"/>
  <c r="AF254"/>
  <c r="AF255"/>
  <c r="AF256"/>
  <c r="AF258"/>
  <c r="AF259"/>
  <c r="AF260"/>
  <c r="AF261"/>
  <c r="AF262"/>
  <c r="AF257"/>
  <c r="AF264"/>
  <c r="AF265"/>
  <c r="AF266"/>
  <c r="AF263"/>
  <c r="AF267"/>
  <c r="AF268"/>
  <c r="AF269"/>
  <c r="AF270"/>
  <c r="AF271"/>
  <c r="AF272"/>
  <c r="AF273"/>
  <c r="AF274"/>
  <c r="AF275"/>
  <c r="AF277"/>
  <c r="AF278"/>
  <c r="AF279"/>
  <c r="AF280"/>
  <c r="AF281"/>
  <c r="AF282"/>
  <c r="AF276"/>
  <c r="AF283"/>
  <c r="AF284"/>
  <c r="AF285"/>
  <c r="AF286"/>
  <c r="AF287"/>
  <c r="AF288"/>
  <c r="AF289"/>
  <c r="AF290"/>
  <c r="AF291"/>
  <c r="AF292"/>
  <c r="AF293"/>
  <c r="AF294"/>
  <c r="AF295"/>
  <c r="AF296"/>
  <c r="AF297"/>
  <c r="AF298"/>
  <c r="AF299"/>
  <c r="AF300"/>
  <c r="AF301"/>
  <c r="AF302"/>
  <c r="AF303"/>
  <c r="AF304"/>
  <c r="AF305"/>
  <c r="AF306"/>
  <c r="AF317"/>
  <c r="AF318"/>
  <c r="AF307"/>
  <c r="AF323"/>
  <c r="AF308"/>
  <c r="AF309"/>
  <c r="AF311"/>
  <c r="AF312"/>
  <c r="AF313"/>
  <c r="AF314"/>
  <c r="AF315"/>
  <c r="AF342"/>
  <c r="AF316"/>
  <c r="AF319"/>
  <c r="AF320"/>
  <c r="AF345"/>
  <c r="AF321"/>
  <c r="AF322"/>
  <c r="AF324"/>
  <c r="AF310"/>
  <c r="AF325"/>
  <c r="AF326"/>
  <c r="AF327"/>
  <c r="AF328"/>
  <c r="AF349"/>
  <c r="AF329"/>
  <c r="AF330"/>
  <c r="AF353"/>
  <c r="AF331"/>
  <c r="AF354"/>
  <c r="AF332"/>
  <c r="AF356"/>
  <c r="AF333"/>
  <c r="AF358"/>
  <c r="AF359"/>
  <c r="AF360"/>
  <c r="AF334"/>
  <c r="AF335"/>
  <c r="AF336"/>
  <c r="AF337"/>
  <c r="AF338"/>
  <c r="AF339"/>
  <c r="AF362"/>
  <c r="AF340"/>
  <c r="AF341"/>
  <c r="AF343"/>
  <c r="AF344"/>
  <c r="AF346"/>
  <c r="AF347"/>
  <c r="AF348"/>
  <c r="AF350"/>
  <c r="AF351"/>
  <c r="AF352"/>
  <c r="AF355"/>
  <c r="AF357"/>
  <c r="AF361"/>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2"/>
  <c r="AF473"/>
  <c r="AF474"/>
  <c r="AF475"/>
  <c r="AF476"/>
  <c r="AF471"/>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4"/>
  <c r="AF545"/>
  <c r="AF546"/>
  <c r="AF547"/>
  <c r="AF548"/>
  <c r="AF543"/>
  <c r="AF549"/>
  <c r="AF550"/>
  <c r="AF551"/>
  <c r="AF552"/>
  <c r="AF553"/>
  <c r="AF554"/>
  <c r="AF555"/>
  <c r="AF556"/>
  <c r="AF557"/>
  <c r="AF558"/>
  <c r="AF559"/>
  <c r="AF560"/>
  <c r="AF561"/>
  <c r="AF562"/>
  <c r="AF563"/>
  <c r="AF565"/>
  <c r="AF566"/>
  <c r="AF567"/>
  <c r="AF568"/>
  <c r="AF569"/>
  <c r="AF570"/>
  <c r="AF572"/>
  <c r="AF573"/>
  <c r="AF574"/>
  <c r="AF575"/>
  <c r="AF576"/>
  <c r="AF577"/>
  <c r="AF578"/>
  <c r="AF579"/>
  <c r="AF580"/>
  <c r="AF581"/>
  <c r="AF582"/>
  <c r="AF583"/>
  <c r="AF584"/>
  <c r="AF585"/>
  <c r="AF586"/>
  <c r="AF587"/>
  <c r="AF588"/>
  <c r="AF564"/>
  <c r="AF589"/>
  <c r="AF590"/>
  <c r="AF591"/>
  <c r="AF592"/>
  <c r="AF593"/>
  <c r="AF594"/>
  <c r="AF595"/>
  <c r="AF571"/>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7"/>
  <c r="AF668"/>
  <c r="AF669"/>
  <c r="AF666"/>
  <c r="AF670"/>
  <c r="AF671"/>
  <c r="AF672"/>
  <c r="AF673"/>
  <c r="AF674"/>
  <c r="AF675"/>
  <c r="AF676"/>
  <c r="AF677"/>
  <c r="AF678"/>
  <c r="AF679"/>
  <c r="AF680"/>
  <c r="AF681"/>
  <c r="AF682"/>
  <c r="AF683"/>
  <c r="AC10"/>
  <c r="AC11"/>
  <c r="AC12"/>
  <c r="AC13"/>
  <c r="AC14"/>
  <c r="AC15"/>
  <c r="AC16"/>
  <c r="AC17"/>
  <c r="AC18"/>
  <c r="AC19"/>
  <c r="AC20"/>
  <c r="AC21"/>
  <c r="AC22"/>
  <c r="AC23"/>
  <c r="AC24"/>
  <c r="AC25"/>
  <c r="AC26"/>
  <c r="AC27"/>
  <c r="AC28"/>
  <c r="AC29"/>
  <c r="AC30"/>
  <c r="AC32"/>
  <c r="AC33"/>
  <c r="AC34"/>
  <c r="AC35"/>
  <c r="AC36"/>
  <c r="AC37"/>
  <c r="AC38"/>
  <c r="AC39"/>
  <c r="AC40"/>
  <c r="AC41"/>
  <c r="AC42"/>
  <c r="AC31"/>
  <c r="AC43"/>
  <c r="AC44"/>
  <c r="AC45"/>
  <c r="AC46"/>
  <c r="AC47"/>
  <c r="AC48"/>
  <c r="AC49"/>
  <c r="AC50"/>
  <c r="AC51"/>
  <c r="AC52"/>
  <c r="AC53"/>
  <c r="AC54"/>
  <c r="AC55"/>
  <c r="AC56"/>
  <c r="AC57"/>
  <c r="AC58"/>
  <c r="AC59"/>
  <c r="AC61"/>
  <c r="AC62"/>
  <c r="AC63"/>
  <c r="AC64"/>
  <c r="AC65"/>
  <c r="AC66"/>
  <c r="AC67"/>
  <c r="AC68"/>
  <c r="AC60"/>
  <c r="AC69"/>
  <c r="AC70"/>
  <c r="AC71"/>
  <c r="AC72"/>
  <c r="AC73"/>
  <c r="AC74"/>
  <c r="AC75"/>
  <c r="AC76"/>
  <c r="AC77"/>
  <c r="AC78"/>
  <c r="AC79"/>
  <c r="AC80"/>
  <c r="AC81"/>
  <c r="AC82"/>
  <c r="AC83"/>
  <c r="AC84"/>
  <c r="AC85"/>
  <c r="AC86"/>
  <c r="AC87"/>
  <c r="AC88"/>
  <c r="AC89"/>
  <c r="AC90"/>
  <c r="AC91"/>
  <c r="AC92"/>
  <c r="AC93"/>
  <c r="AC94"/>
  <c r="AC95"/>
  <c r="AC102"/>
  <c r="AC103"/>
  <c r="AC104"/>
  <c r="AC96"/>
  <c r="AC97"/>
  <c r="AC98"/>
  <c r="AC105"/>
  <c r="AC122"/>
  <c r="AC117"/>
  <c r="AC106"/>
  <c r="AC107"/>
  <c r="AC118"/>
  <c r="AC119"/>
  <c r="AC114"/>
  <c r="AC99"/>
  <c r="AC123"/>
  <c r="AC100"/>
  <c r="AC108"/>
  <c r="AC109"/>
  <c r="AC110"/>
  <c r="AC111"/>
  <c r="AC121"/>
  <c r="AC101"/>
  <c r="AC112"/>
  <c r="AC113"/>
  <c r="AC120"/>
  <c r="AC115"/>
  <c r="AC116"/>
  <c r="AC124"/>
  <c r="AC125"/>
  <c r="AC126"/>
  <c r="AC127"/>
  <c r="AC128"/>
  <c r="AC129"/>
  <c r="AC130"/>
  <c r="AC131"/>
  <c r="AC132"/>
  <c r="AC133"/>
  <c r="AC134"/>
  <c r="AC135"/>
  <c r="AC136"/>
  <c r="AC137"/>
  <c r="AC138"/>
  <c r="AC139"/>
  <c r="AC140"/>
  <c r="AC141"/>
  <c r="AC142"/>
  <c r="AC144"/>
  <c r="AC145"/>
  <c r="AC146"/>
  <c r="AC147"/>
  <c r="AC148"/>
  <c r="AC143"/>
  <c r="AC149"/>
  <c r="AC150"/>
  <c r="AC151"/>
  <c r="AC152"/>
  <c r="AC153"/>
  <c r="AC154"/>
  <c r="AC155"/>
  <c r="AC182"/>
  <c r="AC156"/>
  <c r="AC158"/>
  <c r="AC159"/>
  <c r="AC160"/>
  <c r="AC161"/>
  <c r="AC162"/>
  <c r="AC163"/>
  <c r="AC164"/>
  <c r="AC165"/>
  <c r="AC177"/>
  <c r="AC166"/>
  <c r="AC167"/>
  <c r="AC168"/>
  <c r="AC169"/>
  <c r="AC170"/>
  <c r="AC171"/>
  <c r="AC172"/>
  <c r="AC173"/>
  <c r="AC174"/>
  <c r="AC175"/>
  <c r="AC176"/>
  <c r="AC178"/>
  <c r="AC180"/>
  <c r="AC179"/>
  <c r="AC157"/>
  <c r="AC181"/>
  <c r="AC183"/>
  <c r="AC187"/>
  <c r="AC190"/>
  <c r="AC207"/>
  <c r="AC208"/>
  <c r="AC209"/>
  <c r="AC210"/>
  <c r="AC211"/>
  <c r="AC212"/>
  <c r="AC213"/>
  <c r="AC214"/>
  <c r="AC215"/>
  <c r="AC216"/>
  <c r="AC217"/>
  <c r="AC218"/>
  <c r="AC219"/>
  <c r="AC220"/>
  <c r="AC222"/>
  <c r="AC221"/>
  <c r="AC223"/>
  <c r="AC224"/>
  <c r="AC226"/>
  <c r="AC227"/>
  <c r="AC228"/>
  <c r="AC225"/>
  <c r="AC229"/>
  <c r="AC237"/>
  <c r="AC238"/>
  <c r="AC239"/>
  <c r="AC230"/>
  <c r="AC231"/>
  <c r="AC232"/>
  <c r="AC233"/>
  <c r="AC234"/>
  <c r="AC235"/>
  <c r="AC236"/>
  <c r="AC240"/>
  <c r="AC241"/>
  <c r="AC242"/>
  <c r="AC243"/>
  <c r="AC244"/>
  <c r="AC245"/>
  <c r="AC246"/>
  <c r="AC247"/>
  <c r="AC248"/>
  <c r="AC249"/>
  <c r="AC250"/>
  <c r="AC251"/>
  <c r="AC252"/>
  <c r="AC253"/>
  <c r="AC254"/>
  <c r="AC255"/>
  <c r="AC256"/>
  <c r="AC258"/>
  <c r="AC259"/>
  <c r="AC260"/>
  <c r="AC261"/>
  <c r="AC262"/>
  <c r="AC257"/>
  <c r="AC264"/>
  <c r="AC265"/>
  <c r="AC266"/>
  <c r="AC263"/>
  <c r="AC267"/>
  <c r="AC268"/>
  <c r="AC269"/>
  <c r="AC270"/>
  <c r="AC271"/>
  <c r="AC272"/>
  <c r="AC273"/>
  <c r="AC274"/>
  <c r="AC275"/>
  <c r="AC277"/>
  <c r="AC278"/>
  <c r="AC279"/>
  <c r="AC280"/>
  <c r="AC281"/>
  <c r="AC282"/>
  <c r="AC276"/>
  <c r="AC283"/>
  <c r="AC284"/>
  <c r="AC285"/>
  <c r="AC286"/>
  <c r="AC287"/>
  <c r="AC288"/>
  <c r="AC289"/>
  <c r="AC290"/>
  <c r="AC291"/>
  <c r="AC292"/>
  <c r="AC293"/>
  <c r="AC294"/>
  <c r="AC295"/>
  <c r="AC296"/>
  <c r="AC297"/>
  <c r="AC298"/>
  <c r="AC299"/>
  <c r="AC300"/>
  <c r="AC301"/>
  <c r="AC302"/>
  <c r="AC303"/>
  <c r="AC304"/>
  <c r="AC305"/>
  <c r="AC306"/>
  <c r="AC317"/>
  <c r="AC318"/>
  <c r="AC307"/>
  <c r="AC323"/>
  <c r="AC308"/>
  <c r="AC309"/>
  <c r="AC311"/>
  <c r="AC312"/>
  <c r="AC313"/>
  <c r="AC314"/>
  <c r="AC315"/>
  <c r="AC342"/>
  <c r="AC316"/>
  <c r="AC319"/>
  <c r="AC320"/>
  <c r="AC345"/>
  <c r="AC321"/>
  <c r="AC322"/>
  <c r="AC324"/>
  <c r="AC310"/>
  <c r="AC325"/>
  <c r="AC326"/>
  <c r="AC327"/>
  <c r="AC328"/>
  <c r="AC349"/>
  <c r="AC329"/>
  <c r="AC330"/>
  <c r="AC353"/>
  <c r="AC331"/>
  <c r="AC354"/>
  <c r="AC332"/>
  <c r="AC356"/>
  <c r="AC333"/>
  <c r="AC358"/>
  <c r="AC359"/>
  <c r="AC360"/>
  <c r="AC334"/>
  <c r="AC335"/>
  <c r="AC336"/>
  <c r="AC337"/>
  <c r="AC338"/>
  <c r="AC339"/>
  <c r="AC362"/>
  <c r="AC340"/>
  <c r="AC341"/>
  <c r="AC343"/>
  <c r="AC344"/>
  <c r="AC346"/>
  <c r="AC347"/>
  <c r="AC348"/>
  <c r="AC350"/>
  <c r="AC351"/>
  <c r="AC352"/>
  <c r="AC355"/>
  <c r="AC357"/>
  <c r="AC361"/>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2"/>
  <c r="AC473"/>
  <c r="AC474"/>
  <c r="AC475"/>
  <c r="AC476"/>
  <c r="AC471"/>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4"/>
  <c r="AC545"/>
  <c r="AC546"/>
  <c r="AC547"/>
  <c r="AC548"/>
  <c r="AC543"/>
  <c r="AC549"/>
  <c r="AC550"/>
  <c r="AC551"/>
  <c r="AC552"/>
  <c r="AC553"/>
  <c r="AC554"/>
  <c r="AC555"/>
  <c r="AC556"/>
  <c r="AC557"/>
  <c r="AC558"/>
  <c r="AC559"/>
  <c r="AC560"/>
  <c r="AC561"/>
  <c r="AC562"/>
  <c r="AC563"/>
  <c r="AC565"/>
  <c r="AC566"/>
  <c r="AC567"/>
  <c r="AC568"/>
  <c r="AC569"/>
  <c r="AC570"/>
  <c r="AC572"/>
  <c r="AC573"/>
  <c r="AC574"/>
  <c r="AC575"/>
  <c r="AC576"/>
  <c r="AC577"/>
  <c r="AC578"/>
  <c r="AC579"/>
  <c r="AC580"/>
  <c r="AC581"/>
  <c r="AC582"/>
  <c r="AC583"/>
  <c r="AC584"/>
  <c r="AC585"/>
  <c r="AC586"/>
  <c r="AC587"/>
  <c r="AC588"/>
  <c r="AC564"/>
  <c r="AC589"/>
  <c r="AC590"/>
  <c r="AC591"/>
  <c r="AC592"/>
  <c r="AC593"/>
  <c r="AC594"/>
  <c r="AC595"/>
  <c r="AC571"/>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7"/>
  <c r="AC668"/>
  <c r="AC669"/>
  <c r="AC666"/>
  <c r="AC670"/>
  <c r="AC671"/>
  <c r="AC672"/>
  <c r="AC673"/>
  <c r="AC674"/>
  <c r="AC675"/>
  <c r="AC676"/>
  <c r="AC677"/>
  <c r="AC678"/>
  <c r="AC679"/>
  <c r="AC680"/>
  <c r="AC681"/>
  <c r="AC682"/>
  <c r="AC683"/>
  <c r="Z10"/>
  <c r="Z11"/>
  <c r="Z12"/>
  <c r="Z13"/>
  <c r="Z14"/>
  <c r="Z15"/>
  <c r="Z16"/>
  <c r="Z17"/>
  <c r="Z18"/>
  <c r="Z19"/>
  <c r="Z20"/>
  <c r="Z21"/>
  <c r="Z22"/>
  <c r="Z23"/>
  <c r="Z24"/>
  <c r="Z25"/>
  <c r="Z26"/>
  <c r="Z27"/>
  <c r="Z28"/>
  <c r="Z29"/>
  <c r="Z30"/>
  <c r="Z32"/>
  <c r="Z33"/>
  <c r="Z34"/>
  <c r="Z35"/>
  <c r="Z36"/>
  <c r="Z37"/>
  <c r="Z38"/>
  <c r="Z39"/>
  <c r="Z40"/>
  <c r="Z41"/>
  <c r="Z42"/>
  <c r="Z31"/>
  <c r="Z43"/>
  <c r="Z44"/>
  <c r="Z45"/>
  <c r="Z46"/>
  <c r="Z47"/>
  <c r="Z48"/>
  <c r="Z49"/>
  <c r="Z50"/>
  <c r="Z51"/>
  <c r="Z52"/>
  <c r="Z53"/>
  <c r="Z54"/>
  <c r="Z55"/>
  <c r="Z56"/>
  <c r="Z57"/>
  <c r="Z58"/>
  <c r="Z59"/>
  <c r="Z61"/>
  <c r="Z62"/>
  <c r="Z63"/>
  <c r="Z64"/>
  <c r="Z65"/>
  <c r="Z66"/>
  <c r="Z67"/>
  <c r="Z68"/>
  <c r="Z60"/>
  <c r="Z69"/>
  <c r="Z70"/>
  <c r="Z71"/>
  <c r="Z72"/>
  <c r="Z73"/>
  <c r="Z74"/>
  <c r="Z75"/>
  <c r="Z76"/>
  <c r="Z77"/>
  <c r="Z78"/>
  <c r="Z79"/>
  <c r="Z80"/>
  <c r="Z81"/>
  <c r="Z82"/>
  <c r="Z83"/>
  <c r="Z84"/>
  <c r="Z85"/>
  <c r="Z86"/>
  <c r="Z87"/>
  <c r="Z88"/>
  <c r="Z89"/>
  <c r="Z90"/>
  <c r="Z91"/>
  <c r="Z92"/>
  <c r="Z93"/>
  <c r="Z94"/>
  <c r="Z95"/>
  <c r="Z102"/>
  <c r="Z103"/>
  <c r="Z104"/>
  <c r="Z96"/>
  <c r="Z97"/>
  <c r="Z98"/>
  <c r="Z105"/>
  <c r="Z122"/>
  <c r="Z117"/>
  <c r="Z106"/>
  <c r="Z107"/>
  <c r="Z118"/>
  <c r="Z119"/>
  <c r="Z114"/>
  <c r="Z99"/>
  <c r="Z123"/>
  <c r="Z100"/>
  <c r="Z108"/>
  <c r="Z109"/>
  <c r="Z110"/>
  <c r="Z111"/>
  <c r="Z121"/>
  <c r="Z101"/>
  <c r="Z112"/>
  <c r="Z113"/>
  <c r="Z120"/>
  <c r="Z115"/>
  <c r="Z116"/>
  <c r="Z124"/>
  <c r="Z125"/>
  <c r="Z126"/>
  <c r="Z127"/>
  <c r="Z128"/>
  <c r="Z129"/>
  <c r="Z130"/>
  <c r="Z131"/>
  <c r="Z132"/>
  <c r="Z133"/>
  <c r="Z134"/>
  <c r="Z135"/>
  <c r="Z136"/>
  <c r="Z137"/>
  <c r="Z138"/>
  <c r="Z139"/>
  <c r="Z140"/>
  <c r="Z141"/>
  <c r="Z142"/>
  <c r="Z144"/>
  <c r="Z145"/>
  <c r="Z146"/>
  <c r="Z147"/>
  <c r="Z148"/>
  <c r="Z143"/>
  <c r="Z149"/>
  <c r="Z150"/>
  <c r="Z151"/>
  <c r="Z152"/>
  <c r="Z153"/>
  <c r="Z154"/>
  <c r="Z155"/>
  <c r="Z182"/>
  <c r="Z156"/>
  <c r="Z158"/>
  <c r="Z159"/>
  <c r="Z160"/>
  <c r="Z161"/>
  <c r="Z162"/>
  <c r="Z163"/>
  <c r="Z164"/>
  <c r="Z165"/>
  <c r="Z177"/>
  <c r="Z166"/>
  <c r="Z167"/>
  <c r="Z168"/>
  <c r="Z169"/>
  <c r="Z170"/>
  <c r="Z171"/>
  <c r="Z172"/>
  <c r="Z173"/>
  <c r="Z174"/>
  <c r="Z175"/>
  <c r="Z176"/>
  <c r="Z178"/>
  <c r="Z180"/>
  <c r="Z179"/>
  <c r="Z157"/>
  <c r="Z181"/>
  <c r="Z183"/>
  <c r="Z184"/>
  <c r="Z185"/>
  <c r="Z187"/>
  <c r="Z188"/>
  <c r="Z186"/>
  <c r="Z190"/>
  <c r="Z189"/>
  <c r="Z191"/>
  <c r="Z192"/>
  <c r="Z193"/>
  <c r="Z194"/>
  <c r="Z195"/>
  <c r="Z196"/>
  <c r="Z197"/>
  <c r="Z198"/>
  <c r="Z199"/>
  <c r="Z200"/>
  <c r="Z201"/>
  <c r="Z202"/>
  <c r="Z203"/>
  <c r="Z204"/>
  <c r="Z205"/>
  <c r="Z206"/>
  <c r="Z207"/>
  <c r="Z208"/>
  <c r="Z209"/>
  <c r="Z210"/>
  <c r="Z211"/>
  <c r="Z212"/>
  <c r="Z213"/>
  <c r="Z214"/>
  <c r="Z215"/>
  <c r="Z216"/>
  <c r="Z217"/>
  <c r="Z218"/>
  <c r="Z219"/>
  <c r="Z220"/>
  <c r="Z222"/>
  <c r="Z221"/>
  <c r="Z223"/>
  <c r="Z224"/>
  <c r="Z226"/>
  <c r="Z227"/>
  <c r="Z228"/>
  <c r="Z225"/>
  <c r="Z229"/>
  <c r="Z237"/>
  <c r="Z238"/>
  <c r="Z239"/>
  <c r="Z230"/>
  <c r="Z231"/>
  <c r="Z232"/>
  <c r="Z233"/>
  <c r="Z234"/>
  <c r="Z235"/>
  <c r="Z236"/>
  <c r="Z240"/>
  <c r="Z241"/>
  <c r="Z242"/>
  <c r="Z243"/>
  <c r="Z244"/>
  <c r="Z245"/>
  <c r="Z246"/>
  <c r="Z247"/>
  <c r="Z248"/>
  <c r="Z249"/>
  <c r="Z250"/>
  <c r="Z251"/>
  <c r="Z252"/>
  <c r="Z253"/>
  <c r="Z254"/>
  <c r="Z255"/>
  <c r="Z256"/>
  <c r="Z258"/>
  <c r="Z259"/>
  <c r="Z260"/>
  <c r="Z261"/>
  <c r="Z262"/>
  <c r="Z257"/>
  <c r="Z264"/>
  <c r="Z265"/>
  <c r="Z266"/>
  <c r="Z263"/>
  <c r="Z267"/>
  <c r="Z268"/>
  <c r="Z269"/>
  <c r="Z270"/>
  <c r="Z271"/>
  <c r="Z272"/>
  <c r="Z273"/>
  <c r="Z274"/>
  <c r="Z275"/>
  <c r="Z277"/>
  <c r="Z278"/>
  <c r="Z279"/>
  <c r="Z280"/>
  <c r="Z281"/>
  <c r="Z282"/>
  <c r="Z276"/>
  <c r="Z283"/>
  <c r="Z284"/>
  <c r="Z285"/>
  <c r="Z286"/>
  <c r="Z287"/>
  <c r="Z288"/>
  <c r="Z289"/>
  <c r="Z290"/>
  <c r="Z291"/>
  <c r="Z292"/>
  <c r="Z293"/>
  <c r="Z294"/>
  <c r="Z295"/>
  <c r="Z296"/>
  <c r="Z297"/>
  <c r="Z298"/>
  <c r="Z299"/>
  <c r="Z300"/>
  <c r="Z301"/>
  <c r="Z302"/>
  <c r="Z303"/>
  <c r="Z304"/>
  <c r="Z305"/>
  <c r="Z306"/>
  <c r="Z317"/>
  <c r="Z318"/>
  <c r="Z307"/>
  <c r="Z323"/>
  <c r="Z308"/>
  <c r="Z309"/>
  <c r="Z311"/>
  <c r="Z312"/>
  <c r="Z313"/>
  <c r="Z314"/>
  <c r="Z315"/>
  <c r="Z342"/>
  <c r="Z316"/>
  <c r="Z319"/>
  <c r="Z320"/>
  <c r="Z345"/>
  <c r="Z321"/>
  <c r="Z322"/>
  <c r="Z324"/>
  <c r="Z310"/>
  <c r="Z325"/>
  <c r="Z326"/>
  <c r="Z327"/>
  <c r="Z328"/>
  <c r="Z349"/>
  <c r="Z329"/>
  <c r="Z330"/>
  <c r="Z353"/>
  <c r="Z331"/>
  <c r="Z354"/>
  <c r="Z332"/>
  <c r="Z356"/>
  <c r="Z333"/>
  <c r="Z358"/>
  <c r="Z359"/>
  <c r="Z360"/>
  <c r="Z334"/>
  <c r="Z335"/>
  <c r="Z336"/>
  <c r="Z337"/>
  <c r="Z338"/>
  <c r="Z339"/>
  <c r="Z362"/>
  <c r="Z340"/>
  <c r="Z341"/>
  <c r="Z343"/>
  <c r="Z344"/>
  <c r="Z346"/>
  <c r="Z347"/>
  <c r="Z348"/>
  <c r="Z350"/>
  <c r="Z351"/>
  <c r="Z352"/>
  <c r="Z355"/>
  <c r="Z357"/>
  <c r="Z361"/>
  <c r="Z363"/>
  <c r="Z364"/>
  <c r="Z365"/>
  <c r="Z366"/>
  <c r="Z367"/>
  <c r="Z368"/>
  <c r="Z369"/>
  <c r="Z370"/>
  <c r="Z371"/>
  <c r="Z372"/>
  <c r="Z373"/>
  <c r="Z374"/>
  <c r="Z375"/>
  <c r="Z376"/>
  <c r="Z377"/>
  <c r="Z378"/>
  <c r="Z379"/>
  <c r="Z380"/>
  <c r="Z381"/>
  <c r="Z382"/>
  <c r="Z383"/>
  <c r="Z384"/>
  <c r="Z385"/>
  <c r="Z386"/>
  <c r="Z387"/>
  <c r="Z388"/>
  <c r="Z389"/>
  <c r="Z390"/>
  <c r="Z391"/>
  <c r="Z392"/>
  <c r="Z393"/>
  <c r="Z394"/>
  <c r="Z395"/>
  <c r="Z396"/>
  <c r="Z397"/>
  <c r="Z398"/>
  <c r="Z399"/>
  <c r="Z400"/>
  <c r="Z401"/>
  <c r="Z402"/>
  <c r="Z403"/>
  <c r="Z404"/>
  <c r="Z405"/>
  <c r="Z406"/>
  <c r="Z407"/>
  <c r="Z408"/>
  <c r="Z409"/>
  <c r="Z410"/>
  <c r="Z411"/>
  <c r="Z412"/>
  <c r="Z413"/>
  <c r="Z414"/>
  <c r="Z415"/>
  <c r="Z416"/>
  <c r="Z417"/>
  <c r="Z418"/>
  <c r="Z419"/>
  <c r="Z420"/>
  <c r="Z421"/>
  <c r="Z422"/>
  <c r="Z423"/>
  <c r="Z424"/>
  <c r="Z425"/>
  <c r="Z426"/>
  <c r="Z427"/>
  <c r="Z428"/>
  <c r="Z429"/>
  <c r="Z430"/>
  <c r="Z431"/>
  <c r="Z432"/>
  <c r="Z433"/>
  <c r="Z434"/>
  <c r="Z435"/>
  <c r="Z436"/>
  <c r="Z437"/>
  <c r="Z438"/>
  <c r="Z439"/>
  <c r="Z440"/>
  <c r="Z441"/>
  <c r="Z442"/>
  <c r="Z443"/>
  <c r="Z444"/>
  <c r="Z445"/>
  <c r="Z446"/>
  <c r="Z447"/>
  <c r="Z448"/>
  <c r="Z449"/>
  <c r="Z450"/>
  <c r="Z451"/>
  <c r="Z452"/>
  <c r="Z453"/>
  <c r="Z454"/>
  <c r="Z455"/>
  <c r="Z456"/>
  <c r="Z457"/>
  <c r="Z458"/>
  <c r="Z459"/>
  <c r="Z460"/>
  <c r="Z461"/>
  <c r="Z462"/>
  <c r="Z463"/>
  <c r="Z464"/>
  <c r="Z465"/>
  <c r="Z466"/>
  <c r="Z467"/>
  <c r="Z468"/>
  <c r="Z469"/>
  <c r="Z470"/>
  <c r="Z472"/>
  <c r="Z473"/>
  <c r="Z474"/>
  <c r="Z475"/>
  <c r="Z476"/>
  <c r="Z471"/>
  <c r="Z477"/>
  <c r="Z478"/>
  <c r="Z479"/>
  <c r="Z480"/>
  <c r="Z481"/>
  <c r="Z482"/>
  <c r="Z483"/>
  <c r="Z484"/>
  <c r="Z485"/>
  <c r="Z486"/>
  <c r="Z487"/>
  <c r="Z488"/>
  <c r="Z489"/>
  <c r="Z490"/>
  <c r="Z491"/>
  <c r="Z492"/>
  <c r="Z493"/>
  <c r="Z494"/>
  <c r="Z495"/>
  <c r="Z496"/>
  <c r="Z497"/>
  <c r="Z498"/>
  <c r="Z499"/>
  <c r="Z500"/>
  <c r="Z501"/>
  <c r="Z502"/>
  <c r="Z503"/>
  <c r="Z504"/>
  <c r="Z505"/>
  <c r="Z506"/>
  <c r="Z507"/>
  <c r="Z508"/>
  <c r="Z509"/>
  <c r="Z510"/>
  <c r="Z511"/>
  <c r="Z512"/>
  <c r="Z513"/>
  <c r="Z514"/>
  <c r="Z515"/>
  <c r="Z516"/>
  <c r="Z517"/>
  <c r="Z518"/>
  <c r="Z519"/>
  <c r="Z520"/>
  <c r="Z521"/>
  <c r="Z522"/>
  <c r="Z523"/>
  <c r="Z524"/>
  <c r="Z525"/>
  <c r="Z526"/>
  <c r="Z527"/>
  <c r="Z528"/>
  <c r="Z529"/>
  <c r="Z530"/>
  <c r="Z531"/>
  <c r="Z532"/>
  <c r="Z533"/>
  <c r="Z534"/>
  <c r="Z535"/>
  <c r="Z536"/>
  <c r="Z537"/>
  <c r="Z538"/>
  <c r="Z539"/>
  <c r="Z540"/>
  <c r="Z541"/>
  <c r="Z542"/>
  <c r="Z544"/>
  <c r="Z545"/>
  <c r="Z546"/>
  <c r="Z547"/>
  <c r="Z548"/>
  <c r="Z543"/>
  <c r="Z549"/>
  <c r="Z550"/>
  <c r="Z551"/>
  <c r="Z552"/>
  <c r="Z553"/>
  <c r="Z554"/>
  <c r="Z555"/>
  <c r="Z556"/>
  <c r="Z557"/>
  <c r="Z558"/>
  <c r="Z559"/>
  <c r="Z560"/>
  <c r="Z561"/>
  <c r="Z562"/>
  <c r="Z563"/>
  <c r="Z565"/>
  <c r="Z566"/>
  <c r="Z567"/>
  <c r="Z568"/>
  <c r="Z569"/>
  <c r="Z570"/>
  <c r="Z572"/>
  <c r="Z573"/>
  <c r="Z574"/>
  <c r="Z575"/>
  <c r="Z576"/>
  <c r="Z577"/>
  <c r="Z578"/>
  <c r="Z579"/>
  <c r="Z580"/>
  <c r="Z581"/>
  <c r="Z582"/>
  <c r="Z583"/>
  <c r="Z584"/>
  <c r="Z585"/>
  <c r="Z586"/>
  <c r="Z587"/>
  <c r="Z588"/>
  <c r="Z564"/>
  <c r="Z589"/>
  <c r="Z590"/>
  <c r="Z591"/>
  <c r="Z592"/>
  <c r="Z593"/>
  <c r="Z594"/>
  <c r="Z595"/>
  <c r="Z571"/>
  <c r="Z596"/>
  <c r="Z597"/>
  <c r="Z598"/>
  <c r="Z599"/>
  <c r="Z600"/>
  <c r="Z601"/>
  <c r="Z602"/>
  <c r="Z603"/>
  <c r="Z604"/>
  <c r="Z605"/>
  <c r="Z606"/>
  <c r="Z607"/>
  <c r="Z608"/>
  <c r="Z609"/>
  <c r="Z610"/>
  <c r="Z611"/>
  <c r="Z612"/>
  <c r="Z613"/>
  <c r="Z614"/>
  <c r="Z615"/>
  <c r="Z616"/>
  <c r="Z617"/>
  <c r="Z618"/>
  <c r="Z619"/>
  <c r="Z620"/>
  <c r="Z621"/>
  <c r="Z622"/>
  <c r="Z623"/>
  <c r="Z624"/>
  <c r="Z625"/>
  <c r="Z626"/>
  <c r="Z627"/>
  <c r="Z628"/>
  <c r="Z629"/>
  <c r="Z630"/>
  <c r="Z631"/>
  <c r="Z632"/>
  <c r="Z633"/>
  <c r="Z634"/>
  <c r="Z635"/>
  <c r="Z636"/>
  <c r="Z637"/>
  <c r="Z638"/>
  <c r="Z639"/>
  <c r="Z640"/>
  <c r="Z641"/>
  <c r="Z642"/>
  <c r="Z643"/>
  <c r="Z644"/>
  <c r="Z645"/>
  <c r="Z646"/>
  <c r="Z647"/>
  <c r="Z648"/>
  <c r="Z649"/>
  <c r="Z650"/>
  <c r="Z651"/>
  <c r="Z652"/>
  <c r="Z653"/>
  <c r="Z654"/>
  <c r="Z655"/>
  <c r="Z656"/>
  <c r="Z657"/>
  <c r="Z658"/>
  <c r="Z659"/>
  <c r="Z660"/>
  <c r="Z661"/>
  <c r="Z662"/>
  <c r="Z663"/>
  <c r="Z664"/>
  <c r="Z665"/>
  <c r="Z667"/>
  <c r="Z668"/>
  <c r="Z669"/>
  <c r="Z666"/>
  <c r="Z670"/>
  <c r="Z671"/>
  <c r="Z672"/>
  <c r="Z673"/>
  <c r="Z674"/>
  <c r="Z675"/>
  <c r="Z676"/>
  <c r="Z677"/>
  <c r="Z678"/>
  <c r="Z679"/>
  <c r="Z680"/>
  <c r="Z681"/>
  <c r="Z682"/>
  <c r="Z683"/>
  <c r="W10"/>
  <c r="W11"/>
  <c r="W12"/>
  <c r="W13"/>
  <c r="W14"/>
  <c r="W15"/>
  <c r="W16"/>
  <c r="W17"/>
  <c r="W18"/>
  <c r="W19"/>
  <c r="W20"/>
  <c r="W21"/>
  <c r="W22"/>
  <c r="W23"/>
  <c r="W24"/>
  <c r="W25"/>
  <c r="W26"/>
  <c r="W27"/>
  <c r="W28"/>
  <c r="W29"/>
  <c r="W30"/>
  <c r="W32"/>
  <c r="W33"/>
  <c r="W34"/>
  <c r="W35"/>
  <c r="W36"/>
  <c r="W37"/>
  <c r="W38"/>
  <c r="W39"/>
  <c r="W40"/>
  <c r="W41"/>
  <c r="W42"/>
  <c r="W31"/>
  <c r="W43"/>
  <c r="W44"/>
  <c r="W45"/>
  <c r="W46"/>
  <c r="W47"/>
  <c r="W48"/>
  <c r="W49"/>
  <c r="W50"/>
  <c r="W51"/>
  <c r="W52"/>
  <c r="W53"/>
  <c r="W54"/>
  <c r="W55"/>
  <c r="W56"/>
  <c r="W57"/>
  <c r="W58"/>
  <c r="W59"/>
  <c r="W61"/>
  <c r="W62"/>
  <c r="W63"/>
  <c r="W64"/>
  <c r="W65"/>
  <c r="W66"/>
  <c r="W67"/>
  <c r="W68"/>
  <c r="W60"/>
  <c r="W69"/>
  <c r="W70"/>
  <c r="W71"/>
  <c r="W72"/>
  <c r="W73"/>
  <c r="W74"/>
  <c r="W75"/>
  <c r="W76"/>
  <c r="W77"/>
  <c r="W78"/>
  <c r="W79"/>
  <c r="W80"/>
  <c r="W81"/>
  <c r="W82"/>
  <c r="W83"/>
  <c r="W84"/>
  <c r="W85"/>
  <c r="W86"/>
  <c r="W87"/>
  <c r="W88"/>
  <c r="W89"/>
  <c r="W90"/>
  <c r="W91"/>
  <c r="W92"/>
  <c r="W93"/>
  <c r="W94"/>
  <c r="W95"/>
  <c r="W102"/>
  <c r="W103"/>
  <c r="W104"/>
  <c r="W96"/>
  <c r="W97"/>
  <c r="W98"/>
  <c r="W105"/>
  <c r="W122"/>
  <c r="W117"/>
  <c r="W106"/>
  <c r="W107"/>
  <c r="W118"/>
  <c r="W119"/>
  <c r="W114"/>
  <c r="W99"/>
  <c r="W123"/>
  <c r="W100"/>
  <c r="W108"/>
  <c r="W109"/>
  <c r="W110"/>
  <c r="W111"/>
  <c r="W121"/>
  <c r="W101"/>
  <c r="W112"/>
  <c r="W113"/>
  <c r="W120"/>
  <c r="W115"/>
  <c r="W116"/>
  <c r="W124"/>
  <c r="W125"/>
  <c r="W126"/>
  <c r="W127"/>
  <c r="W128"/>
  <c r="W129"/>
  <c r="W130"/>
  <c r="W131"/>
  <c r="W132"/>
  <c r="W133"/>
  <c r="W134"/>
  <c r="W135"/>
  <c r="W136"/>
  <c r="W137"/>
  <c r="W138"/>
  <c r="W139"/>
  <c r="W140"/>
  <c r="W141"/>
  <c r="W142"/>
  <c r="W144"/>
  <c r="W145"/>
  <c r="W146"/>
  <c r="W147"/>
  <c r="W148"/>
  <c r="W143"/>
  <c r="W149"/>
  <c r="W150"/>
  <c r="W151"/>
  <c r="W152"/>
  <c r="W153"/>
  <c r="W154"/>
  <c r="W155"/>
  <c r="W182"/>
  <c r="W156"/>
  <c r="W158"/>
  <c r="W159"/>
  <c r="W160"/>
  <c r="W161"/>
  <c r="W162"/>
  <c r="W163"/>
  <c r="W164"/>
  <c r="W165"/>
  <c r="W177"/>
  <c r="W166"/>
  <c r="W167"/>
  <c r="W168"/>
  <c r="W169"/>
  <c r="W170"/>
  <c r="W171"/>
  <c r="W172"/>
  <c r="W173"/>
  <c r="W174"/>
  <c r="W175"/>
  <c r="W176"/>
  <c r="W178"/>
  <c r="W180"/>
  <c r="W179"/>
  <c r="W157"/>
  <c r="W181"/>
  <c r="W207"/>
  <c r="W208"/>
  <c r="W209"/>
  <c r="W210"/>
  <c r="W211"/>
  <c r="W212"/>
  <c r="W213"/>
  <c r="W214"/>
  <c r="W215"/>
  <c r="W216"/>
  <c r="W217"/>
  <c r="W218"/>
  <c r="W219"/>
  <c r="W220"/>
  <c r="W222"/>
  <c r="W221"/>
  <c r="W223"/>
  <c r="W224"/>
  <c r="W226"/>
  <c r="W227"/>
  <c r="W228"/>
  <c r="W225"/>
  <c r="W229"/>
  <c r="W237"/>
  <c r="W238"/>
  <c r="W239"/>
  <c r="W230"/>
  <c r="W231"/>
  <c r="W232"/>
  <c r="W233"/>
  <c r="W234"/>
  <c r="W235"/>
  <c r="W236"/>
  <c r="W240"/>
  <c r="W241"/>
  <c r="W242"/>
  <c r="W243"/>
  <c r="W244"/>
  <c r="W245"/>
  <c r="W246"/>
  <c r="W247"/>
  <c r="W248"/>
  <c r="W249"/>
  <c r="W250"/>
  <c r="W251"/>
  <c r="W252"/>
  <c r="W253"/>
  <c r="W254"/>
  <c r="W255"/>
  <c r="W256"/>
  <c r="W258"/>
  <c r="W259"/>
  <c r="W260"/>
  <c r="W261"/>
  <c r="W262"/>
  <c r="W257"/>
  <c r="W264"/>
  <c r="W265"/>
  <c r="W266"/>
  <c r="W263"/>
  <c r="W267"/>
  <c r="W268"/>
  <c r="W269"/>
  <c r="W270"/>
  <c r="W271"/>
  <c r="W272"/>
  <c r="W273"/>
  <c r="W274"/>
  <c r="W275"/>
  <c r="W277"/>
  <c r="W278"/>
  <c r="W279"/>
  <c r="W280"/>
  <c r="W281"/>
  <c r="W282"/>
  <c r="W276"/>
  <c r="W283"/>
  <c r="W284"/>
  <c r="W285"/>
  <c r="W286"/>
  <c r="W287"/>
  <c r="W288"/>
  <c r="W289"/>
  <c r="W290"/>
  <c r="W291"/>
  <c r="W292"/>
  <c r="W293"/>
  <c r="W294"/>
  <c r="W295"/>
  <c r="W296"/>
  <c r="W297"/>
  <c r="W298"/>
  <c r="W299"/>
  <c r="W300"/>
  <c r="W301"/>
  <c r="W302"/>
  <c r="W303"/>
  <c r="W304"/>
  <c r="W305"/>
  <c r="W306"/>
  <c r="W317"/>
  <c r="W318"/>
  <c r="W307"/>
  <c r="W323"/>
  <c r="W308"/>
  <c r="W309"/>
  <c r="W311"/>
  <c r="W312"/>
  <c r="W313"/>
  <c r="W314"/>
  <c r="W315"/>
  <c r="W342"/>
  <c r="W316"/>
  <c r="W319"/>
  <c r="W320"/>
  <c r="W345"/>
  <c r="W321"/>
  <c r="W322"/>
  <c r="W324"/>
  <c r="W310"/>
  <c r="W325"/>
  <c r="W326"/>
  <c r="W327"/>
  <c r="W328"/>
  <c r="W349"/>
  <c r="W329"/>
  <c r="W330"/>
  <c r="W353"/>
  <c r="W331"/>
  <c r="W354"/>
  <c r="W332"/>
  <c r="W356"/>
  <c r="W333"/>
  <c r="W358"/>
  <c r="W359"/>
  <c r="W360"/>
  <c r="W334"/>
  <c r="W335"/>
  <c r="W336"/>
  <c r="W337"/>
  <c r="W338"/>
  <c r="W339"/>
  <c r="W362"/>
  <c r="W340"/>
  <c r="W341"/>
  <c r="W343"/>
  <c r="W344"/>
  <c r="W346"/>
  <c r="W347"/>
  <c r="W348"/>
  <c r="W350"/>
  <c r="W351"/>
  <c r="W352"/>
  <c r="W355"/>
  <c r="W357"/>
  <c r="W361"/>
  <c r="W363"/>
  <c r="W364"/>
  <c r="W365"/>
  <c r="W366"/>
  <c r="W367"/>
  <c r="W368"/>
  <c r="W369"/>
  <c r="W370"/>
  <c r="W371"/>
  <c r="W372"/>
  <c r="W373"/>
  <c r="W374"/>
  <c r="W375"/>
  <c r="W376"/>
  <c r="W377"/>
  <c r="W378"/>
  <c r="W379"/>
  <c r="W380"/>
  <c r="W381"/>
  <c r="W382"/>
  <c r="W383"/>
  <c r="W384"/>
  <c r="W385"/>
  <c r="W386"/>
  <c r="W387"/>
  <c r="W388"/>
  <c r="W389"/>
  <c r="W390"/>
  <c r="W391"/>
  <c r="W392"/>
  <c r="W393"/>
  <c r="W394"/>
  <c r="W395"/>
  <c r="W396"/>
  <c r="W397"/>
  <c r="W398"/>
  <c r="W399"/>
  <c r="W400"/>
  <c r="W401"/>
  <c r="W402"/>
  <c r="W403"/>
  <c r="W404"/>
  <c r="W405"/>
  <c r="W406"/>
  <c r="W407"/>
  <c r="W408"/>
  <c r="W409"/>
  <c r="W410"/>
  <c r="W411"/>
  <c r="W412"/>
  <c r="W413"/>
  <c r="W414"/>
  <c r="W415"/>
  <c r="W416"/>
  <c r="W417"/>
  <c r="W418"/>
  <c r="W419"/>
  <c r="W420"/>
  <c r="W421"/>
  <c r="W422"/>
  <c r="W423"/>
  <c r="W424"/>
  <c r="W425"/>
  <c r="W426"/>
  <c r="W427"/>
  <c r="W428"/>
  <c r="W429"/>
  <c r="W430"/>
  <c r="W431"/>
  <c r="W432"/>
  <c r="W433"/>
  <c r="W434"/>
  <c r="W435"/>
  <c r="W436"/>
  <c r="W437"/>
  <c r="W438"/>
  <c r="W439"/>
  <c r="W440"/>
  <c r="W441"/>
  <c r="W442"/>
  <c r="W443"/>
  <c r="W444"/>
  <c r="W445"/>
  <c r="W446"/>
  <c r="W447"/>
  <c r="W448"/>
  <c r="W449"/>
  <c r="W450"/>
  <c r="W451"/>
  <c r="W452"/>
  <c r="W453"/>
  <c r="W454"/>
  <c r="W455"/>
  <c r="W456"/>
  <c r="W457"/>
  <c r="W458"/>
  <c r="W459"/>
  <c r="W460"/>
  <c r="W461"/>
  <c r="W462"/>
  <c r="W463"/>
  <c r="W464"/>
  <c r="W465"/>
  <c r="W466"/>
  <c r="W467"/>
  <c r="W468"/>
  <c r="W469"/>
  <c r="W470"/>
  <c r="W472"/>
  <c r="W473"/>
  <c r="W474"/>
  <c r="W475"/>
  <c r="W476"/>
  <c r="W471"/>
  <c r="W477"/>
  <c r="W478"/>
  <c r="W479"/>
  <c r="W480"/>
  <c r="W481"/>
  <c r="W482"/>
  <c r="W483"/>
  <c r="W484"/>
  <c r="W485"/>
  <c r="W486"/>
  <c r="W487"/>
  <c r="W488"/>
  <c r="W489"/>
  <c r="W490"/>
  <c r="W491"/>
  <c r="W492"/>
  <c r="W493"/>
  <c r="W494"/>
  <c r="W495"/>
  <c r="W496"/>
  <c r="W497"/>
  <c r="W498"/>
  <c r="W499"/>
  <c r="W500"/>
  <c r="W501"/>
  <c r="W502"/>
  <c r="W503"/>
  <c r="W504"/>
  <c r="W505"/>
  <c r="W506"/>
  <c r="W507"/>
  <c r="W508"/>
  <c r="W509"/>
  <c r="W510"/>
  <c r="W511"/>
  <c r="W512"/>
  <c r="W513"/>
  <c r="W514"/>
  <c r="W515"/>
  <c r="W516"/>
  <c r="W517"/>
  <c r="W518"/>
  <c r="W519"/>
  <c r="W520"/>
  <c r="W521"/>
  <c r="W522"/>
  <c r="W523"/>
  <c r="W524"/>
  <c r="W525"/>
  <c r="W526"/>
  <c r="W527"/>
  <c r="W528"/>
  <c r="W529"/>
  <c r="W530"/>
  <c r="W531"/>
  <c r="W532"/>
  <c r="W533"/>
  <c r="W534"/>
  <c r="W535"/>
  <c r="W536"/>
  <c r="W537"/>
  <c r="W538"/>
  <c r="W539"/>
  <c r="W540"/>
  <c r="W541"/>
  <c r="W542"/>
  <c r="W544"/>
  <c r="W545"/>
  <c r="W546"/>
  <c r="W547"/>
  <c r="W548"/>
  <c r="W543"/>
  <c r="W549"/>
  <c r="W550"/>
  <c r="W551"/>
  <c r="W552"/>
  <c r="W553"/>
  <c r="W554"/>
  <c r="W555"/>
  <c r="W556"/>
  <c r="W557"/>
  <c r="W558"/>
  <c r="W559"/>
  <c r="W560"/>
  <c r="W561"/>
  <c r="W562"/>
  <c r="W563"/>
  <c r="W565"/>
  <c r="W566"/>
  <c r="W567"/>
  <c r="W568"/>
  <c r="W569"/>
  <c r="W570"/>
  <c r="W572"/>
  <c r="W573"/>
  <c r="W574"/>
  <c r="W575"/>
  <c r="W576"/>
  <c r="W577"/>
  <c r="W578"/>
  <c r="W579"/>
  <c r="W580"/>
  <c r="W581"/>
  <c r="W582"/>
  <c r="W583"/>
  <c r="W584"/>
  <c r="W585"/>
  <c r="W586"/>
  <c r="W587"/>
  <c r="W588"/>
  <c r="W564"/>
  <c r="W589"/>
  <c r="W590"/>
  <c r="W591"/>
  <c r="W592"/>
  <c r="W593"/>
  <c r="W594"/>
  <c r="W595"/>
  <c r="W571"/>
  <c r="W596"/>
  <c r="W597"/>
  <c r="W598"/>
  <c r="W599"/>
  <c r="W600"/>
  <c r="W601"/>
  <c r="W602"/>
  <c r="W603"/>
  <c r="W604"/>
  <c r="W605"/>
  <c r="W606"/>
  <c r="W607"/>
  <c r="W608"/>
  <c r="W609"/>
  <c r="W610"/>
  <c r="W611"/>
  <c r="W612"/>
  <c r="W613"/>
  <c r="W614"/>
  <c r="W615"/>
  <c r="W616"/>
  <c r="W617"/>
  <c r="W618"/>
  <c r="W619"/>
  <c r="W620"/>
  <c r="W621"/>
  <c r="W622"/>
  <c r="W623"/>
  <c r="W624"/>
  <c r="W625"/>
  <c r="W626"/>
  <c r="W627"/>
  <c r="W628"/>
  <c r="W629"/>
  <c r="W630"/>
  <c r="W631"/>
  <c r="W632"/>
  <c r="W633"/>
  <c r="W634"/>
  <c r="W635"/>
  <c r="W636"/>
  <c r="W637"/>
  <c r="W638"/>
  <c r="W639"/>
  <c r="W640"/>
  <c r="W641"/>
  <c r="W642"/>
  <c r="W643"/>
  <c r="W644"/>
  <c r="W645"/>
  <c r="W646"/>
  <c r="W647"/>
  <c r="W648"/>
  <c r="W649"/>
  <c r="W650"/>
  <c r="W651"/>
  <c r="W652"/>
  <c r="W653"/>
  <c r="W654"/>
  <c r="W655"/>
  <c r="W656"/>
  <c r="W657"/>
  <c r="W658"/>
  <c r="W659"/>
  <c r="W660"/>
  <c r="W661"/>
  <c r="W662"/>
  <c r="W663"/>
  <c r="W664"/>
  <c r="W665"/>
  <c r="W667"/>
  <c r="W668"/>
  <c r="W669"/>
  <c r="W666"/>
  <c r="W670"/>
  <c r="W671"/>
  <c r="W672"/>
  <c r="W673"/>
  <c r="W674"/>
  <c r="W675"/>
  <c r="W676"/>
  <c r="W677"/>
  <c r="W678"/>
  <c r="W679"/>
  <c r="W680"/>
  <c r="W681"/>
  <c r="W682"/>
  <c r="W683"/>
  <c r="T10"/>
  <c r="T11"/>
  <c r="T12"/>
  <c r="T13"/>
  <c r="T14"/>
  <c r="T15"/>
  <c r="T16"/>
  <c r="T17"/>
  <c r="T18"/>
  <c r="T19"/>
  <c r="T20"/>
  <c r="T21"/>
  <c r="T22"/>
  <c r="T23"/>
  <c r="T24"/>
  <c r="T25"/>
  <c r="T26"/>
  <c r="T27"/>
  <c r="T28"/>
  <c r="T29"/>
  <c r="T30"/>
  <c r="T32"/>
  <c r="T33"/>
  <c r="T34"/>
  <c r="T35"/>
  <c r="T36"/>
  <c r="T37"/>
  <c r="T38"/>
  <c r="T39"/>
  <c r="T40"/>
  <c r="T41"/>
  <c r="T42"/>
  <c r="T31"/>
  <c r="T43"/>
  <c r="T44"/>
  <c r="T45"/>
  <c r="T46"/>
  <c r="T47"/>
  <c r="T48"/>
  <c r="T49"/>
  <c r="T50"/>
  <c r="T51"/>
  <c r="T52"/>
  <c r="T53"/>
  <c r="T54"/>
  <c r="T55"/>
  <c r="T56"/>
  <c r="T57"/>
  <c r="T58"/>
  <c r="T59"/>
  <c r="T61"/>
  <c r="T62"/>
  <c r="T63"/>
  <c r="T64"/>
  <c r="T65"/>
  <c r="T66"/>
  <c r="T67"/>
  <c r="T68"/>
  <c r="T60"/>
  <c r="T69"/>
  <c r="T70"/>
  <c r="T71"/>
  <c r="T72"/>
  <c r="T73"/>
  <c r="T74"/>
  <c r="T75"/>
  <c r="T76"/>
  <c r="T77"/>
  <c r="T78"/>
  <c r="T79"/>
  <c r="T80"/>
  <c r="T81"/>
  <c r="T82"/>
  <c r="T83"/>
  <c r="T84"/>
  <c r="T85"/>
  <c r="T86"/>
  <c r="T87"/>
  <c r="T88"/>
  <c r="T89"/>
  <c r="T90"/>
  <c r="T91"/>
  <c r="T92"/>
  <c r="T93"/>
  <c r="T94"/>
  <c r="T95"/>
  <c r="T102"/>
  <c r="T103"/>
  <c r="T104"/>
  <c r="T96"/>
  <c r="T97"/>
  <c r="T98"/>
  <c r="T105"/>
  <c r="T122"/>
  <c r="T117"/>
  <c r="T106"/>
  <c r="T107"/>
  <c r="T118"/>
  <c r="T119"/>
  <c r="T114"/>
  <c r="T99"/>
  <c r="T123"/>
  <c r="T100"/>
  <c r="T108"/>
  <c r="T109"/>
  <c r="T110"/>
  <c r="T111"/>
  <c r="T121"/>
  <c r="T101"/>
  <c r="T112"/>
  <c r="T113"/>
  <c r="T120"/>
  <c r="T115"/>
  <c r="T116"/>
  <c r="T124"/>
  <c r="T125"/>
  <c r="T126"/>
  <c r="T127"/>
  <c r="T128"/>
  <c r="T129"/>
  <c r="T130"/>
  <c r="T131"/>
  <c r="T132"/>
  <c r="T133"/>
  <c r="T134"/>
  <c r="T135"/>
  <c r="T136"/>
  <c r="T137"/>
  <c r="T138"/>
  <c r="T139"/>
  <c r="T140"/>
  <c r="T141"/>
  <c r="T142"/>
  <c r="T144"/>
  <c r="T145"/>
  <c r="T146"/>
  <c r="T147"/>
  <c r="T148"/>
  <c r="T143"/>
  <c r="T149"/>
  <c r="T150"/>
  <c r="T151"/>
  <c r="T152"/>
  <c r="T153"/>
  <c r="T154"/>
  <c r="T155"/>
  <c r="T182"/>
  <c r="T156"/>
  <c r="T158"/>
  <c r="T159"/>
  <c r="T160"/>
  <c r="T161"/>
  <c r="T162"/>
  <c r="T163"/>
  <c r="T164"/>
  <c r="T165"/>
  <c r="T177"/>
  <c r="T166"/>
  <c r="T167"/>
  <c r="T168"/>
  <c r="T169"/>
  <c r="T170"/>
  <c r="T171"/>
  <c r="T172"/>
  <c r="T173"/>
  <c r="T174"/>
  <c r="T175"/>
  <c r="T176"/>
  <c r="T178"/>
  <c r="T180"/>
  <c r="T179"/>
  <c r="T157"/>
  <c r="T181"/>
  <c r="T183"/>
  <c r="T184"/>
  <c r="T185"/>
  <c r="T187"/>
  <c r="T188"/>
  <c r="T186"/>
  <c r="T190"/>
  <c r="T189"/>
  <c r="T191"/>
  <c r="T192"/>
  <c r="T193"/>
  <c r="T194"/>
  <c r="T195"/>
  <c r="T196"/>
  <c r="T197"/>
  <c r="T198"/>
  <c r="T199"/>
  <c r="T200"/>
  <c r="T201"/>
  <c r="T202"/>
  <c r="T203"/>
  <c r="T204"/>
  <c r="T205"/>
  <c r="T206"/>
  <c r="T207"/>
  <c r="T208"/>
  <c r="T209"/>
  <c r="T210"/>
  <c r="T211"/>
  <c r="T212"/>
  <c r="T213"/>
  <c r="T214"/>
  <c r="T215"/>
  <c r="T216"/>
  <c r="T217"/>
  <c r="T218"/>
  <c r="T219"/>
  <c r="T220"/>
  <c r="T222"/>
  <c r="T221"/>
  <c r="T223"/>
  <c r="T224"/>
  <c r="T226"/>
  <c r="T227"/>
  <c r="T228"/>
  <c r="T225"/>
  <c r="T229"/>
  <c r="T237"/>
  <c r="T238"/>
  <c r="T239"/>
  <c r="T230"/>
  <c r="T231"/>
  <c r="T232"/>
  <c r="T233"/>
  <c r="T234"/>
  <c r="T235"/>
  <c r="T236"/>
  <c r="T240"/>
  <c r="T241"/>
  <c r="T242"/>
  <c r="T243"/>
  <c r="T244"/>
  <c r="T245"/>
  <c r="T246"/>
  <c r="T247"/>
  <c r="T248"/>
  <c r="T249"/>
  <c r="T250"/>
  <c r="T251"/>
  <c r="T252"/>
  <c r="T253"/>
  <c r="T254"/>
  <c r="T255"/>
  <c r="T256"/>
  <c r="T258"/>
  <c r="T259"/>
  <c r="T260"/>
  <c r="T261"/>
  <c r="T262"/>
  <c r="T257"/>
  <c r="T264"/>
  <c r="T265"/>
  <c r="T266"/>
  <c r="T263"/>
  <c r="T267"/>
  <c r="T268"/>
  <c r="T269"/>
  <c r="T270"/>
  <c r="T271"/>
  <c r="T272"/>
  <c r="T273"/>
  <c r="T274"/>
  <c r="T275"/>
  <c r="T277"/>
  <c r="T278"/>
  <c r="T279"/>
  <c r="T280"/>
  <c r="T281"/>
  <c r="T282"/>
  <c r="T276"/>
  <c r="T283"/>
  <c r="T284"/>
  <c r="T285"/>
  <c r="T286"/>
  <c r="T287"/>
  <c r="T288"/>
  <c r="T289"/>
  <c r="T290"/>
  <c r="T291"/>
  <c r="T292"/>
  <c r="T293"/>
  <c r="T294"/>
  <c r="T295"/>
  <c r="T296"/>
  <c r="T297"/>
  <c r="T298"/>
  <c r="T299"/>
  <c r="T300"/>
  <c r="T301"/>
  <c r="T302"/>
  <c r="T303"/>
  <c r="T304"/>
  <c r="T305"/>
  <c r="T306"/>
  <c r="T317"/>
  <c r="T318"/>
  <c r="T307"/>
  <c r="T323"/>
  <c r="T308"/>
  <c r="T309"/>
  <c r="T311"/>
  <c r="T312"/>
  <c r="T313"/>
  <c r="T314"/>
  <c r="T315"/>
  <c r="T342"/>
  <c r="T316"/>
  <c r="T319"/>
  <c r="T320"/>
  <c r="T345"/>
  <c r="T321"/>
  <c r="T322"/>
  <c r="T324"/>
  <c r="T310"/>
  <c r="T325"/>
  <c r="T326"/>
  <c r="T327"/>
  <c r="T328"/>
  <c r="T349"/>
  <c r="T329"/>
  <c r="T330"/>
  <c r="T353"/>
  <c r="T331"/>
  <c r="T354"/>
  <c r="T332"/>
  <c r="T356"/>
  <c r="T333"/>
  <c r="T358"/>
  <c r="T359"/>
  <c r="T360"/>
  <c r="T334"/>
  <c r="T335"/>
  <c r="T336"/>
  <c r="T337"/>
  <c r="T338"/>
  <c r="T339"/>
  <c r="T362"/>
  <c r="T340"/>
  <c r="T341"/>
  <c r="T343"/>
  <c r="T344"/>
  <c r="T346"/>
  <c r="T347"/>
  <c r="T348"/>
  <c r="T350"/>
  <c r="T351"/>
  <c r="T352"/>
  <c r="T355"/>
  <c r="T357"/>
  <c r="T361"/>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2"/>
  <c r="T473"/>
  <c r="T474"/>
  <c r="T475"/>
  <c r="T476"/>
  <c r="T471"/>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4"/>
  <c r="T545"/>
  <c r="T546"/>
  <c r="T547"/>
  <c r="T548"/>
  <c r="T543"/>
  <c r="T549"/>
  <c r="T550"/>
  <c r="T551"/>
  <c r="T552"/>
  <c r="T553"/>
  <c r="T554"/>
  <c r="T555"/>
  <c r="T556"/>
  <c r="T557"/>
  <c r="T558"/>
  <c r="T559"/>
  <c r="T560"/>
  <c r="T561"/>
  <c r="T562"/>
  <c r="T563"/>
  <c r="T565"/>
  <c r="T566"/>
  <c r="T567"/>
  <c r="T568"/>
  <c r="T569"/>
  <c r="T570"/>
  <c r="T572"/>
  <c r="T573"/>
  <c r="T574"/>
  <c r="T575"/>
  <c r="T576"/>
  <c r="T577"/>
  <c r="T578"/>
  <c r="T579"/>
  <c r="T580"/>
  <c r="T581"/>
  <c r="T582"/>
  <c r="T583"/>
  <c r="T584"/>
  <c r="T585"/>
  <c r="T586"/>
  <c r="T587"/>
  <c r="T588"/>
  <c r="T564"/>
  <c r="T589"/>
  <c r="T590"/>
  <c r="T591"/>
  <c r="T592"/>
  <c r="T593"/>
  <c r="T594"/>
  <c r="T595"/>
  <c r="T571"/>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7"/>
  <c r="T668"/>
  <c r="T669"/>
  <c r="T666"/>
  <c r="T670"/>
  <c r="T671"/>
  <c r="T672"/>
  <c r="T673"/>
  <c r="T674"/>
  <c r="T675"/>
  <c r="T676"/>
  <c r="T677"/>
  <c r="T678"/>
  <c r="T679"/>
  <c r="T680"/>
  <c r="T681"/>
  <c r="T682"/>
  <c r="T683"/>
  <c r="N10"/>
  <c r="N11"/>
  <c r="N12"/>
  <c r="N13"/>
  <c r="N14"/>
  <c r="N15"/>
  <c r="N16"/>
  <c r="N17"/>
  <c r="N18"/>
  <c r="N19"/>
  <c r="N20"/>
  <c r="N21"/>
  <c r="N22"/>
  <c r="N23"/>
  <c r="N24"/>
  <c r="N25"/>
  <c r="N26"/>
  <c r="N27"/>
  <c r="N28"/>
  <c r="N29"/>
  <c r="N30"/>
  <c r="N32"/>
  <c r="N33"/>
  <c r="N34"/>
  <c r="N35"/>
  <c r="N36"/>
  <c r="N37"/>
  <c r="N38"/>
  <c r="N39"/>
  <c r="N40"/>
  <c r="N41"/>
  <c r="N42"/>
  <c r="N31"/>
  <c r="N43"/>
  <c r="N44"/>
  <c r="N45"/>
  <c r="N46"/>
  <c r="N47"/>
  <c r="N48"/>
  <c r="N49"/>
  <c r="N50"/>
  <c r="N51"/>
  <c r="N52"/>
  <c r="N53"/>
  <c r="N54"/>
  <c r="N55"/>
  <c r="N56"/>
  <c r="N57"/>
  <c r="N58"/>
  <c r="N59"/>
  <c r="N61"/>
  <c r="N62"/>
  <c r="N63"/>
  <c r="N64"/>
  <c r="N65"/>
  <c r="N66"/>
  <c r="N67"/>
  <c r="N68"/>
  <c r="N60"/>
  <c r="N69"/>
  <c r="N70"/>
  <c r="N71"/>
  <c r="N72"/>
  <c r="N73"/>
  <c r="N74"/>
  <c r="N75"/>
  <c r="N76"/>
  <c r="N77"/>
  <c r="N78"/>
  <c r="N79"/>
  <c r="N80"/>
  <c r="N81"/>
  <c r="N82"/>
  <c r="N83"/>
  <c r="N84"/>
  <c r="N85"/>
  <c r="N86"/>
  <c r="N87"/>
  <c r="N88"/>
  <c r="N89"/>
  <c r="N90"/>
  <c r="N91"/>
  <c r="N92"/>
  <c r="N93"/>
  <c r="N94"/>
  <c r="N95"/>
  <c r="N102"/>
  <c r="N103"/>
  <c r="N104"/>
  <c r="N96"/>
  <c r="N97"/>
  <c r="N98"/>
  <c r="N105"/>
  <c r="N122"/>
  <c r="N117"/>
  <c r="N106"/>
  <c r="N107"/>
  <c r="N118"/>
  <c r="N119"/>
  <c r="N114"/>
  <c r="N99"/>
  <c r="N123"/>
  <c r="N100"/>
  <c r="N108"/>
  <c r="N109"/>
  <c r="N110"/>
  <c r="N111"/>
  <c r="N121"/>
  <c r="N101"/>
  <c r="N112"/>
  <c r="N113"/>
  <c r="N120"/>
  <c r="N115"/>
  <c r="N116"/>
  <c r="N124"/>
  <c r="N125"/>
  <c r="N126"/>
  <c r="N127"/>
  <c r="N128"/>
  <c r="N129"/>
  <c r="N130"/>
  <c r="N131"/>
  <c r="N132"/>
  <c r="N133"/>
  <c r="N134"/>
  <c r="N135"/>
  <c r="N136"/>
  <c r="N137"/>
  <c r="N138"/>
  <c r="N139"/>
  <c r="N140"/>
  <c r="N141"/>
  <c r="N142"/>
  <c r="N144"/>
  <c r="N145"/>
  <c r="N146"/>
  <c r="N147"/>
  <c r="N148"/>
  <c r="N143"/>
  <c r="N149"/>
  <c r="N150"/>
  <c r="N151"/>
  <c r="N152"/>
  <c r="N153"/>
  <c r="N154"/>
  <c r="N155"/>
  <c r="N182"/>
  <c r="N156"/>
  <c r="N158"/>
  <c r="N159"/>
  <c r="N160"/>
  <c r="N161"/>
  <c r="N162"/>
  <c r="N163"/>
  <c r="N164"/>
  <c r="N165"/>
  <c r="N177"/>
  <c r="N166"/>
  <c r="N167"/>
  <c r="N168"/>
  <c r="N169"/>
  <c r="N170"/>
  <c r="N171"/>
  <c r="N172"/>
  <c r="N173"/>
  <c r="N174"/>
  <c r="N175"/>
  <c r="N176"/>
  <c r="N178"/>
  <c r="N180"/>
  <c r="N179"/>
  <c r="N157"/>
  <c r="N181"/>
  <c r="N183"/>
  <c r="N184"/>
  <c r="N185"/>
  <c r="N187"/>
  <c r="N188"/>
  <c r="N186"/>
  <c r="N190"/>
  <c r="N189"/>
  <c r="N191"/>
  <c r="N192"/>
  <c r="N193"/>
  <c r="N194"/>
  <c r="N195"/>
  <c r="N196"/>
  <c r="N197"/>
  <c r="N198"/>
  <c r="N199"/>
  <c r="N200"/>
  <c r="N201"/>
  <c r="N202"/>
  <c r="N203"/>
  <c r="N204"/>
  <c r="N205"/>
  <c r="N206"/>
  <c r="N207"/>
  <c r="N208"/>
  <c r="N209"/>
  <c r="N210"/>
  <c r="N211"/>
  <c r="N212"/>
  <c r="N213"/>
  <c r="N214"/>
  <c r="N215"/>
  <c r="N216"/>
  <c r="N217"/>
  <c r="N218"/>
  <c r="N219"/>
  <c r="N220"/>
  <c r="N222"/>
  <c r="N221"/>
  <c r="N223"/>
  <c r="N224"/>
  <c r="N226"/>
  <c r="N227"/>
  <c r="N228"/>
  <c r="N225"/>
  <c r="N229"/>
  <c r="N237"/>
  <c r="N238"/>
  <c r="N239"/>
  <c r="N230"/>
  <c r="N231"/>
  <c r="N232"/>
  <c r="N233"/>
  <c r="N234"/>
  <c r="N235"/>
  <c r="N236"/>
  <c r="N240"/>
  <c r="N241"/>
  <c r="N242"/>
  <c r="N243"/>
  <c r="N244"/>
  <c r="N245"/>
  <c r="N246"/>
  <c r="N247"/>
  <c r="N248"/>
  <c r="N249"/>
  <c r="N250"/>
  <c r="N251"/>
  <c r="N252"/>
  <c r="N253"/>
  <c r="N254"/>
  <c r="N255"/>
  <c r="N256"/>
  <c r="N258"/>
  <c r="N259"/>
  <c r="N260"/>
  <c r="N261"/>
  <c r="N262"/>
  <c r="N257"/>
  <c r="N264"/>
  <c r="N265"/>
  <c r="N266"/>
  <c r="N263"/>
  <c r="N267"/>
  <c r="N268"/>
  <c r="N269"/>
  <c r="N270"/>
  <c r="N271"/>
  <c r="N272"/>
  <c r="N273"/>
  <c r="N274"/>
  <c r="N275"/>
  <c r="N277"/>
  <c r="N278"/>
  <c r="N279"/>
  <c r="N280"/>
  <c r="N281"/>
  <c r="N282"/>
  <c r="N276"/>
  <c r="N283"/>
  <c r="N284"/>
  <c r="N285"/>
  <c r="N286"/>
  <c r="N287"/>
  <c r="N288"/>
  <c r="N289"/>
  <c r="N290"/>
  <c r="N291"/>
  <c r="N292"/>
  <c r="N293"/>
  <c r="N294"/>
  <c r="N295"/>
  <c r="N296"/>
  <c r="N297"/>
  <c r="N298"/>
  <c r="N299"/>
  <c r="N300"/>
  <c r="N301"/>
  <c r="N302"/>
  <c r="N303"/>
  <c r="N304"/>
  <c r="N305"/>
  <c r="N306"/>
  <c r="N317"/>
  <c r="N318"/>
  <c r="N307"/>
  <c r="N323"/>
  <c r="N308"/>
  <c r="N309"/>
  <c r="N311"/>
  <c r="N312"/>
  <c r="N313"/>
  <c r="N314"/>
  <c r="N315"/>
  <c r="N342"/>
  <c r="N316"/>
  <c r="N319"/>
  <c r="N320"/>
  <c r="N345"/>
  <c r="N321"/>
  <c r="N322"/>
  <c r="N324"/>
  <c r="N310"/>
  <c r="N325"/>
  <c r="N326"/>
  <c r="N327"/>
  <c r="N328"/>
  <c r="N349"/>
  <c r="N329"/>
  <c r="N330"/>
  <c r="N353"/>
  <c r="N331"/>
  <c r="N354"/>
  <c r="N332"/>
  <c r="N356"/>
  <c r="N333"/>
  <c r="N358"/>
  <c r="N359"/>
  <c r="N360"/>
  <c r="N334"/>
  <c r="N335"/>
  <c r="N336"/>
  <c r="N337"/>
  <c r="N338"/>
  <c r="N339"/>
  <c r="N362"/>
  <c r="N340"/>
  <c r="N341"/>
  <c r="N343"/>
  <c r="N344"/>
  <c r="N346"/>
  <c r="N347"/>
  <c r="N348"/>
  <c r="N350"/>
  <c r="N351"/>
  <c r="N352"/>
  <c r="N355"/>
  <c r="N357"/>
  <c r="N361"/>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2"/>
  <c r="N473"/>
  <c r="N474"/>
  <c r="N475"/>
  <c r="N476"/>
  <c r="N471"/>
  <c r="N477"/>
  <c r="N478"/>
  <c r="N479"/>
  <c r="N480"/>
  <c r="N481"/>
  <c r="N482"/>
  <c r="N483"/>
  <c r="N484"/>
  <c r="N485"/>
  <c r="N486"/>
  <c r="N487"/>
  <c r="N488"/>
  <c r="N489"/>
  <c r="N490"/>
  <c r="N491"/>
  <c r="N492"/>
  <c r="N493"/>
  <c r="N494"/>
  <c r="N495"/>
  <c r="N496"/>
  <c r="N497"/>
  <c r="N498"/>
  <c r="N499"/>
  <c r="N500"/>
  <c r="N501"/>
  <c r="N502"/>
  <c r="N503"/>
  <c r="N504"/>
  <c r="N505"/>
  <c r="N506"/>
  <c r="N507"/>
  <c r="N508"/>
  <c r="N509"/>
  <c r="N510"/>
  <c r="N511"/>
  <c r="N512"/>
  <c r="N513"/>
  <c r="N514"/>
  <c r="N515"/>
  <c r="N516"/>
  <c r="N517"/>
  <c r="N518"/>
  <c r="N519"/>
  <c r="N520"/>
  <c r="N521"/>
  <c r="N522"/>
  <c r="N523"/>
  <c r="N524"/>
  <c r="N525"/>
  <c r="N526"/>
  <c r="N527"/>
  <c r="N528"/>
  <c r="N529"/>
  <c r="N530"/>
  <c r="N531"/>
  <c r="N532"/>
  <c r="N533"/>
  <c r="N534"/>
  <c r="N535"/>
  <c r="N536"/>
  <c r="N537"/>
  <c r="N538"/>
  <c r="N539"/>
  <c r="N540"/>
  <c r="N541"/>
  <c r="N542"/>
  <c r="N544"/>
  <c r="N545"/>
  <c r="N546"/>
  <c r="N547"/>
  <c r="N548"/>
  <c r="N543"/>
  <c r="N549"/>
  <c r="N550"/>
  <c r="N551"/>
  <c r="N552"/>
  <c r="N553"/>
  <c r="N554"/>
  <c r="N555"/>
  <c r="N556"/>
  <c r="N557"/>
  <c r="N558"/>
  <c r="N559"/>
  <c r="N560"/>
  <c r="N561"/>
  <c r="N562"/>
  <c r="N563"/>
  <c r="N565"/>
  <c r="N566"/>
  <c r="N567"/>
  <c r="N568"/>
  <c r="N569"/>
  <c r="N570"/>
  <c r="N572"/>
  <c r="N573"/>
  <c r="N574"/>
  <c r="N575"/>
  <c r="N576"/>
  <c r="N577"/>
  <c r="N578"/>
  <c r="N579"/>
  <c r="N580"/>
  <c r="N581"/>
  <c r="N582"/>
  <c r="N583"/>
  <c r="N584"/>
  <c r="N585"/>
  <c r="N586"/>
  <c r="N587"/>
  <c r="N588"/>
  <c r="N564"/>
  <c r="N589"/>
  <c r="N590"/>
  <c r="N591"/>
  <c r="N592"/>
  <c r="N593"/>
  <c r="N594"/>
  <c r="N595"/>
  <c r="N571"/>
  <c r="N596"/>
  <c r="N597"/>
  <c r="N598"/>
  <c r="N599"/>
  <c r="N600"/>
  <c r="N601"/>
  <c r="N602"/>
  <c r="N603"/>
  <c r="N604"/>
  <c r="N605"/>
  <c r="N606"/>
  <c r="N607"/>
  <c r="N608"/>
  <c r="N609"/>
  <c r="N610"/>
  <c r="N611"/>
  <c r="N612"/>
  <c r="N613"/>
  <c r="N614"/>
  <c r="N615"/>
  <c r="N616"/>
  <c r="N617"/>
  <c r="N618"/>
  <c r="N619"/>
  <c r="N620"/>
  <c r="N621"/>
  <c r="N622"/>
  <c r="N623"/>
  <c r="N624"/>
  <c r="N625"/>
  <c r="N626"/>
  <c r="N627"/>
  <c r="N628"/>
  <c r="N629"/>
  <c r="N630"/>
  <c r="N631"/>
  <c r="N632"/>
  <c r="N633"/>
  <c r="N634"/>
  <c r="N635"/>
  <c r="N636"/>
  <c r="N637"/>
  <c r="N638"/>
  <c r="N639"/>
  <c r="N640"/>
  <c r="N641"/>
  <c r="N642"/>
  <c r="N643"/>
  <c r="N644"/>
  <c r="N645"/>
  <c r="N646"/>
  <c r="N647"/>
  <c r="N648"/>
  <c r="N649"/>
  <c r="N650"/>
  <c r="N651"/>
  <c r="N652"/>
  <c r="N653"/>
  <c r="N654"/>
  <c r="N655"/>
  <c r="N656"/>
  <c r="N657"/>
  <c r="N658"/>
  <c r="N659"/>
  <c r="N660"/>
  <c r="N661"/>
  <c r="N662"/>
  <c r="N663"/>
  <c r="N664"/>
  <c r="N665"/>
  <c r="N667"/>
  <c r="N668"/>
  <c r="N669"/>
  <c r="N666"/>
  <c r="N670"/>
  <c r="N671"/>
  <c r="N672"/>
  <c r="N673"/>
  <c r="N674"/>
  <c r="N675"/>
  <c r="N676"/>
  <c r="N677"/>
  <c r="N678"/>
  <c r="N679"/>
  <c r="N680"/>
  <c r="N681"/>
  <c r="N682"/>
  <c r="N683"/>
  <c r="K10"/>
  <c r="K11"/>
  <c r="K12"/>
  <c r="K13"/>
  <c r="K14"/>
  <c r="K15"/>
  <c r="K16"/>
  <c r="K17"/>
  <c r="K18"/>
  <c r="K19"/>
  <c r="K20"/>
  <c r="K21"/>
  <c r="K22"/>
  <c r="K23"/>
  <c r="K24"/>
  <c r="K25"/>
  <c r="K26"/>
  <c r="K27"/>
  <c r="K28"/>
  <c r="K29"/>
  <c r="K30"/>
  <c r="K32"/>
  <c r="K33"/>
  <c r="K34"/>
  <c r="K35"/>
  <c r="K36"/>
  <c r="K37"/>
  <c r="K38"/>
  <c r="K39"/>
  <c r="K40"/>
  <c r="K41"/>
  <c r="K42"/>
  <c r="K31"/>
  <c r="K43"/>
  <c r="K44"/>
  <c r="K45"/>
  <c r="K46"/>
  <c r="K47"/>
  <c r="K48"/>
  <c r="K49"/>
  <c r="K50"/>
  <c r="K51"/>
  <c r="K52"/>
  <c r="K53"/>
  <c r="K54"/>
  <c r="K55"/>
  <c r="K56"/>
  <c r="K57"/>
  <c r="K58"/>
  <c r="K59"/>
  <c r="K61"/>
  <c r="K62"/>
  <c r="K63"/>
  <c r="K64"/>
  <c r="K65"/>
  <c r="K66"/>
  <c r="K67"/>
  <c r="K68"/>
  <c r="K60"/>
  <c r="K69"/>
  <c r="K70"/>
  <c r="K71"/>
  <c r="K72"/>
  <c r="K73"/>
  <c r="K74"/>
  <c r="K75"/>
  <c r="K76"/>
  <c r="K77"/>
  <c r="K78"/>
  <c r="K79"/>
  <c r="K80"/>
  <c r="K81"/>
  <c r="K82"/>
  <c r="K83"/>
  <c r="K84"/>
  <c r="K85"/>
  <c r="K86"/>
  <c r="K87"/>
  <c r="K88"/>
  <c r="K89"/>
  <c r="K90"/>
  <c r="K91"/>
  <c r="K92"/>
  <c r="K93"/>
  <c r="K94"/>
  <c r="K95"/>
  <c r="K102"/>
  <c r="K103"/>
  <c r="K104"/>
  <c r="K96"/>
  <c r="K97"/>
  <c r="K98"/>
  <c r="K105"/>
  <c r="K122"/>
  <c r="K117"/>
  <c r="K106"/>
  <c r="K107"/>
  <c r="K118"/>
  <c r="K119"/>
  <c r="K114"/>
  <c r="K99"/>
  <c r="K123"/>
  <c r="K100"/>
  <c r="K108"/>
  <c r="K109"/>
  <c r="K110"/>
  <c r="K111"/>
  <c r="K121"/>
  <c r="K101"/>
  <c r="K112"/>
  <c r="K113"/>
  <c r="K120"/>
  <c r="K115"/>
  <c r="K116"/>
  <c r="K124"/>
  <c r="K125"/>
  <c r="K126"/>
  <c r="K127"/>
  <c r="K128"/>
  <c r="K129"/>
  <c r="K130"/>
  <c r="K131"/>
  <c r="K132"/>
  <c r="K133"/>
  <c r="K134"/>
  <c r="K135"/>
  <c r="K136"/>
  <c r="K137"/>
  <c r="K138"/>
  <c r="K139"/>
  <c r="K140"/>
  <c r="K141"/>
  <c r="K142"/>
  <c r="K144"/>
  <c r="K145"/>
  <c r="K146"/>
  <c r="K147"/>
  <c r="K148"/>
  <c r="K143"/>
  <c r="K149"/>
  <c r="K150"/>
  <c r="K151"/>
  <c r="K152"/>
  <c r="K153"/>
  <c r="K154"/>
  <c r="K155"/>
  <c r="K182"/>
  <c r="K156"/>
  <c r="K158"/>
  <c r="K159"/>
  <c r="K160"/>
  <c r="K161"/>
  <c r="K162"/>
  <c r="K163"/>
  <c r="K164"/>
  <c r="K165"/>
  <c r="K177"/>
  <c r="K166"/>
  <c r="K167"/>
  <c r="K168"/>
  <c r="K169"/>
  <c r="K170"/>
  <c r="K171"/>
  <c r="K172"/>
  <c r="K173"/>
  <c r="K174"/>
  <c r="K175"/>
  <c r="K176"/>
  <c r="K178"/>
  <c r="K180"/>
  <c r="K179"/>
  <c r="K157"/>
  <c r="K181"/>
  <c r="K207"/>
  <c r="K208"/>
  <c r="K209"/>
  <c r="K210"/>
  <c r="K211"/>
  <c r="K212"/>
  <c r="K213"/>
  <c r="K214"/>
  <c r="K215"/>
  <c r="K216"/>
  <c r="K217"/>
  <c r="K218"/>
  <c r="K219"/>
  <c r="K220"/>
  <c r="K222"/>
  <c r="K221"/>
  <c r="K223"/>
  <c r="K224"/>
  <c r="K226"/>
  <c r="K227"/>
  <c r="K228"/>
  <c r="K225"/>
  <c r="K229"/>
  <c r="K237"/>
  <c r="K238"/>
  <c r="K239"/>
  <c r="K230"/>
  <c r="K231"/>
  <c r="K232"/>
  <c r="K233"/>
  <c r="K234"/>
  <c r="K235"/>
  <c r="K236"/>
  <c r="K240"/>
  <c r="K241"/>
  <c r="K242"/>
  <c r="K243"/>
  <c r="K244"/>
  <c r="K245"/>
  <c r="K246"/>
  <c r="K247"/>
  <c r="K248"/>
  <c r="K249"/>
  <c r="K250"/>
  <c r="K251"/>
  <c r="K252"/>
  <c r="K253"/>
  <c r="K254"/>
  <c r="K255"/>
  <c r="K256"/>
  <c r="K258"/>
  <c r="K259"/>
  <c r="K260"/>
  <c r="K261"/>
  <c r="K262"/>
  <c r="K257"/>
  <c r="K264"/>
  <c r="K265"/>
  <c r="K266"/>
  <c r="K263"/>
  <c r="K267"/>
  <c r="K268"/>
  <c r="K269"/>
  <c r="K270"/>
  <c r="K271"/>
  <c r="K272"/>
  <c r="K273"/>
  <c r="K274"/>
  <c r="K275"/>
  <c r="K277"/>
  <c r="K278"/>
  <c r="K279"/>
  <c r="K280"/>
  <c r="K281"/>
  <c r="K282"/>
  <c r="K276"/>
  <c r="K283"/>
  <c r="K284"/>
  <c r="K285"/>
  <c r="K286"/>
  <c r="K289"/>
  <c r="K290"/>
  <c r="K291"/>
  <c r="K292"/>
  <c r="K293"/>
  <c r="K294"/>
  <c r="K295"/>
  <c r="K296"/>
  <c r="K297"/>
  <c r="K298"/>
  <c r="K299"/>
  <c r="K300"/>
  <c r="K301"/>
  <c r="K302"/>
  <c r="K303"/>
  <c r="K304"/>
  <c r="K305"/>
  <c r="K306"/>
  <c r="K317"/>
  <c r="K318"/>
  <c r="K307"/>
  <c r="K323"/>
  <c r="K308"/>
  <c r="K309"/>
  <c r="K311"/>
  <c r="K312"/>
  <c r="K313"/>
  <c r="K314"/>
  <c r="K315"/>
  <c r="K342"/>
  <c r="K316"/>
  <c r="K319"/>
  <c r="K320"/>
  <c r="K345"/>
  <c r="K321"/>
  <c r="K322"/>
  <c r="K324"/>
  <c r="K310"/>
  <c r="K325"/>
  <c r="K326"/>
  <c r="K327"/>
  <c r="K328"/>
  <c r="K349"/>
  <c r="K329"/>
  <c r="K330"/>
  <c r="K353"/>
  <c r="K331"/>
  <c r="K354"/>
  <c r="K332"/>
  <c r="K356"/>
  <c r="K333"/>
  <c r="K358"/>
  <c r="K359"/>
  <c r="K360"/>
  <c r="K334"/>
  <c r="K335"/>
  <c r="K336"/>
  <c r="K337"/>
  <c r="K338"/>
  <c r="K339"/>
  <c r="K362"/>
  <c r="K340"/>
  <c r="K341"/>
  <c r="K343"/>
  <c r="K344"/>
  <c r="K346"/>
  <c r="K347"/>
  <c r="K348"/>
  <c r="K350"/>
  <c r="K351"/>
  <c r="K352"/>
  <c r="K355"/>
  <c r="K357"/>
  <c r="K361"/>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2"/>
  <c r="K473"/>
  <c r="K474"/>
  <c r="K475"/>
  <c r="K476"/>
  <c r="K471"/>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4"/>
  <c r="K545"/>
  <c r="K546"/>
  <c r="K547"/>
  <c r="K548"/>
  <c r="K543"/>
  <c r="K549"/>
  <c r="K550"/>
  <c r="K551"/>
  <c r="K552"/>
  <c r="K553"/>
  <c r="K554"/>
  <c r="K555"/>
  <c r="K556"/>
  <c r="K557"/>
  <c r="K558"/>
  <c r="K559"/>
  <c r="K560"/>
  <c r="K561"/>
  <c r="K562"/>
  <c r="K563"/>
  <c r="K565"/>
  <c r="K566"/>
  <c r="K567"/>
  <c r="K568"/>
  <c r="K569"/>
  <c r="K570"/>
  <c r="K572"/>
  <c r="K573"/>
  <c r="K574"/>
  <c r="K575"/>
  <c r="K576"/>
  <c r="K577"/>
  <c r="K578"/>
  <c r="K579"/>
  <c r="K580"/>
  <c r="K581"/>
  <c r="K582"/>
  <c r="K583"/>
  <c r="K584"/>
  <c r="K585"/>
  <c r="K586"/>
  <c r="K587"/>
  <c r="K588"/>
  <c r="K564"/>
  <c r="K589"/>
  <c r="K590"/>
  <c r="K591"/>
  <c r="K592"/>
  <c r="K593"/>
  <c r="K594"/>
  <c r="K595"/>
  <c r="K571"/>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3"/>
  <c r="K664"/>
  <c r="K665"/>
  <c r="K667"/>
  <c r="K668"/>
  <c r="K669"/>
  <c r="K666"/>
  <c r="K670"/>
  <c r="K671"/>
  <c r="K672"/>
  <c r="K673"/>
  <c r="K674"/>
  <c r="K675"/>
  <c r="K676"/>
  <c r="K677"/>
  <c r="K678"/>
  <c r="K679"/>
  <c r="K680"/>
  <c r="K681"/>
  <c r="K682"/>
  <c r="K683"/>
  <c r="H10"/>
  <c r="H11"/>
  <c r="H12"/>
  <c r="H13"/>
  <c r="H14"/>
  <c r="H15"/>
  <c r="H16"/>
  <c r="H17"/>
  <c r="H18"/>
  <c r="H19"/>
  <c r="H20"/>
  <c r="H21"/>
  <c r="H22"/>
  <c r="H23"/>
  <c r="H24"/>
  <c r="H25"/>
  <c r="H26"/>
  <c r="H27"/>
  <c r="H28"/>
  <c r="H29"/>
  <c r="H30"/>
  <c r="H32"/>
  <c r="H33"/>
  <c r="H34"/>
  <c r="H35"/>
  <c r="H36"/>
  <c r="H37"/>
  <c r="H38"/>
  <c r="H39"/>
  <c r="H40"/>
  <c r="H41"/>
  <c r="H42"/>
  <c r="H31"/>
  <c r="H43"/>
  <c r="H44"/>
  <c r="H45"/>
  <c r="H46"/>
  <c r="H47"/>
  <c r="H48"/>
  <c r="H49"/>
  <c r="H50"/>
  <c r="H51"/>
  <c r="H52"/>
  <c r="H53"/>
  <c r="H54"/>
  <c r="H55"/>
  <c r="H56"/>
  <c r="H57"/>
  <c r="H58"/>
  <c r="H59"/>
  <c r="H61"/>
  <c r="H62"/>
  <c r="H63"/>
  <c r="H64"/>
  <c r="H65"/>
  <c r="H66"/>
  <c r="H67"/>
  <c r="H68"/>
  <c r="H60"/>
  <c r="H69"/>
  <c r="H70"/>
  <c r="H71"/>
  <c r="H72"/>
  <c r="H73"/>
  <c r="H74"/>
  <c r="H75"/>
  <c r="H76"/>
  <c r="H77"/>
  <c r="H78"/>
  <c r="H79"/>
  <c r="H80"/>
  <c r="H81"/>
  <c r="H82"/>
  <c r="H83"/>
  <c r="H84"/>
  <c r="H85"/>
  <c r="H86"/>
  <c r="H87"/>
  <c r="H88"/>
  <c r="H89"/>
  <c r="H90"/>
  <c r="H91"/>
  <c r="H92"/>
  <c r="H93"/>
  <c r="H94"/>
  <c r="H95"/>
  <c r="H102"/>
  <c r="H103"/>
  <c r="H104"/>
  <c r="H96"/>
  <c r="H97"/>
  <c r="H98"/>
  <c r="H105"/>
  <c r="H122"/>
  <c r="H117"/>
  <c r="H106"/>
  <c r="H107"/>
  <c r="H118"/>
  <c r="H119"/>
  <c r="H114"/>
  <c r="H99"/>
  <c r="H123"/>
  <c r="H100"/>
  <c r="H108"/>
  <c r="H109"/>
  <c r="H110"/>
  <c r="H111"/>
  <c r="H121"/>
  <c r="H101"/>
  <c r="H112"/>
  <c r="H113"/>
  <c r="H120"/>
  <c r="H115"/>
  <c r="H116"/>
  <c r="H124"/>
  <c r="H125"/>
  <c r="H126"/>
  <c r="H127"/>
  <c r="H128"/>
  <c r="H129"/>
  <c r="H130"/>
  <c r="H131"/>
  <c r="H132"/>
  <c r="H133"/>
  <c r="H134"/>
  <c r="H135"/>
  <c r="H136"/>
  <c r="H137"/>
  <c r="H138"/>
  <c r="H139"/>
  <c r="H140"/>
  <c r="H141"/>
  <c r="H142"/>
  <c r="H144"/>
  <c r="H145"/>
  <c r="H146"/>
  <c r="H147"/>
  <c r="H148"/>
  <c r="H143"/>
  <c r="H149"/>
  <c r="H150"/>
  <c r="H151"/>
  <c r="H152"/>
  <c r="H153"/>
  <c r="H154"/>
  <c r="H155"/>
  <c r="H182"/>
  <c r="H156"/>
  <c r="H158"/>
  <c r="H159"/>
  <c r="H160"/>
  <c r="H161"/>
  <c r="H162"/>
  <c r="H163"/>
  <c r="H164"/>
  <c r="H165"/>
  <c r="H177"/>
  <c r="H166"/>
  <c r="H167"/>
  <c r="H168"/>
  <c r="H169"/>
  <c r="H170"/>
  <c r="H171"/>
  <c r="H172"/>
  <c r="H173"/>
  <c r="H174"/>
  <c r="H175"/>
  <c r="H176"/>
  <c r="H178"/>
  <c r="H180"/>
  <c r="H179"/>
  <c r="H157"/>
  <c r="H181"/>
  <c r="H183"/>
  <c r="H184"/>
  <c r="H185"/>
  <c r="H187"/>
  <c r="H188"/>
  <c r="H186"/>
  <c r="H190"/>
  <c r="H189"/>
  <c r="H191"/>
  <c r="H192"/>
  <c r="H193"/>
  <c r="H194"/>
  <c r="H195"/>
  <c r="H196"/>
  <c r="H197"/>
  <c r="H198"/>
  <c r="H199"/>
  <c r="H200"/>
  <c r="H201"/>
  <c r="H202"/>
  <c r="H203"/>
  <c r="H204"/>
  <c r="H205"/>
  <c r="H206"/>
  <c r="H207"/>
  <c r="H208"/>
  <c r="H209"/>
  <c r="H210"/>
  <c r="H211"/>
  <c r="H212"/>
  <c r="H213"/>
  <c r="H214"/>
  <c r="H215"/>
  <c r="H216"/>
  <c r="H217"/>
  <c r="H218"/>
  <c r="H219"/>
  <c r="H220"/>
  <c r="H222"/>
  <c r="H221"/>
  <c r="H223"/>
  <c r="H224"/>
  <c r="H226"/>
  <c r="H227"/>
  <c r="H228"/>
  <c r="H225"/>
  <c r="H229"/>
  <c r="H237"/>
  <c r="H238"/>
  <c r="H239"/>
  <c r="H230"/>
  <c r="H231"/>
  <c r="H232"/>
  <c r="H233"/>
  <c r="H234"/>
  <c r="H235"/>
  <c r="H236"/>
  <c r="H240"/>
  <c r="H241"/>
  <c r="H242"/>
  <c r="H243"/>
  <c r="H244"/>
  <c r="H245"/>
  <c r="H246"/>
  <c r="H247"/>
  <c r="H248"/>
  <c r="H249"/>
  <c r="H250"/>
  <c r="H251"/>
  <c r="H252"/>
  <c r="H253"/>
  <c r="H254"/>
  <c r="H255"/>
  <c r="H256"/>
  <c r="H258"/>
  <c r="H259"/>
  <c r="H260"/>
  <c r="H261"/>
  <c r="H262"/>
  <c r="H257"/>
  <c r="H264"/>
  <c r="H265"/>
  <c r="H266"/>
  <c r="H263"/>
  <c r="H267"/>
  <c r="H268"/>
  <c r="H269"/>
  <c r="H270"/>
  <c r="H271"/>
  <c r="H272"/>
  <c r="H273"/>
  <c r="H274"/>
  <c r="H275"/>
  <c r="H277"/>
  <c r="H278"/>
  <c r="H279"/>
  <c r="H280"/>
  <c r="H281"/>
  <c r="H282"/>
  <c r="H276"/>
  <c r="H283"/>
  <c r="H284"/>
  <c r="H285"/>
  <c r="H286"/>
  <c r="H287"/>
  <c r="H288"/>
  <c r="H289"/>
  <c r="H290"/>
  <c r="H291"/>
  <c r="H292"/>
  <c r="H293"/>
  <c r="H294"/>
  <c r="H295"/>
  <c r="H296"/>
  <c r="H297"/>
  <c r="H298"/>
  <c r="H299"/>
  <c r="H300"/>
  <c r="H301"/>
  <c r="H302"/>
  <c r="H303"/>
  <c r="H304"/>
  <c r="H305"/>
  <c r="H306"/>
  <c r="H317"/>
  <c r="H318"/>
  <c r="H307"/>
  <c r="H323"/>
  <c r="H308"/>
  <c r="H309"/>
  <c r="H311"/>
  <c r="H312"/>
  <c r="H313"/>
  <c r="H314"/>
  <c r="H315"/>
  <c r="H342"/>
  <c r="H316"/>
  <c r="H319"/>
  <c r="H320"/>
  <c r="H345"/>
  <c r="H321"/>
  <c r="H322"/>
  <c r="H324"/>
  <c r="H310"/>
  <c r="H325"/>
  <c r="H326"/>
  <c r="H327"/>
  <c r="H328"/>
  <c r="H349"/>
  <c r="H329"/>
  <c r="H330"/>
  <c r="H353"/>
  <c r="H331"/>
  <c r="H354"/>
  <c r="H332"/>
  <c r="H356"/>
  <c r="H333"/>
  <c r="H358"/>
  <c r="H359"/>
  <c r="H360"/>
  <c r="H334"/>
  <c r="H335"/>
  <c r="H336"/>
  <c r="H337"/>
  <c r="H338"/>
  <c r="H339"/>
  <c r="H362"/>
  <c r="H340"/>
  <c r="H341"/>
  <c r="H343"/>
  <c r="H344"/>
  <c r="H346"/>
  <c r="H347"/>
  <c r="H348"/>
  <c r="H350"/>
  <c r="H351"/>
  <c r="H352"/>
  <c r="H355"/>
  <c r="H357"/>
  <c r="H361"/>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2"/>
  <c r="H473"/>
  <c r="H474"/>
  <c r="H475"/>
  <c r="H476"/>
  <c r="H471"/>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4"/>
  <c r="H545"/>
  <c r="H546"/>
  <c r="H547"/>
  <c r="H548"/>
  <c r="H543"/>
  <c r="H549"/>
  <c r="H550"/>
  <c r="H551"/>
  <c r="H552"/>
  <c r="H553"/>
  <c r="H554"/>
  <c r="H555"/>
  <c r="H556"/>
  <c r="H557"/>
  <c r="H558"/>
  <c r="H559"/>
  <c r="H560"/>
  <c r="H561"/>
  <c r="H562"/>
  <c r="H563"/>
  <c r="H565"/>
  <c r="H566"/>
  <c r="H567"/>
  <c r="H568"/>
  <c r="H569"/>
  <c r="H570"/>
  <c r="H572"/>
  <c r="H573"/>
  <c r="H574"/>
  <c r="H575"/>
  <c r="H576"/>
  <c r="H577"/>
  <c r="H578"/>
  <c r="H579"/>
  <c r="H580"/>
  <c r="H581"/>
  <c r="H582"/>
  <c r="H583"/>
  <c r="H584"/>
  <c r="H585"/>
  <c r="H586"/>
  <c r="H587"/>
  <c r="H588"/>
  <c r="H564"/>
  <c r="H589"/>
  <c r="H590"/>
  <c r="H591"/>
  <c r="H592"/>
  <c r="H593"/>
  <c r="H594"/>
  <c r="H595"/>
  <c r="H571"/>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7"/>
  <c r="H668"/>
  <c r="H669"/>
  <c r="H666"/>
  <c r="H670"/>
  <c r="H671"/>
  <c r="H672"/>
  <c r="H673"/>
  <c r="H674"/>
  <c r="H675"/>
  <c r="H676"/>
  <c r="H677"/>
  <c r="H678"/>
  <c r="H679"/>
  <c r="H680"/>
  <c r="H681"/>
  <c r="H682"/>
  <c r="H683"/>
  <c r="Q468"/>
  <c r="Q467"/>
  <c r="Q466"/>
  <c r="Q465"/>
  <c r="Q464"/>
  <c r="Q463"/>
  <c r="Q462"/>
  <c r="Q461"/>
  <c r="Q460"/>
  <c r="Q459"/>
  <c r="Q458"/>
  <c r="Q457"/>
  <c r="Q456"/>
  <c r="Q455"/>
  <c r="Q454"/>
  <c r="Q453"/>
  <c r="Q452"/>
  <c r="Q451"/>
  <c r="Q450"/>
  <c r="Q449"/>
  <c r="Q448"/>
  <c r="Q447"/>
  <c r="Q446"/>
  <c r="Q445"/>
  <c r="Q444"/>
  <c r="Q443"/>
  <c r="Q442"/>
  <c r="Q441"/>
  <c r="Q440"/>
  <c r="Q439"/>
  <c r="Q438"/>
  <c r="Q437"/>
  <c r="AA18" i="21"/>
  <c r="Q10" i="4" l="1"/>
  <c r="Q11"/>
  <c r="Q12"/>
  <c r="Q13"/>
  <c r="Q14"/>
  <c r="Q15"/>
  <c r="Q16"/>
  <c r="Q17"/>
  <c r="Q18"/>
  <c r="Q19"/>
  <c r="Q20"/>
  <c r="Q21"/>
  <c r="Q22"/>
  <c r="Q23"/>
  <c r="Q24"/>
  <c r="Q25"/>
  <c r="Q26"/>
  <c r="Q27"/>
  <c r="Q28"/>
  <c r="Q29"/>
  <c r="Q30"/>
  <c r="Q32"/>
  <c r="Q33"/>
  <c r="Q34"/>
  <c r="Q35"/>
  <c r="Q36"/>
  <c r="Q37"/>
  <c r="Q38"/>
  <c r="Q39"/>
  <c r="Q40"/>
  <c r="Q41"/>
  <c r="Q42"/>
  <c r="Q31"/>
  <c r="Q43"/>
  <c r="Q44"/>
  <c r="Q45"/>
  <c r="Q46"/>
  <c r="Q47"/>
  <c r="Q48"/>
  <c r="Q49"/>
  <c r="Q50"/>
  <c r="Q51"/>
  <c r="Q52"/>
  <c r="Q53"/>
  <c r="Q54"/>
  <c r="Q55"/>
  <c r="Q56"/>
  <c r="Q57"/>
  <c r="Q58"/>
  <c r="Q59"/>
  <c r="Q61"/>
  <c r="Q62"/>
  <c r="Q63"/>
  <c r="Q64"/>
  <c r="Q65"/>
  <c r="Q66"/>
  <c r="Q67"/>
  <c r="Q68"/>
  <c r="Q60"/>
  <c r="Q69"/>
  <c r="Q70"/>
  <c r="Q71"/>
  <c r="Q72"/>
  <c r="Q73"/>
  <c r="Q74"/>
  <c r="Q75"/>
  <c r="Q76"/>
  <c r="Q77"/>
  <c r="Q78"/>
  <c r="Q79"/>
  <c r="Q80"/>
  <c r="Q81"/>
  <c r="Q82"/>
  <c r="Q83"/>
  <c r="Q84"/>
  <c r="Q85"/>
  <c r="Q86"/>
  <c r="Q87"/>
  <c r="Q88"/>
  <c r="Q89"/>
  <c r="Q90"/>
  <c r="Q91"/>
  <c r="Q92"/>
  <c r="Q93"/>
  <c r="Q94"/>
  <c r="Q95"/>
  <c r="Q102"/>
  <c r="Q103"/>
  <c r="Q104"/>
  <c r="Q96"/>
  <c r="Q97"/>
  <c r="Q98"/>
  <c r="Q105"/>
  <c r="Q122"/>
  <c r="Q117"/>
  <c r="Q106"/>
  <c r="Q107"/>
  <c r="Q118"/>
  <c r="Q119"/>
  <c r="Q114"/>
  <c r="Q99"/>
  <c r="Q123"/>
  <c r="Q100"/>
  <c r="Q108"/>
  <c r="Q109"/>
  <c r="Q110"/>
  <c r="Q111"/>
  <c r="Q121"/>
  <c r="Q101"/>
  <c r="Q112"/>
  <c r="Q113"/>
  <c r="Q120"/>
  <c r="Q115"/>
  <c r="Q116"/>
  <c r="Q124"/>
  <c r="Q125"/>
  <c r="Q126"/>
  <c r="Q127"/>
  <c r="Q128"/>
  <c r="Q129"/>
  <c r="Q130"/>
  <c r="Q131"/>
  <c r="Q132"/>
  <c r="Q133"/>
  <c r="Q134"/>
  <c r="Q135"/>
  <c r="Q136"/>
  <c r="Q137"/>
  <c r="Q138"/>
  <c r="Q139"/>
  <c r="Q140"/>
  <c r="Q141"/>
  <c r="Q142"/>
  <c r="Q144"/>
  <c r="Q145"/>
  <c r="Q146"/>
  <c r="Q147"/>
  <c r="Q148"/>
  <c r="Q143"/>
  <c r="Q149"/>
  <c r="Q150"/>
  <c r="Q151"/>
  <c r="Q152"/>
  <c r="Q153"/>
  <c r="Q154"/>
  <c r="Q155"/>
  <c r="Q182"/>
  <c r="Q156"/>
  <c r="Q158"/>
  <c r="Q159"/>
  <c r="Q160"/>
  <c r="Q161"/>
  <c r="Q162"/>
  <c r="Q163"/>
  <c r="Q164"/>
  <c r="Q165"/>
  <c r="Q177"/>
  <c r="Q166"/>
  <c r="Q167"/>
  <c r="Q168"/>
  <c r="Q169"/>
  <c r="Q170"/>
  <c r="Q171"/>
  <c r="Q172"/>
  <c r="Q173"/>
  <c r="Q174"/>
  <c r="Q175"/>
  <c r="Q176"/>
  <c r="Q178"/>
  <c r="Q180"/>
  <c r="Q179"/>
  <c r="Q157"/>
  <c r="Q181"/>
  <c r="Q207"/>
  <c r="Q208"/>
  <c r="Q209"/>
  <c r="Q210"/>
  <c r="Q211"/>
  <c r="Q212"/>
  <c r="Q213"/>
  <c r="Q214"/>
  <c r="Q215"/>
  <c r="Q216"/>
  <c r="Q217"/>
  <c r="Q218"/>
  <c r="Q219"/>
  <c r="Q220"/>
  <c r="Q222"/>
  <c r="Q221"/>
  <c r="Q223"/>
  <c r="Q224"/>
  <c r="Q226"/>
  <c r="Q227"/>
  <c r="Q228"/>
  <c r="Q225"/>
  <c r="Q229"/>
  <c r="Q237"/>
  <c r="Q238"/>
  <c r="Q239"/>
  <c r="Q230"/>
  <c r="Q231"/>
  <c r="Q232"/>
  <c r="Q233"/>
  <c r="Q234"/>
  <c r="Q235"/>
  <c r="Q236"/>
  <c r="Q240"/>
  <c r="Q241"/>
  <c r="Q242"/>
  <c r="Q243"/>
  <c r="Q244"/>
  <c r="Q245"/>
  <c r="Q246"/>
  <c r="Q247"/>
  <c r="Q248"/>
  <c r="Q249"/>
  <c r="Q250"/>
  <c r="Q251"/>
  <c r="Q252"/>
  <c r="Q253"/>
  <c r="Q254"/>
  <c r="Q255"/>
  <c r="Q256"/>
  <c r="Q258"/>
  <c r="Q259"/>
  <c r="Q260"/>
  <c r="Q261"/>
  <c r="Q262"/>
  <c r="Q257"/>
  <c r="Q264"/>
  <c r="Q265"/>
  <c r="Q266"/>
  <c r="Q263"/>
  <c r="Q267"/>
  <c r="Q268"/>
  <c r="Q269"/>
  <c r="Q270"/>
  <c r="Q271"/>
  <c r="Q272"/>
  <c r="Q273"/>
  <c r="Q274"/>
  <c r="Q275"/>
  <c r="Q277"/>
  <c r="Q278"/>
  <c r="Q279"/>
  <c r="Q280"/>
  <c r="Q281"/>
  <c r="Q282"/>
  <c r="Q276"/>
  <c r="Q283"/>
  <c r="Q284"/>
  <c r="Q285"/>
  <c r="Q286"/>
  <c r="Q287"/>
  <c r="Q288"/>
  <c r="Q289"/>
  <c r="Q290"/>
  <c r="Q291"/>
  <c r="Q292"/>
  <c r="Q293"/>
  <c r="Q294"/>
  <c r="Q295"/>
  <c r="Q296"/>
  <c r="Q297"/>
  <c r="Q298"/>
  <c r="Q299"/>
  <c r="Q300"/>
  <c r="Q301"/>
  <c r="Q302"/>
  <c r="Q303"/>
  <c r="Q304"/>
  <c r="Q305"/>
  <c r="Q306"/>
  <c r="Q317"/>
  <c r="Q318"/>
  <c r="Q307"/>
  <c r="Q323"/>
  <c r="Q308"/>
  <c r="Q309"/>
  <c r="Q311"/>
  <c r="Q312"/>
  <c r="Q313"/>
  <c r="Q314"/>
  <c r="Q315"/>
  <c r="Q342"/>
  <c r="Q316"/>
  <c r="Q319"/>
  <c r="Q320"/>
  <c r="Q345"/>
  <c r="Q321"/>
  <c r="Q322"/>
  <c r="Q324"/>
  <c r="Q310"/>
  <c r="Q325"/>
  <c r="Q326"/>
  <c r="Q327"/>
  <c r="Q328"/>
  <c r="Q349"/>
  <c r="Q329"/>
  <c r="Q330"/>
  <c r="Q353"/>
  <c r="Q331"/>
  <c r="Q354"/>
  <c r="Q332"/>
  <c r="Q356"/>
  <c r="Q333"/>
  <c r="Q358"/>
  <c r="Q359"/>
  <c r="Q360"/>
  <c r="Q334"/>
  <c r="Q335"/>
  <c r="Q336"/>
  <c r="Q337"/>
  <c r="Q338"/>
  <c r="Q339"/>
  <c r="Q362"/>
  <c r="Q340"/>
  <c r="Q341"/>
  <c r="Q343"/>
  <c r="Q344"/>
  <c r="Q346"/>
  <c r="Q347"/>
  <c r="Q348"/>
  <c r="Q350"/>
  <c r="Q351"/>
  <c r="Q352"/>
  <c r="Q355"/>
  <c r="Q357"/>
  <c r="Q361"/>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69"/>
  <c r="Q470"/>
  <c r="Q472"/>
  <c r="Q473"/>
  <c r="Q474"/>
  <c r="Q475"/>
  <c r="Q476"/>
  <c r="Q471"/>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4"/>
  <c r="Q545"/>
  <c r="Q546"/>
  <c r="Q547"/>
  <c r="Q548"/>
  <c r="Q543"/>
  <c r="Q549"/>
  <c r="Q550"/>
  <c r="Q551"/>
  <c r="Q552"/>
  <c r="Q553"/>
  <c r="Q554"/>
  <c r="Q555"/>
  <c r="Q556"/>
  <c r="Q557"/>
  <c r="Q558"/>
  <c r="Q559"/>
  <c r="Q560"/>
  <c r="Q561"/>
  <c r="Q562"/>
  <c r="Q563"/>
  <c r="Q565"/>
  <c r="Q566"/>
  <c r="Q567"/>
  <c r="Q568"/>
  <c r="Q569"/>
  <c r="Q570"/>
  <c r="Q572"/>
  <c r="Q573"/>
  <c r="Q574"/>
  <c r="Q575"/>
  <c r="Q576"/>
  <c r="Q577"/>
  <c r="Q578"/>
  <c r="Q579"/>
  <c r="Q580"/>
  <c r="Q581"/>
  <c r="Q582"/>
  <c r="Q583"/>
  <c r="Q584"/>
  <c r="Q585"/>
  <c r="Q586"/>
  <c r="Q587"/>
  <c r="Q588"/>
  <c r="Q564"/>
  <c r="Q589"/>
  <c r="Q590"/>
  <c r="Q591"/>
  <c r="Q592"/>
  <c r="Q593"/>
  <c r="Q594"/>
  <c r="Q595"/>
  <c r="Q571"/>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7"/>
  <c r="Q668"/>
  <c r="Q669"/>
  <c r="Q666"/>
  <c r="Q670"/>
  <c r="Q671"/>
  <c r="Q672"/>
  <c r="Q673"/>
  <c r="Q674"/>
  <c r="Q675"/>
  <c r="Q676"/>
  <c r="Q677"/>
  <c r="Q678"/>
  <c r="Q679"/>
  <c r="Q680"/>
  <c r="Q681"/>
  <c r="Q682"/>
  <c r="Q683"/>
  <c r="I662" l="1"/>
  <c r="K662" s="1"/>
  <c r="BX289" l="1"/>
  <c r="BY289" s="1"/>
  <c r="BX288"/>
  <c r="BY288" s="1"/>
  <c r="BX286"/>
  <c r="BY286" s="1"/>
  <c r="BX285"/>
  <c r="BY285" s="1"/>
  <c r="BX284"/>
  <c r="BY284" s="1"/>
  <c r="BX283"/>
  <c r="BY283" s="1"/>
  <c r="BX276"/>
  <c r="BY276" s="1"/>
  <c r="BX282"/>
  <c r="BY282" s="1"/>
  <c r="BX281"/>
  <c r="BY281" s="1"/>
  <c r="BX280"/>
  <c r="BY280" s="1"/>
  <c r="BX278"/>
  <c r="BY278" s="1"/>
  <c r="BX277"/>
  <c r="BY277" s="1"/>
  <c r="BX275"/>
  <c r="BY275" s="1"/>
  <c r="BL206" l="1"/>
  <c r="BM206" s="1"/>
  <c r="BF206"/>
  <c r="BG206" s="1"/>
  <c r="AZ206"/>
  <c r="BA206" s="1"/>
  <c r="AB206"/>
  <c r="AA206"/>
  <c r="V206"/>
  <c r="W206" s="1"/>
  <c r="P206"/>
  <c r="O206"/>
  <c r="Q206" s="1"/>
  <c r="J206"/>
  <c r="K206" s="1"/>
  <c r="BL205"/>
  <c r="BM205" s="1"/>
  <c r="BF205"/>
  <c r="BG205" s="1"/>
  <c r="AZ205"/>
  <c r="BA205" s="1"/>
  <c r="AT205"/>
  <c r="AU205" s="1"/>
  <c r="AB205"/>
  <c r="AC205" s="1"/>
  <c r="V205"/>
  <c r="W205" s="1"/>
  <c r="P205"/>
  <c r="Q205" s="1"/>
  <c r="J205"/>
  <c r="K205" s="1"/>
  <c r="AZ204"/>
  <c r="BA204" s="1"/>
  <c r="AT204"/>
  <c r="AU204" s="1"/>
  <c r="AB204"/>
  <c r="AA204"/>
  <c r="V204"/>
  <c r="W204" s="1"/>
  <c r="P204"/>
  <c r="Q204" s="1"/>
  <c r="J204"/>
  <c r="I204"/>
  <c r="AT203"/>
  <c r="AU203" s="1"/>
  <c r="AB203"/>
  <c r="AC203" s="1"/>
  <c r="V203"/>
  <c r="W203" s="1"/>
  <c r="P203"/>
  <c r="Q203" s="1"/>
  <c r="J203"/>
  <c r="I203"/>
  <c r="BL202"/>
  <c r="BM202" s="1"/>
  <c r="AZ202"/>
  <c r="BA202" s="1"/>
  <c r="AT202"/>
  <c r="AU202" s="1"/>
  <c r="AB202"/>
  <c r="AC202" s="1"/>
  <c r="V202"/>
  <c r="W202" s="1"/>
  <c r="P202"/>
  <c r="O202"/>
  <c r="J202"/>
  <c r="I202"/>
  <c r="BL201"/>
  <c r="BK201"/>
  <c r="BF201"/>
  <c r="BG201" s="1"/>
  <c r="AZ201"/>
  <c r="BA201" s="1"/>
  <c r="AT201"/>
  <c r="AU201" s="1"/>
  <c r="AB201"/>
  <c r="AC201" s="1"/>
  <c r="V201"/>
  <c r="U201"/>
  <c r="W201" s="1"/>
  <c r="P201"/>
  <c r="O201"/>
  <c r="Q201" s="1"/>
  <c r="J201"/>
  <c r="I201"/>
  <c r="K201" s="1"/>
  <c r="BF200"/>
  <c r="BG200" s="1"/>
  <c r="AZ200"/>
  <c r="BA200" s="1"/>
  <c r="AT200"/>
  <c r="AU200" s="1"/>
  <c r="AB200"/>
  <c r="AC200" s="1"/>
  <c r="V200"/>
  <c r="W200" s="1"/>
  <c r="P200"/>
  <c r="O200"/>
  <c r="J200"/>
  <c r="I200"/>
  <c r="BL199"/>
  <c r="BM199" s="1"/>
  <c r="BF199"/>
  <c r="BG199" s="1"/>
  <c r="AZ199"/>
  <c r="BA199" s="1"/>
  <c r="AT199"/>
  <c r="AU199" s="1"/>
  <c r="AB199"/>
  <c r="AA199"/>
  <c r="V199"/>
  <c r="U199"/>
  <c r="P199"/>
  <c r="O199"/>
  <c r="J199"/>
  <c r="I199"/>
  <c r="BL198"/>
  <c r="BM198" s="1"/>
  <c r="BF198"/>
  <c r="BG198" s="1"/>
  <c r="AZ198"/>
  <c r="BA198" s="1"/>
  <c r="AB198"/>
  <c r="AC198" s="1"/>
  <c r="V198"/>
  <c r="U198"/>
  <c r="P198"/>
  <c r="O198"/>
  <c r="J198"/>
  <c r="I198"/>
  <c r="AZ197"/>
  <c r="BA197" s="1"/>
  <c r="AT197"/>
  <c r="AU197" s="1"/>
  <c r="AB197"/>
  <c r="AA197"/>
  <c r="V197"/>
  <c r="W197" s="1"/>
  <c r="P197"/>
  <c r="O197"/>
  <c r="J197"/>
  <c r="I197"/>
  <c r="BL196"/>
  <c r="BM196" s="1"/>
  <c r="AZ196"/>
  <c r="BA196" s="1"/>
  <c r="AT196"/>
  <c r="AU196" s="1"/>
  <c r="AB196"/>
  <c r="AA196"/>
  <c r="V196"/>
  <c r="W196" s="1"/>
  <c r="P196"/>
  <c r="O196"/>
  <c r="J196"/>
  <c r="I196"/>
  <c r="AZ195"/>
  <c r="BA195" s="1"/>
  <c r="AT195"/>
  <c r="AU195" s="1"/>
  <c r="AB195"/>
  <c r="AA195"/>
  <c r="V195"/>
  <c r="W195" s="1"/>
  <c r="P195"/>
  <c r="O195"/>
  <c r="J195"/>
  <c r="I195"/>
  <c r="AZ194"/>
  <c r="BA194" s="1"/>
  <c r="AT194"/>
  <c r="AU194" s="1"/>
  <c r="AB194"/>
  <c r="AA194"/>
  <c r="V194"/>
  <c r="U194"/>
  <c r="P194"/>
  <c r="O194"/>
  <c r="J194"/>
  <c r="I194"/>
  <c r="AZ193"/>
  <c r="BA193" s="1"/>
  <c r="AT193"/>
  <c r="AU193" s="1"/>
  <c r="AB193"/>
  <c r="AA193"/>
  <c r="V193"/>
  <c r="U193"/>
  <c r="P193"/>
  <c r="O193"/>
  <c r="J193"/>
  <c r="I193"/>
  <c r="BL192"/>
  <c r="BM192" s="1"/>
  <c r="BF192"/>
  <c r="BG192" s="1"/>
  <c r="AZ192"/>
  <c r="BA192" s="1"/>
  <c r="AT192"/>
  <c r="AU192" s="1"/>
  <c r="AB192"/>
  <c r="AA192"/>
  <c r="V192"/>
  <c r="U192"/>
  <c r="P192"/>
  <c r="O192"/>
  <c r="J192"/>
  <c r="I192"/>
  <c r="BL191"/>
  <c r="BM191" s="1"/>
  <c r="BF191"/>
  <c r="BG191" s="1"/>
  <c r="AZ191"/>
  <c r="BA191" s="1"/>
  <c r="AT191"/>
  <c r="AU191" s="1"/>
  <c r="AB191"/>
  <c r="AA191"/>
  <c r="V191"/>
  <c r="U191"/>
  <c r="P191"/>
  <c r="O191"/>
  <c r="J191"/>
  <c r="I191"/>
  <c r="BF189"/>
  <c r="BG189" s="1"/>
  <c r="AZ189"/>
  <c r="BA189" s="1"/>
  <c r="AT189"/>
  <c r="AU189" s="1"/>
  <c r="AB189"/>
  <c r="AC189" s="1"/>
  <c r="V189"/>
  <c r="U189"/>
  <c r="P189"/>
  <c r="O189"/>
  <c r="J189"/>
  <c r="K189" s="1"/>
  <c r="BR190"/>
  <c r="BS190" s="1"/>
  <c r="BL190"/>
  <c r="BM190" s="1"/>
  <c r="BF190"/>
  <c r="BG190" s="1"/>
  <c r="AZ190"/>
  <c r="BA190" s="1"/>
  <c r="AH190"/>
  <c r="AG190"/>
  <c r="V190"/>
  <c r="U190"/>
  <c r="P190"/>
  <c r="O190"/>
  <c r="J190"/>
  <c r="I190"/>
  <c r="BL186"/>
  <c r="BM186" s="1"/>
  <c r="BF186"/>
  <c r="BG186" s="1"/>
  <c r="AZ186"/>
  <c r="BA186" s="1"/>
  <c r="AT186"/>
  <c r="AU186" s="1"/>
  <c r="AB186"/>
  <c r="AA186"/>
  <c r="V186"/>
  <c r="U186"/>
  <c r="P186"/>
  <c r="O186"/>
  <c r="J186"/>
  <c r="I186"/>
  <c r="BL188"/>
  <c r="BM188" s="1"/>
  <c r="BF188"/>
  <c r="BG188" s="1"/>
  <c r="AZ188"/>
  <c r="AY188"/>
  <c r="AT188"/>
  <c r="AS188"/>
  <c r="AH188"/>
  <c r="AG188"/>
  <c r="AB188"/>
  <c r="AA188"/>
  <c r="V188"/>
  <c r="U188"/>
  <c r="P188"/>
  <c r="O188"/>
  <c r="J188"/>
  <c r="I188"/>
  <c r="BR187"/>
  <c r="BS187" s="1"/>
  <c r="BF187"/>
  <c r="BG187" s="1"/>
  <c r="AZ187"/>
  <c r="BA187" s="1"/>
  <c r="AT187"/>
  <c r="AS187"/>
  <c r="AU187" s="1"/>
  <c r="AH187"/>
  <c r="AG187"/>
  <c r="AI187" s="1"/>
  <c r="V187"/>
  <c r="U187"/>
  <c r="W187" s="1"/>
  <c r="P187"/>
  <c r="O187"/>
  <c r="J187"/>
  <c r="I187"/>
  <c r="K187" s="1"/>
  <c r="BR185"/>
  <c r="BS185" s="1"/>
  <c r="BF185"/>
  <c r="BG185" s="1"/>
  <c r="AZ185"/>
  <c r="BA185" s="1"/>
  <c r="AT185"/>
  <c r="AS185"/>
  <c r="AH185"/>
  <c r="AG185"/>
  <c r="AB185"/>
  <c r="AA185"/>
  <c r="V185"/>
  <c r="U185"/>
  <c r="P185"/>
  <c r="O185"/>
  <c r="J185"/>
  <c r="I185"/>
  <c r="BR184"/>
  <c r="BS184" s="1"/>
  <c r="BL184"/>
  <c r="BK184"/>
  <c r="BM184" s="1"/>
  <c r="BF184"/>
  <c r="BE184"/>
  <c r="BG184" s="1"/>
  <c r="AZ184"/>
  <c r="AY184"/>
  <c r="BA184" s="1"/>
  <c r="AT184"/>
  <c r="AS184"/>
  <c r="AU184" s="1"/>
  <c r="AB184"/>
  <c r="AA184"/>
  <c r="AC184" s="1"/>
  <c r="V184"/>
  <c r="U184"/>
  <c r="W184" s="1"/>
  <c r="P184"/>
  <c r="O184"/>
  <c r="J184"/>
  <c r="I184"/>
  <c r="K184" s="1"/>
  <c r="BR183"/>
  <c r="BQ183"/>
  <c r="BS183" s="1"/>
  <c r="BF183"/>
  <c r="BE183"/>
  <c r="BG183" s="1"/>
  <c r="AZ183"/>
  <c r="AY183"/>
  <c r="BA183" s="1"/>
  <c r="AT183"/>
  <c r="AS183"/>
  <c r="AU183" s="1"/>
  <c r="AH183"/>
  <c r="AG183"/>
  <c r="AI183" s="1"/>
  <c r="V183"/>
  <c r="U183"/>
  <c r="W183" s="1"/>
  <c r="P183"/>
  <c r="O183"/>
  <c r="J183"/>
  <c r="I183"/>
  <c r="K183" s="1"/>
  <c r="Q189" l="1"/>
  <c r="W189"/>
  <c r="K191"/>
  <c r="Q191"/>
  <c r="W191"/>
  <c r="AC191"/>
  <c r="K192"/>
  <c r="Q192"/>
  <c r="W192"/>
  <c r="AC192"/>
  <c r="K193"/>
  <c r="Q193"/>
  <c r="W193"/>
  <c r="AC193"/>
  <c r="K194"/>
  <c r="Q194"/>
  <c r="W194"/>
  <c r="AC194"/>
  <c r="K195"/>
  <c r="Q195"/>
  <c r="AC196"/>
  <c r="AC197"/>
  <c r="K198"/>
  <c r="Q198"/>
  <c r="W198"/>
  <c r="K199"/>
  <c r="Q199"/>
  <c r="W199"/>
  <c r="K203"/>
  <c r="K204"/>
  <c r="AC206"/>
  <c r="AC199"/>
  <c r="K200"/>
  <c r="AC204"/>
  <c r="BM201"/>
  <c r="K185"/>
  <c r="W185"/>
  <c r="AC185"/>
  <c r="AI185"/>
  <c r="AU185"/>
  <c r="K188"/>
  <c r="W188"/>
  <c r="AC188"/>
  <c r="AI188"/>
  <c r="AU188"/>
  <c r="BA188"/>
  <c r="K186"/>
  <c r="W186"/>
  <c r="AC186"/>
  <c r="K190"/>
  <c r="W190"/>
  <c r="AI190"/>
  <c r="AC195"/>
  <c r="K196"/>
  <c r="K197"/>
  <c r="K202"/>
  <c r="Q185"/>
  <c r="Q188"/>
  <c r="Q183"/>
  <c r="Q184"/>
  <c r="Q187"/>
  <c r="Q200"/>
  <c r="Q186"/>
  <c r="Q190"/>
  <c r="Q196"/>
  <c r="Q197"/>
  <c r="Q202"/>
  <c r="BV180" l="1"/>
  <c r="BV177"/>
  <c r="BY9" l="1"/>
  <c r="BV9"/>
  <c r="BS9"/>
  <c r="BP9"/>
  <c r="BM9"/>
  <c r="BJ9"/>
  <c r="BG9"/>
  <c r="BD9"/>
  <c r="BA9"/>
  <c r="AX9"/>
  <c r="AU9"/>
  <c r="AR9"/>
  <c r="AO9"/>
  <c r="AL9"/>
  <c r="AI9"/>
  <c r="AF9"/>
  <c r="AC9"/>
  <c r="Z9"/>
  <c r="W9"/>
  <c r="T9"/>
  <c r="Q9"/>
  <c r="N9"/>
  <c r="K9"/>
  <c r="H9"/>
  <c r="O594" i="28" l="1"/>
  <c r="M594"/>
  <c r="K594"/>
  <c r="I594"/>
  <c r="G594"/>
  <c r="E594"/>
  <c r="C594"/>
  <c r="O589"/>
  <c r="M589"/>
  <c r="K589"/>
  <c r="I589"/>
  <c r="G589"/>
  <c r="E589"/>
  <c r="C589"/>
  <c r="O584"/>
  <c r="M584"/>
  <c r="K584"/>
  <c r="I584"/>
  <c r="G584"/>
  <c r="E584"/>
  <c r="C584"/>
  <c r="O564"/>
  <c r="M564"/>
  <c r="K564"/>
  <c r="I564"/>
  <c r="G564"/>
  <c r="E564"/>
  <c r="C564"/>
  <c r="O559"/>
  <c r="M559"/>
  <c r="K559"/>
  <c r="I559"/>
  <c r="G559"/>
  <c r="E559"/>
  <c r="C559"/>
  <c r="O554"/>
  <c r="M554"/>
  <c r="K554"/>
  <c r="I554"/>
  <c r="G554"/>
  <c r="E554"/>
  <c r="C554"/>
  <c r="O534"/>
  <c r="M534"/>
  <c r="K534"/>
  <c r="I534"/>
  <c r="G534"/>
  <c r="E534"/>
  <c r="C534"/>
  <c r="O529"/>
  <c r="M529"/>
  <c r="K529"/>
  <c r="I529"/>
  <c r="G529"/>
  <c r="E529"/>
  <c r="C529"/>
  <c r="O524"/>
  <c r="M524"/>
  <c r="K524"/>
  <c r="I524"/>
  <c r="G524"/>
  <c r="E524"/>
  <c r="C524"/>
  <c r="O504"/>
  <c r="M504"/>
  <c r="K504"/>
  <c r="I504"/>
  <c r="G504"/>
  <c r="E504"/>
  <c r="C504"/>
  <c r="O499"/>
  <c r="M499"/>
  <c r="K499"/>
  <c r="I499"/>
  <c r="G499"/>
  <c r="E499"/>
  <c r="C499"/>
  <c r="O494"/>
  <c r="M494"/>
  <c r="K494"/>
  <c r="I494"/>
  <c r="G494"/>
  <c r="E494"/>
  <c r="C494"/>
  <c r="O444"/>
  <c r="M444"/>
  <c r="K444"/>
  <c r="I444"/>
  <c r="G444"/>
  <c r="E444"/>
  <c r="C444"/>
  <c r="O439"/>
  <c r="M439"/>
  <c r="K439"/>
  <c r="I439"/>
  <c r="G439"/>
  <c r="E439"/>
  <c r="C439"/>
  <c r="O434"/>
  <c r="M434"/>
  <c r="K434"/>
  <c r="I434"/>
  <c r="G434"/>
  <c r="E434"/>
  <c r="C434"/>
  <c r="O414"/>
  <c r="M414"/>
  <c r="K414"/>
  <c r="I414"/>
  <c r="G414"/>
  <c r="E414"/>
  <c r="C414"/>
  <c r="O409"/>
  <c r="M409"/>
  <c r="K409"/>
  <c r="I409"/>
  <c r="G409"/>
  <c r="E409"/>
  <c r="C409"/>
  <c r="O404"/>
  <c r="M404"/>
  <c r="K404"/>
  <c r="I404"/>
  <c r="G404"/>
  <c r="E404"/>
  <c r="C404"/>
  <c r="O384"/>
  <c r="M384"/>
  <c r="K384"/>
  <c r="I384"/>
  <c r="G384"/>
  <c r="E384"/>
  <c r="C384"/>
  <c r="O379"/>
  <c r="M379"/>
  <c r="K379"/>
  <c r="I379"/>
  <c r="G379"/>
  <c r="E379"/>
  <c r="C379"/>
  <c r="O374"/>
  <c r="M374"/>
  <c r="K374"/>
  <c r="I374"/>
  <c r="G374"/>
  <c r="E374"/>
  <c r="C374"/>
  <c r="O354"/>
  <c r="M354"/>
  <c r="K354"/>
  <c r="I354"/>
  <c r="G354"/>
  <c r="E354"/>
  <c r="C354"/>
  <c r="O349"/>
  <c r="M349"/>
  <c r="K349"/>
  <c r="I349"/>
  <c r="G349"/>
  <c r="E349"/>
  <c r="C349"/>
  <c r="O344"/>
  <c r="M344"/>
  <c r="K344"/>
  <c r="I344"/>
  <c r="G344"/>
  <c r="E344"/>
  <c r="C344"/>
  <c r="O324"/>
  <c r="M324"/>
  <c r="K324"/>
  <c r="I324"/>
  <c r="G324"/>
  <c r="E324"/>
  <c r="C324"/>
  <c r="O319"/>
  <c r="M319"/>
  <c r="K319"/>
  <c r="I319"/>
  <c r="G319"/>
  <c r="E319"/>
  <c r="C319"/>
  <c r="O314"/>
  <c r="M314"/>
  <c r="K314"/>
  <c r="I314"/>
  <c r="G314"/>
  <c r="E314"/>
  <c r="C314"/>
  <c r="M294"/>
  <c r="K294"/>
  <c r="I294"/>
  <c r="G294"/>
  <c r="E294"/>
  <c r="C294"/>
  <c r="M289"/>
  <c r="K289"/>
  <c r="I289"/>
  <c r="G289"/>
  <c r="E289"/>
  <c r="C289"/>
  <c r="M284"/>
  <c r="K284"/>
  <c r="I284"/>
  <c r="G284"/>
  <c r="E284"/>
  <c r="C284"/>
  <c r="M264"/>
  <c r="K264"/>
  <c r="I264"/>
  <c r="G264"/>
  <c r="E264"/>
  <c r="C264"/>
  <c r="M259"/>
  <c r="K259"/>
  <c r="I259"/>
  <c r="G259"/>
  <c r="E259"/>
  <c r="C259"/>
  <c r="M254"/>
  <c r="K254"/>
  <c r="I254"/>
  <c r="G254"/>
  <c r="E254"/>
  <c r="C254"/>
  <c r="M234"/>
  <c r="K234"/>
  <c r="I234"/>
  <c r="G234"/>
  <c r="E234"/>
  <c r="C234"/>
  <c r="M229"/>
  <c r="K229"/>
  <c r="I229"/>
  <c r="G229"/>
  <c r="E229"/>
  <c r="C229"/>
  <c r="M224"/>
  <c r="K224"/>
  <c r="I224"/>
  <c r="G224"/>
  <c r="E224"/>
  <c r="C224"/>
  <c r="M204"/>
  <c r="K204"/>
  <c r="I204"/>
  <c r="G204"/>
  <c r="E204"/>
  <c r="C204"/>
  <c r="M199"/>
  <c r="K199"/>
  <c r="I199"/>
  <c r="G199"/>
  <c r="E199"/>
  <c r="C199"/>
  <c r="M194"/>
  <c r="K194"/>
  <c r="I194"/>
  <c r="G194"/>
  <c r="E194"/>
  <c r="C194"/>
  <c r="M174"/>
  <c r="K174"/>
  <c r="I174"/>
  <c r="G174"/>
  <c r="E174"/>
  <c r="C174"/>
  <c r="M169"/>
  <c r="K169"/>
  <c r="I169"/>
  <c r="G169"/>
  <c r="E169"/>
  <c r="C169"/>
  <c r="M164"/>
  <c r="K164"/>
  <c r="I164"/>
  <c r="G164"/>
  <c r="E164"/>
  <c r="C164"/>
  <c r="M144"/>
  <c r="K144"/>
  <c r="I144"/>
  <c r="G144"/>
  <c r="E144"/>
  <c r="C144"/>
  <c r="M139"/>
  <c r="K139"/>
  <c r="I139"/>
  <c r="G139"/>
  <c r="E139"/>
  <c r="C139"/>
  <c r="M134"/>
  <c r="K134"/>
  <c r="I134"/>
  <c r="G134"/>
  <c r="E134"/>
  <c r="C134"/>
  <c r="M134" i="18"/>
  <c r="M139"/>
  <c r="M144"/>
  <c r="M164"/>
  <c r="M169"/>
  <c r="M174"/>
  <c r="M194"/>
  <c r="M199"/>
  <c r="M204"/>
  <c r="M224"/>
  <c r="M229"/>
  <c r="M234"/>
  <c r="M254"/>
  <c r="M259"/>
  <c r="M264"/>
  <c r="M284"/>
  <c r="M289"/>
  <c r="M294"/>
  <c r="M314"/>
  <c r="O314"/>
  <c r="M319"/>
  <c r="O319"/>
  <c r="M324"/>
  <c r="O324"/>
  <c r="M344"/>
  <c r="O344"/>
  <c r="M349"/>
  <c r="O349"/>
  <c r="M354"/>
  <c r="O354"/>
  <c r="M374"/>
  <c r="O374"/>
  <c r="M379"/>
  <c r="O379"/>
  <c r="M384"/>
  <c r="O384"/>
  <c r="M404"/>
  <c r="O404"/>
  <c r="M409"/>
  <c r="O409"/>
  <c r="M414"/>
  <c r="O414"/>
  <c r="M434"/>
  <c r="O434"/>
  <c r="M439"/>
  <c r="O439"/>
  <c r="M444"/>
  <c r="O444"/>
  <c r="M494"/>
  <c r="O494"/>
  <c r="M499"/>
  <c r="O499"/>
  <c r="M504"/>
  <c r="O504"/>
  <c r="M524"/>
  <c r="O524"/>
  <c r="M529"/>
  <c r="O529"/>
  <c r="M534"/>
  <c r="O534"/>
  <c r="M554"/>
  <c r="O554"/>
  <c r="M559"/>
  <c r="O559"/>
  <c r="M564"/>
  <c r="O564"/>
  <c r="M584"/>
  <c r="O584"/>
  <c r="M589"/>
  <c r="O589"/>
  <c r="M594"/>
  <c r="O594"/>
  <c r="K594"/>
  <c r="K589"/>
  <c r="K584"/>
  <c r="I594"/>
  <c r="I589"/>
  <c r="I584"/>
  <c r="G594"/>
  <c r="G589"/>
  <c r="G584"/>
  <c r="E594"/>
  <c r="E589"/>
  <c r="E584"/>
  <c r="C584"/>
  <c r="C589"/>
  <c r="C594"/>
  <c r="K564"/>
  <c r="K559"/>
  <c r="K554"/>
  <c r="I564"/>
  <c r="I559"/>
  <c r="I554"/>
  <c r="G564"/>
  <c r="G559"/>
  <c r="G554"/>
  <c r="E564"/>
  <c r="E559"/>
  <c r="E554"/>
  <c r="C554"/>
  <c r="C559"/>
  <c r="C564"/>
  <c r="K534"/>
  <c r="K529"/>
  <c r="K524"/>
  <c r="I534"/>
  <c r="I529"/>
  <c r="I524"/>
  <c r="G534"/>
  <c r="G529"/>
  <c r="G524"/>
  <c r="E534"/>
  <c r="E529"/>
  <c r="E524"/>
  <c r="C524"/>
  <c r="C529"/>
  <c r="C534"/>
  <c r="K504"/>
  <c r="K499"/>
  <c r="K494"/>
  <c r="I504"/>
  <c r="I499"/>
  <c r="I494"/>
  <c r="G504"/>
  <c r="G499"/>
  <c r="G494"/>
  <c r="E504"/>
  <c r="E499"/>
  <c r="E494"/>
  <c r="C494"/>
  <c r="C499"/>
  <c r="C504"/>
  <c r="K444"/>
  <c r="K439"/>
  <c r="K434"/>
  <c r="I444"/>
  <c r="I439"/>
  <c r="I434"/>
  <c r="G444"/>
  <c r="G439"/>
  <c r="G434"/>
  <c r="E444"/>
  <c r="E439"/>
  <c r="E434"/>
  <c r="C434"/>
  <c r="C439"/>
  <c r="C444"/>
  <c r="K414"/>
  <c r="K409"/>
  <c r="K404"/>
  <c r="I414"/>
  <c r="I409"/>
  <c r="I404"/>
  <c r="G414"/>
  <c r="G409"/>
  <c r="G404"/>
  <c r="E414"/>
  <c r="E409"/>
  <c r="E404"/>
  <c r="C404"/>
  <c r="C409"/>
  <c r="C414"/>
  <c r="K384"/>
  <c r="K379"/>
  <c r="K374"/>
  <c r="I384"/>
  <c r="I379"/>
  <c r="I374"/>
  <c r="G384"/>
  <c r="G379"/>
  <c r="G374"/>
  <c r="E384"/>
  <c r="E379"/>
  <c r="E374"/>
  <c r="C374"/>
  <c r="C379"/>
  <c r="C384"/>
  <c r="K354"/>
  <c r="K349"/>
  <c r="K344"/>
  <c r="I354"/>
  <c r="I349"/>
  <c r="I344"/>
  <c r="G354"/>
  <c r="G349"/>
  <c r="G344"/>
  <c r="E354"/>
  <c r="E349"/>
  <c r="E344"/>
  <c r="C344"/>
  <c r="C349"/>
  <c r="C354"/>
  <c r="K324"/>
  <c r="K319"/>
  <c r="K314"/>
  <c r="I324"/>
  <c r="I319"/>
  <c r="I314"/>
  <c r="G324"/>
  <c r="G319"/>
  <c r="G314"/>
  <c r="E324"/>
  <c r="E319"/>
  <c r="E314"/>
  <c r="C314"/>
  <c r="C319"/>
  <c r="C324"/>
  <c r="K294"/>
  <c r="K289"/>
  <c r="K284"/>
  <c r="I294"/>
  <c r="I289"/>
  <c r="I284"/>
  <c r="G294"/>
  <c r="G289"/>
  <c r="G284"/>
  <c r="E294"/>
  <c r="E289"/>
  <c r="E284"/>
  <c r="C284"/>
  <c r="C289"/>
  <c r="C294"/>
  <c r="K264"/>
  <c r="K259"/>
  <c r="K254"/>
  <c r="I264"/>
  <c r="I259"/>
  <c r="I254"/>
  <c r="G264"/>
  <c r="G259"/>
  <c r="G254"/>
  <c r="E264"/>
  <c r="E259"/>
  <c r="E254"/>
  <c r="C254"/>
  <c r="C259"/>
  <c r="C264"/>
  <c r="K234"/>
  <c r="K229"/>
  <c r="K224"/>
  <c r="I234"/>
  <c r="I229"/>
  <c r="I224"/>
  <c r="G234"/>
  <c r="G229"/>
  <c r="G224"/>
  <c r="E234"/>
  <c r="E229"/>
  <c r="E224"/>
  <c r="C224"/>
  <c r="C229"/>
  <c r="C234"/>
  <c r="K204"/>
  <c r="K199"/>
  <c r="K194"/>
  <c r="I204"/>
  <c r="I199"/>
  <c r="I194"/>
  <c r="G204"/>
  <c r="G199"/>
  <c r="G194"/>
  <c r="E194"/>
  <c r="E199"/>
  <c r="E204"/>
  <c r="C194"/>
  <c r="C199"/>
  <c r="C204"/>
  <c r="K174"/>
  <c r="K169"/>
  <c r="K164"/>
  <c r="I174"/>
  <c r="I169"/>
  <c r="I164"/>
  <c r="G174"/>
  <c r="G169"/>
  <c r="G164"/>
  <c r="E174"/>
  <c r="E169"/>
  <c r="E164"/>
  <c r="C164"/>
  <c r="C169"/>
  <c r="C174"/>
  <c r="K144"/>
  <c r="K139"/>
  <c r="K134"/>
  <c r="I144"/>
  <c r="I139"/>
  <c r="I134"/>
  <c r="G144"/>
  <c r="G139"/>
  <c r="G134"/>
  <c r="E144"/>
  <c r="E139"/>
  <c r="E134"/>
  <c r="C134"/>
  <c r="C139"/>
  <c r="C144"/>
  <c r="C11" i="27" l="1"/>
  <c r="H25"/>
  <c r="N583" i="28"/>
  <c r="J518"/>
  <c r="J592"/>
  <c r="B9" i="27"/>
  <c r="J533" i="28"/>
  <c r="D523"/>
  <c r="B17" i="27"/>
  <c r="E19"/>
  <c r="H550" i="28"/>
  <c r="N370"/>
  <c r="N430"/>
  <c r="B562"/>
  <c r="E16" i="27"/>
  <c r="F581" i="28"/>
  <c r="B14" i="27"/>
  <c r="H522" i="28"/>
  <c r="H432"/>
  <c r="D551"/>
  <c r="E14" i="27"/>
  <c r="N418" i="28"/>
  <c r="B490"/>
  <c r="H430"/>
  <c r="L553"/>
  <c r="D503"/>
  <c r="B502"/>
  <c r="F557"/>
  <c r="F493"/>
  <c r="H526"/>
  <c r="N410"/>
  <c r="H71"/>
  <c r="N563"/>
  <c r="H535"/>
  <c r="D442"/>
  <c r="D13"/>
  <c r="L207"/>
  <c r="L555"/>
  <c r="B18" i="27"/>
  <c r="L412" i="28"/>
  <c r="D316"/>
  <c r="D11" i="27"/>
  <c r="F578" i="28"/>
  <c r="D317"/>
  <c r="H590"/>
  <c r="B205"/>
  <c r="H202"/>
  <c r="N567"/>
  <c r="D508"/>
  <c r="L206"/>
  <c r="B266"/>
  <c r="H88"/>
  <c r="B588"/>
  <c r="F555"/>
  <c r="H248"/>
  <c r="J8"/>
  <c r="L378"/>
  <c r="L368"/>
  <c r="D260"/>
  <c r="N518"/>
  <c r="H227"/>
  <c r="J286"/>
  <c r="J38"/>
  <c r="D142"/>
  <c r="F408"/>
  <c r="L371"/>
  <c r="D111"/>
  <c r="B507"/>
  <c r="N412"/>
  <c r="B521"/>
  <c r="D443"/>
  <c r="B560"/>
  <c r="D538"/>
  <c r="N493"/>
  <c r="L527"/>
  <c r="F567"/>
  <c r="D562"/>
  <c r="B526"/>
  <c r="B525"/>
  <c r="B520"/>
  <c r="F497"/>
  <c r="E17" i="27"/>
  <c r="J445" i="28"/>
  <c r="B527"/>
  <c r="N588"/>
  <c r="J496"/>
  <c r="L528"/>
  <c r="L595"/>
  <c r="L406"/>
  <c r="D580"/>
  <c r="J498"/>
  <c r="N446"/>
  <c r="J587"/>
  <c r="J582"/>
  <c r="D501"/>
  <c r="G13" i="27"/>
  <c r="N415" i="28"/>
  <c r="L411"/>
  <c r="L281"/>
  <c r="G25" i="27"/>
  <c r="N537" i="28"/>
  <c r="J401"/>
  <c r="H295"/>
  <c r="H195"/>
  <c r="N565"/>
  <c r="H585"/>
  <c r="H442"/>
  <c r="J355"/>
  <c r="F500"/>
  <c r="D532"/>
  <c r="J437"/>
  <c r="D320"/>
  <c r="H443"/>
  <c r="D193"/>
  <c r="J566"/>
  <c r="B10" i="27"/>
  <c r="H431" i="28"/>
  <c r="D40"/>
  <c r="F177"/>
  <c r="N555"/>
  <c r="H398"/>
  <c r="H355"/>
  <c r="H237"/>
  <c r="N532"/>
  <c r="B566"/>
  <c r="J378"/>
  <c r="L238"/>
  <c r="B190"/>
  <c r="B536"/>
  <c r="N530"/>
  <c r="H508"/>
  <c r="F18" i="27"/>
  <c r="D526" i="28"/>
  <c r="B532"/>
  <c r="N592"/>
  <c r="N507"/>
  <c r="B550"/>
  <c r="J548"/>
  <c r="C12" i="27"/>
  <c r="N497" i="28"/>
  <c r="J563"/>
  <c r="G10" i="27"/>
  <c r="L598" i="28"/>
  <c r="N593"/>
  <c r="N520"/>
  <c r="L581"/>
  <c r="B433"/>
  <c r="D341"/>
  <c r="N596"/>
  <c r="L586"/>
  <c r="G11" i="27"/>
  <c r="C18"/>
  <c r="E22"/>
  <c r="H561" i="28"/>
  <c r="B353"/>
  <c r="N561"/>
  <c r="D553"/>
  <c r="F586"/>
  <c r="J263"/>
  <c r="C9" i="27"/>
  <c r="B436" i="28"/>
  <c r="B417"/>
  <c r="F286"/>
  <c r="B142"/>
  <c r="H168"/>
  <c r="G9" i="27"/>
  <c r="N557" i="28"/>
  <c r="J296"/>
  <c r="H316"/>
  <c r="H536"/>
  <c r="N502"/>
  <c r="B338"/>
  <c r="B523"/>
  <c r="F138"/>
  <c r="N401"/>
  <c r="L377"/>
  <c r="F375"/>
  <c r="F50"/>
  <c r="J132"/>
  <c r="F498"/>
  <c r="J521"/>
  <c r="D537"/>
  <c r="F228"/>
  <c r="N597"/>
  <c r="J506"/>
  <c r="F370"/>
  <c r="B13"/>
  <c r="L348"/>
  <c r="L227"/>
  <c r="B287"/>
  <c r="B10" i="19"/>
  <c r="H315" i="28"/>
  <c r="J201"/>
  <c r="F372"/>
  <c r="J551"/>
  <c r="F412"/>
  <c r="N590"/>
  <c r="B508"/>
  <c r="B20" i="27"/>
  <c r="H18"/>
  <c r="B592" i="28"/>
  <c r="B593"/>
  <c r="H507"/>
  <c r="G19" i="27"/>
  <c r="L548" i="28"/>
  <c r="H591"/>
  <c r="H497"/>
  <c r="L563"/>
  <c r="F381"/>
  <c r="N598"/>
  <c r="H593"/>
  <c r="N580"/>
  <c r="N581"/>
  <c r="C24" i="27"/>
  <c r="H13"/>
  <c r="J530" i="28"/>
  <c r="F25" i="27"/>
  <c r="F537" i="28"/>
  <c r="H552"/>
  <c r="H10" i="27"/>
  <c r="B561" i="28"/>
  <c r="N383"/>
  <c r="J561"/>
  <c r="L552"/>
  <c r="D411"/>
  <c r="F113"/>
  <c r="F503"/>
  <c r="B411"/>
  <c r="B401"/>
  <c r="B136"/>
  <c r="D195"/>
  <c r="H108"/>
  <c r="J525"/>
  <c r="J491"/>
  <c r="J168"/>
  <c r="D167"/>
  <c r="H596"/>
  <c r="H502"/>
  <c r="N358"/>
  <c r="J522"/>
  <c r="L192"/>
  <c r="J387"/>
  <c r="L352"/>
  <c r="D381"/>
  <c r="B225"/>
  <c r="D283"/>
  <c r="N388"/>
  <c r="F72"/>
  <c r="L506"/>
  <c r="J221"/>
  <c r="F53"/>
  <c r="J136"/>
  <c r="C11" i="19"/>
  <c r="F160" i="28"/>
  <c r="D347"/>
  <c r="B383"/>
  <c r="H447"/>
  <c r="F161"/>
  <c r="H220"/>
  <c r="J146"/>
  <c r="J231"/>
  <c r="D28"/>
  <c r="N528"/>
  <c r="N328"/>
  <c r="J372"/>
  <c r="J112"/>
  <c r="L171"/>
  <c r="F18" i="19"/>
  <c r="J177" i="28"/>
  <c r="B237"/>
  <c r="J403"/>
  <c r="H358"/>
  <c r="J235"/>
  <c r="B531"/>
  <c r="F536"/>
  <c r="D531"/>
  <c r="J583"/>
  <c r="J507"/>
  <c r="F592"/>
  <c r="F532"/>
  <c r="D593"/>
  <c r="E8" i="27"/>
  <c r="F550" i="28"/>
  <c r="N488"/>
  <c r="N417"/>
  <c r="H22" i="27"/>
  <c r="J416" i="28"/>
  <c r="B413"/>
  <c r="D548"/>
  <c r="D13" i="27"/>
  <c r="D521" i="28"/>
  <c r="B582"/>
  <c r="D418"/>
  <c r="L493"/>
  <c r="D597"/>
  <c r="B587"/>
  <c r="J381"/>
  <c r="F436"/>
  <c r="H553"/>
  <c r="F20" i="27"/>
  <c r="F358" i="28"/>
  <c r="B23" i="27"/>
  <c r="B493" i="28"/>
  <c r="J586"/>
  <c r="L288"/>
  <c r="J412"/>
  <c r="F441"/>
  <c r="F431"/>
  <c r="F322"/>
  <c r="H402"/>
  <c r="D208"/>
  <c r="D583"/>
  <c r="D558"/>
  <c r="H437"/>
  <c r="F316"/>
  <c r="L536"/>
  <c r="B578"/>
  <c r="L322"/>
  <c r="D590"/>
  <c r="D400"/>
  <c r="N18"/>
  <c r="L501"/>
  <c r="F518"/>
  <c r="J373"/>
  <c r="D266"/>
  <c r="L565"/>
  <c r="N521"/>
  <c r="B555"/>
  <c r="B218"/>
  <c r="D598"/>
  <c r="D8" i="27"/>
  <c r="J375" i="28"/>
  <c r="J188"/>
  <c r="D348"/>
  <c r="J227"/>
  <c r="L286"/>
  <c r="H14" i="19"/>
  <c r="F142" i="28"/>
  <c r="H201"/>
  <c r="H357"/>
  <c r="H47"/>
  <c r="N535"/>
  <c r="F531"/>
  <c r="F508"/>
  <c r="J386"/>
  <c r="H592"/>
  <c r="H532"/>
  <c r="F593"/>
  <c r="L507"/>
  <c r="N548"/>
  <c r="J488"/>
  <c r="E25" i="27"/>
  <c r="L497" i="28"/>
  <c r="D226"/>
  <c r="J495"/>
  <c r="L237"/>
  <c r="B400"/>
  <c r="H146"/>
  <c r="L418"/>
  <c r="H86"/>
  <c r="F417"/>
  <c r="J160"/>
  <c r="L218"/>
  <c r="H258"/>
  <c r="J448"/>
  <c r="H318"/>
  <c r="L220"/>
  <c r="F9" i="19"/>
  <c r="F82" i="28"/>
  <c r="B295"/>
  <c r="B447"/>
  <c r="F137"/>
  <c r="D385"/>
  <c r="J48"/>
  <c r="D172"/>
  <c r="H13" i="19"/>
  <c r="N341" i="28"/>
  <c r="J103"/>
  <c r="F143"/>
  <c r="D230"/>
  <c r="J102"/>
  <c r="L11"/>
  <c r="J508"/>
  <c r="D9" i="27"/>
  <c r="L585" i="28"/>
  <c r="L351"/>
  <c r="F385"/>
  <c r="C13" i="27"/>
  <c r="H523" i="28"/>
  <c r="F446"/>
  <c r="J357"/>
  <c r="L550"/>
  <c r="D376"/>
  <c r="H578"/>
  <c r="D502"/>
  <c r="L556"/>
  <c r="J581"/>
  <c r="D373"/>
  <c r="F8" i="27"/>
  <c r="B556" i="28"/>
  <c r="H551"/>
  <c r="B495"/>
  <c r="C25" i="27"/>
  <c r="B381" i="28"/>
  <c r="L435"/>
  <c r="G18" i="27"/>
  <c r="L438" i="28"/>
  <c r="F507"/>
  <c r="J560"/>
  <c r="C20" i="27"/>
  <c r="L526" i="28"/>
  <c r="F133"/>
  <c r="L131"/>
  <c r="D565"/>
  <c r="F597"/>
  <c r="B147"/>
  <c r="H145"/>
  <c r="F357"/>
  <c r="B16" i="27"/>
  <c r="D431" i="28"/>
  <c r="B418"/>
  <c r="J326"/>
  <c r="F535"/>
  <c r="B25" i="27"/>
  <c r="N448" i="28"/>
  <c r="F11" i="27"/>
  <c r="B371" i="28"/>
  <c r="F202"/>
  <c r="D568"/>
  <c r="D506"/>
  <c r="J206"/>
  <c r="H292"/>
  <c r="F111"/>
  <c r="F588"/>
  <c r="D495"/>
  <c r="F248"/>
  <c r="D80"/>
  <c r="B385"/>
  <c r="B375"/>
  <c r="B260"/>
  <c r="H26"/>
  <c r="F227"/>
  <c r="F118"/>
  <c r="D136"/>
  <c r="J321"/>
  <c r="J50"/>
  <c r="N562"/>
  <c r="H252"/>
  <c r="F172"/>
  <c r="B407"/>
  <c r="J590"/>
  <c r="H588"/>
  <c r="F560"/>
  <c r="H538"/>
  <c r="L591"/>
  <c r="F445"/>
  <c r="J567"/>
  <c r="H562"/>
  <c r="H548"/>
  <c r="D591"/>
  <c r="D12" i="27"/>
  <c r="H563" i="28"/>
  <c r="N490"/>
  <c r="J598"/>
  <c r="F527"/>
  <c r="J580"/>
  <c r="D22" i="27"/>
  <c r="B530" i="28"/>
  <c r="B596"/>
  <c r="F530"/>
  <c r="H580"/>
  <c r="N498"/>
  <c r="D552"/>
  <c r="B528"/>
  <c r="D24" i="27"/>
  <c r="H20"/>
  <c r="L432" i="28"/>
  <c r="D430"/>
  <c r="N405"/>
  <c r="J281"/>
  <c r="B503"/>
  <c r="D557"/>
  <c r="G23" i="27"/>
  <c r="J405" i="28"/>
  <c r="C14" i="27"/>
  <c r="H401" i="28"/>
  <c r="L558"/>
  <c r="F587"/>
  <c r="L560"/>
  <c r="L430"/>
  <c r="B282"/>
  <c r="E12" i="27"/>
  <c r="N406" i="28"/>
  <c r="F295"/>
  <c r="F195"/>
  <c r="B432"/>
  <c r="F525"/>
  <c r="F491"/>
  <c r="N495"/>
  <c r="F25"/>
  <c r="D596"/>
  <c r="F568"/>
  <c r="B103"/>
  <c r="J443"/>
  <c r="B193"/>
  <c r="N566"/>
  <c r="F378"/>
  <c r="J226"/>
  <c r="D225"/>
  <c r="F255"/>
  <c r="J490"/>
  <c r="J383"/>
  <c r="H370"/>
  <c r="F237"/>
  <c r="F16" i="27"/>
  <c r="F566" i="28"/>
  <c r="H438"/>
  <c r="F75"/>
  <c r="B437"/>
  <c r="L133"/>
  <c r="L136"/>
  <c r="E20" i="19"/>
  <c r="H160" i="28"/>
  <c r="J218"/>
  <c r="F258"/>
  <c r="H440"/>
  <c r="H161"/>
  <c r="J220"/>
  <c r="J47"/>
  <c r="D71"/>
  <c r="L345"/>
  <c r="D441"/>
  <c r="N311"/>
  <c r="F115"/>
  <c r="L112"/>
  <c r="B172"/>
  <c r="D12" i="19"/>
  <c r="L177" i="28"/>
  <c r="D237"/>
  <c r="F398"/>
  <c r="L228"/>
  <c r="F102"/>
  <c r="F201"/>
  <c r="B263"/>
  <c r="H12" i="19"/>
  <c r="D76" i="28"/>
  <c r="F321"/>
  <c r="H400"/>
  <c r="D87"/>
  <c r="D115"/>
  <c r="D380"/>
  <c r="L137"/>
  <c r="B197"/>
  <c r="D262"/>
  <c r="B88"/>
  <c r="F313"/>
  <c r="H298"/>
  <c r="F207"/>
  <c r="G11" i="19"/>
  <c r="D222" i="28"/>
  <c r="B131"/>
  <c r="J430"/>
  <c r="L551"/>
  <c r="F77"/>
  <c r="F291"/>
  <c r="D323"/>
  <c r="L358"/>
  <c r="B40"/>
  <c r="H595"/>
  <c r="H501"/>
  <c r="H441"/>
  <c r="L338"/>
  <c r="D101"/>
  <c r="C9" i="19"/>
  <c r="B116" i="28"/>
  <c r="N315"/>
  <c r="N416"/>
  <c r="D383"/>
  <c r="B135"/>
  <c r="H176"/>
  <c r="G23" i="19"/>
  <c r="B355" i="28"/>
  <c r="B166"/>
  <c r="J368"/>
  <c r="J280"/>
  <c r="H17" i="19"/>
  <c r="F582" i="18"/>
  <c r="F356"/>
  <c r="H352"/>
  <c r="H537"/>
  <c r="D40"/>
  <c r="N438" i="28"/>
  <c r="B12"/>
  <c r="J518" i="18"/>
  <c r="H282"/>
  <c r="H166"/>
  <c r="N506"/>
  <c r="D531"/>
  <c r="F87" i="28"/>
  <c r="F147"/>
  <c r="H23"/>
  <c r="L500" i="18"/>
  <c r="H591"/>
  <c r="D220"/>
  <c r="D340"/>
  <c r="D163"/>
  <c r="F278" i="28"/>
  <c r="D326"/>
  <c r="F12" i="19"/>
  <c r="D197" i="18"/>
  <c r="B352"/>
  <c r="B535"/>
  <c r="J387"/>
  <c r="B73"/>
  <c r="J278" i="28"/>
  <c r="J202"/>
  <c r="L141"/>
  <c r="B201"/>
  <c r="B12" i="19"/>
  <c r="L100" i="18"/>
  <c r="D410"/>
  <c r="J433"/>
  <c r="H111"/>
  <c r="H167" i="28"/>
  <c r="B171"/>
  <c r="N15"/>
  <c r="F433" i="18"/>
  <c r="D237"/>
  <c r="N503"/>
  <c r="F81"/>
  <c r="B556"/>
  <c r="B177" i="28"/>
  <c r="D73"/>
  <c r="D25" i="19"/>
  <c r="F100" i="18"/>
  <c r="J528"/>
  <c r="J358"/>
  <c r="F401"/>
  <c r="F538"/>
  <c r="D10" i="28"/>
  <c r="H8"/>
  <c r="B445" i="18"/>
  <c r="N387"/>
  <c r="F265"/>
  <c r="L248"/>
  <c r="B288"/>
  <c r="H387"/>
  <c r="F375"/>
  <c r="N437"/>
  <c r="B251"/>
  <c r="H345"/>
  <c r="D81"/>
  <c r="J190"/>
  <c r="D203"/>
  <c r="H327"/>
  <c r="F47"/>
  <c r="H16"/>
  <c r="D208"/>
  <c r="J278"/>
  <c r="B403"/>
  <c r="H10"/>
  <c r="L13"/>
  <c r="H595"/>
  <c r="L313"/>
  <c r="J383"/>
  <c r="F521"/>
  <c r="N16"/>
  <c r="L375" i="28"/>
  <c r="H137"/>
  <c r="L102"/>
  <c r="B345"/>
  <c r="L262"/>
  <c r="D53"/>
  <c r="F235"/>
  <c r="J106"/>
  <c r="L405"/>
  <c r="D22"/>
  <c r="H265"/>
  <c r="E9" i="19"/>
  <c r="D288" i="28"/>
  <c r="D188"/>
  <c r="B262"/>
  <c r="L230"/>
  <c r="N403"/>
  <c r="B148"/>
  <c r="D207"/>
  <c r="B16" i="19"/>
  <c r="L370" i="28"/>
  <c r="F281"/>
  <c r="J446"/>
  <c r="B552"/>
  <c r="B232"/>
  <c r="L140"/>
  <c r="F283"/>
  <c r="H323"/>
  <c r="H82"/>
  <c r="D52"/>
  <c r="J43"/>
  <c r="L508"/>
  <c r="D192"/>
  <c r="H251"/>
  <c r="H22" i="19"/>
  <c r="F266" i="28"/>
  <c r="F166"/>
  <c r="H372"/>
  <c r="D408"/>
  <c r="F285"/>
  <c r="L323"/>
  <c r="J12"/>
  <c r="B43"/>
  <c r="L407"/>
  <c r="L593"/>
  <c r="D582"/>
  <c r="N447"/>
  <c r="D587"/>
  <c r="G14" i="27"/>
  <c r="F561" i="28"/>
  <c r="F502"/>
  <c r="D586"/>
  <c r="H418"/>
  <c r="J537"/>
  <c r="D406"/>
  <c r="J295"/>
  <c r="J348"/>
  <c r="H498"/>
  <c r="D585"/>
  <c r="D437"/>
  <c r="B308"/>
  <c r="E10" i="27"/>
  <c r="F442" i="28"/>
  <c r="F432"/>
  <c r="D490"/>
  <c r="B445"/>
  <c r="H347"/>
  <c r="B22" i="27"/>
  <c r="D535" i="28"/>
  <c r="J173"/>
  <c r="J51"/>
  <c r="N352"/>
  <c r="J520"/>
  <c r="E18" i="27"/>
  <c r="J406" i="28"/>
  <c r="J237"/>
  <c r="J532"/>
  <c r="L568"/>
  <c r="B251"/>
  <c r="J325"/>
  <c r="F218"/>
  <c r="L298"/>
  <c r="F11"/>
  <c r="N318"/>
  <c r="L160"/>
  <c r="F78"/>
  <c r="N381"/>
  <c r="B441"/>
  <c r="J318"/>
  <c r="B73"/>
  <c r="F10" i="19"/>
  <c r="J252" i="28"/>
  <c r="D295"/>
  <c r="B326"/>
  <c r="D85"/>
  <c r="L260"/>
  <c r="D353"/>
  <c r="L28"/>
  <c r="F342"/>
  <c r="B342"/>
  <c r="L103"/>
  <c r="F311"/>
  <c r="L13"/>
  <c r="B23"/>
  <c r="F583"/>
  <c r="J347"/>
  <c r="D498"/>
  <c r="J175"/>
  <c r="J317"/>
  <c r="J196"/>
  <c r="H263"/>
  <c r="D25"/>
  <c r="J140"/>
  <c r="D138"/>
  <c r="L328"/>
  <c r="F320"/>
  <c r="F146"/>
  <c r="B316"/>
  <c r="D47"/>
  <c r="F23"/>
  <c r="H386"/>
  <c r="F231"/>
  <c r="H290"/>
  <c r="F353"/>
  <c r="B376"/>
  <c r="D250"/>
  <c r="B158"/>
  <c r="E24" i="19"/>
  <c r="J313" i="28"/>
  <c r="B200"/>
  <c r="J402"/>
  <c r="B168"/>
  <c r="F341"/>
  <c r="H13"/>
  <c r="H101"/>
  <c r="B20" i="19"/>
  <c r="F116" i="28"/>
  <c r="H175"/>
  <c r="H172"/>
  <c r="L383"/>
  <c r="F135"/>
  <c r="N340"/>
  <c r="F8" i="19"/>
  <c r="L278" i="28"/>
  <c r="L145"/>
  <c r="H45"/>
  <c r="B42"/>
  <c r="D218" i="18"/>
  <c r="B532"/>
  <c r="J316"/>
  <c r="J415"/>
  <c r="B440"/>
  <c r="L225" i="28"/>
  <c r="B285"/>
  <c r="B312"/>
  <c r="B567" i="18"/>
  <c r="H230"/>
  <c r="B565"/>
  <c r="J170"/>
  <c r="B28"/>
  <c r="H256" i="28"/>
  <c r="B315"/>
  <c r="G19" i="19"/>
  <c r="H410" i="18"/>
  <c r="H261"/>
  <c r="L355"/>
  <c r="N433"/>
  <c r="D18"/>
  <c r="H28" i="28"/>
  <c r="H326"/>
  <c r="D10" i="19"/>
  <c r="H556" i="18"/>
  <c r="D373"/>
  <c r="F20"/>
  <c r="D553"/>
  <c r="B370" i="28"/>
  <c r="L267"/>
  <c r="B328"/>
  <c r="N387"/>
  <c r="L17"/>
  <c r="F263" i="18"/>
  <c r="D418"/>
  <c r="H328"/>
  <c r="D141"/>
  <c r="L530"/>
  <c r="B163" i="28"/>
  <c r="H350"/>
  <c r="J26"/>
  <c r="H488" i="18"/>
  <c r="F233"/>
  <c r="L161"/>
  <c r="J431"/>
  <c r="J385" i="28"/>
  <c r="F46"/>
  <c r="D75"/>
  <c r="J522" i="18"/>
  <c r="F381"/>
  <c r="F136"/>
  <c r="B201"/>
  <c r="L432"/>
  <c r="D328" i="28"/>
  <c r="D86"/>
  <c r="J203"/>
  <c r="J230" i="18"/>
  <c r="F578"/>
  <c r="N583"/>
  <c r="J490"/>
  <c r="D15"/>
  <c r="N388"/>
  <c r="J17"/>
  <c r="N351"/>
  <c r="D288"/>
  <c r="N581"/>
  <c r="D580"/>
  <c r="J503"/>
  <c r="L118"/>
  <c r="F410"/>
  <c r="L350"/>
  <c r="H582"/>
  <c r="L435"/>
  <c r="H286"/>
  <c r="S41"/>
  <c r="H581"/>
  <c r="H370"/>
  <c r="F327"/>
  <c r="L232"/>
  <c r="D591"/>
  <c r="D560"/>
  <c r="F407"/>
  <c r="H170" i="28"/>
  <c r="C25" i="19"/>
  <c r="J143" i="28"/>
  <c r="L296"/>
  <c r="N13"/>
  <c r="G25" i="19"/>
  <c r="D255" i="28"/>
  <c r="L190"/>
  <c r="J342"/>
  <c r="F263"/>
  <c r="B16"/>
  <c r="B291"/>
  <c r="H288"/>
  <c r="J328"/>
  <c r="F171"/>
  <c r="J287"/>
  <c r="L447"/>
  <c r="H16"/>
  <c r="L26"/>
  <c r="B13" i="19"/>
  <c r="D231" i="28"/>
  <c r="B140"/>
  <c r="L326"/>
  <c r="F492"/>
  <c r="J98"/>
  <c r="D312"/>
  <c r="D20"/>
  <c r="L163"/>
  <c r="J440"/>
  <c r="N382"/>
  <c r="F310"/>
  <c r="B195"/>
  <c r="H192"/>
  <c r="L251"/>
  <c r="E22" i="19"/>
  <c r="J266" i="28"/>
  <c r="N322"/>
  <c r="N356"/>
  <c r="L408"/>
  <c r="J285"/>
  <c r="H193"/>
  <c r="B23" i="19"/>
  <c r="B402" i="28"/>
  <c r="B348"/>
  <c r="D112"/>
  <c r="H130"/>
  <c r="H23" i="19"/>
  <c r="J140" i="18"/>
  <c r="D113"/>
  <c r="H342"/>
  <c r="J558"/>
  <c r="F376" i="28"/>
  <c r="H133"/>
  <c r="J261"/>
  <c r="J38" i="18"/>
  <c r="H567"/>
  <c r="H132"/>
  <c r="N342"/>
  <c r="B382" i="28"/>
  <c r="L590"/>
  <c r="F523"/>
  <c r="N558"/>
  <c r="J538"/>
  <c r="N591"/>
  <c r="B440"/>
  <c r="D567"/>
  <c r="J562"/>
  <c r="F526"/>
  <c r="F591"/>
  <c r="H11" i="27"/>
  <c r="D497" i="28"/>
  <c r="J555"/>
  <c r="L537"/>
  <c r="H527"/>
  <c r="L580"/>
  <c r="B19" i="27"/>
  <c r="D530" i="28"/>
  <c r="J595"/>
  <c r="H530"/>
  <c r="B580"/>
  <c r="B500"/>
  <c r="F552"/>
  <c r="J527"/>
  <c r="G8" i="27"/>
  <c r="B501" i="28"/>
  <c r="J438"/>
  <c r="D405"/>
  <c r="N380"/>
  <c r="F131"/>
  <c r="B563"/>
  <c r="H14" i="27"/>
  <c r="J417" i="28"/>
  <c r="B145"/>
  <c r="J341"/>
  <c r="D23" i="27"/>
  <c r="F585" i="28"/>
  <c r="B537"/>
  <c r="L341"/>
  <c r="D57"/>
  <c r="F596"/>
  <c r="F495"/>
  <c r="D171"/>
  <c r="L448"/>
  <c r="H340"/>
  <c r="B567"/>
  <c r="C17" i="27"/>
  <c r="B70" i="28"/>
  <c r="B47"/>
  <c r="L433"/>
  <c r="J370"/>
  <c r="J358"/>
  <c r="H380"/>
  <c r="B86"/>
  <c r="H8" i="27"/>
  <c r="H566" i="28"/>
  <c r="J111"/>
  <c r="J238"/>
  <c r="L431"/>
  <c r="D58"/>
  <c r="D72"/>
  <c r="H411"/>
  <c r="L310"/>
  <c r="L356"/>
  <c r="B108"/>
  <c r="H415"/>
  <c r="D536"/>
  <c r="B12" i="27"/>
  <c r="H583" i="28"/>
  <c r="D518"/>
  <c r="L592"/>
  <c r="F12" i="27"/>
  <c r="D533" i="28"/>
  <c r="E9" i="27"/>
  <c r="D550" i="28"/>
  <c r="E13" i="27"/>
  <c r="J550" i="28"/>
  <c r="L401"/>
  <c r="J441"/>
  <c r="L561"/>
  <c r="B548"/>
  <c r="B506"/>
  <c r="B8" i="27"/>
  <c r="B522" i="28"/>
  <c r="H407"/>
  <c r="L445"/>
  <c r="B597"/>
  <c r="H16" i="27"/>
  <c r="L372" i="28"/>
  <c r="H405"/>
  <c r="F553"/>
  <c r="C19" i="27"/>
  <c r="F383" i="28"/>
  <c r="H368"/>
  <c r="D493"/>
  <c r="H586"/>
  <c r="J288"/>
  <c r="L22"/>
  <c r="B565"/>
  <c r="L505"/>
  <c r="H310"/>
  <c r="H43"/>
  <c r="B208"/>
  <c r="H555"/>
  <c r="B558"/>
  <c r="J431"/>
  <c r="L166"/>
  <c r="D14" i="27"/>
  <c r="N568" i="28"/>
  <c r="H525"/>
  <c r="B590"/>
  <c r="D350"/>
  <c r="F22"/>
  <c r="J501"/>
  <c r="H348"/>
  <c r="J223"/>
  <c r="J115"/>
  <c r="C23" i="27"/>
  <c r="L521" i="28"/>
  <c r="N553"/>
  <c r="H448"/>
  <c r="B17"/>
  <c r="J410"/>
  <c r="J400"/>
  <c r="L108"/>
  <c r="F355"/>
  <c r="B53"/>
  <c r="N508"/>
  <c r="D522"/>
  <c r="B586"/>
  <c r="H492"/>
  <c r="J398"/>
  <c r="L400"/>
  <c r="N443"/>
  <c r="F438"/>
  <c r="D496"/>
  <c r="B491"/>
  <c r="N523"/>
  <c r="L578"/>
  <c r="H385"/>
  <c r="B557"/>
  <c r="C8" i="27"/>
  <c r="H378" i="28"/>
  <c r="J380"/>
  <c r="F556"/>
  <c r="F17" i="27"/>
  <c r="D528" i="28"/>
  <c r="H376"/>
  <c r="J503"/>
  <c r="F558"/>
  <c r="N411"/>
  <c r="H587"/>
  <c r="H582"/>
  <c r="N560"/>
  <c r="N491"/>
  <c r="D20" i="27"/>
  <c r="H381" i="28"/>
  <c r="J131"/>
  <c r="J505"/>
  <c r="J597"/>
  <c r="N400"/>
  <c r="F145"/>
  <c r="H203"/>
  <c r="D372"/>
  <c r="H436"/>
  <c r="D412"/>
  <c r="J148"/>
  <c r="J535"/>
  <c r="F533"/>
  <c r="J497"/>
  <c r="N505"/>
  <c r="F328"/>
  <c r="D202"/>
  <c r="E24" i="27"/>
  <c r="L533" i="28"/>
  <c r="H206"/>
  <c r="D413"/>
  <c r="B226"/>
  <c r="B11" i="27"/>
  <c r="H495" i="28"/>
  <c r="H412"/>
  <c r="F86"/>
  <c r="L532"/>
  <c r="H568"/>
  <c r="J100"/>
  <c r="L287"/>
  <c r="D356"/>
  <c r="D118"/>
  <c r="B248"/>
  <c r="F162"/>
  <c r="H132"/>
  <c r="L12"/>
  <c r="D257"/>
  <c r="B416"/>
  <c r="B518"/>
  <c r="H24" i="27"/>
  <c r="J585" i="28"/>
  <c r="H520"/>
  <c r="F410"/>
  <c r="C10" i="27"/>
  <c r="D19"/>
  <c r="F413" i="28"/>
  <c r="L495"/>
  <c r="L490"/>
  <c r="D401"/>
  <c r="N578"/>
  <c r="F24" i="27"/>
  <c r="J556" i="28"/>
  <c r="H581"/>
  <c r="D398"/>
  <c r="G16" i="27"/>
  <c r="H556" i="28"/>
  <c r="F551"/>
  <c r="F528"/>
  <c r="F407"/>
  <c r="H496"/>
  <c r="H558"/>
  <c r="D16" i="27"/>
  <c r="N500" i="28"/>
  <c r="D507"/>
  <c r="H560"/>
  <c r="N551"/>
  <c r="D10" i="27"/>
  <c r="J283" i="28"/>
  <c r="D282"/>
  <c r="D505"/>
  <c r="L597"/>
  <c r="J298"/>
  <c r="L295"/>
  <c r="D343"/>
  <c r="J352"/>
  <c r="D447"/>
  <c r="B443"/>
  <c r="D308"/>
  <c r="L535"/>
  <c r="F22" i="27"/>
  <c r="D438" i="28"/>
  <c r="L346"/>
  <c r="H351"/>
  <c r="N347"/>
  <c r="B568"/>
  <c r="N533"/>
  <c r="B41"/>
  <c r="F292"/>
  <c r="B498"/>
  <c r="N378"/>
  <c r="B598"/>
  <c r="N437"/>
  <c r="F230"/>
  <c r="J268"/>
  <c r="L290"/>
  <c r="F312"/>
  <c r="L18"/>
  <c r="D563"/>
  <c r="F252"/>
  <c r="F308"/>
  <c r="L318"/>
  <c r="F55"/>
  <c r="G18" i="19"/>
  <c r="L252" i="28"/>
  <c r="J161"/>
  <c r="N346"/>
  <c r="B583"/>
  <c r="J253"/>
  <c r="B72"/>
  <c r="D43"/>
  <c r="N342"/>
  <c r="D342"/>
  <c r="L146"/>
  <c r="F170"/>
  <c r="H38"/>
  <c r="H143"/>
  <c r="L312"/>
  <c r="F10" i="27"/>
  <c r="B442" i="28"/>
  <c r="H9" i="27"/>
  <c r="L492" i="28"/>
  <c r="F538"/>
  <c r="J493"/>
  <c r="E20" i="27"/>
  <c r="D445" i="28"/>
  <c r="F562"/>
  <c r="N368"/>
  <c r="D525"/>
  <c r="D520"/>
  <c r="N496"/>
  <c r="H19" i="27"/>
  <c r="N538" i="28"/>
  <c r="D527"/>
  <c r="J588"/>
  <c r="L496"/>
  <c r="L588"/>
  <c r="H528"/>
  <c r="L381"/>
  <c r="N503"/>
  <c r="J558"/>
  <c r="N525"/>
  <c r="L587"/>
  <c r="L582"/>
  <c r="L500"/>
  <c r="D387"/>
  <c r="N398"/>
  <c r="L386"/>
  <c r="H131"/>
  <c r="G24" i="27"/>
  <c r="B538" i="28"/>
  <c r="F400"/>
  <c r="D145"/>
  <c r="F203"/>
  <c r="J565"/>
  <c r="B585"/>
  <c r="H417"/>
  <c r="H148"/>
  <c r="H343"/>
  <c r="J447"/>
  <c r="F448"/>
  <c r="H490"/>
  <c r="J536"/>
  <c r="B202"/>
  <c r="L566"/>
  <c r="B535"/>
  <c r="D417"/>
  <c r="H118"/>
  <c r="F42"/>
  <c r="N586"/>
  <c r="G20" i="27"/>
  <c r="J371" i="28"/>
  <c r="D78"/>
  <c r="B533"/>
  <c r="D566"/>
  <c r="H253"/>
  <c r="B162"/>
  <c r="D218"/>
  <c r="B311"/>
  <c r="D27"/>
  <c r="B412"/>
  <c r="N310"/>
  <c r="F45"/>
  <c r="B238"/>
  <c r="F430"/>
  <c r="F9" i="27"/>
  <c r="L436" i="28"/>
  <c r="N585"/>
  <c r="B492"/>
  <c r="J415"/>
  <c r="L416"/>
  <c r="H23" i="27"/>
  <c r="J418" i="28"/>
  <c r="B496"/>
  <c r="F14" i="27"/>
  <c r="L523" i="28"/>
  <c r="L518"/>
  <c r="D588"/>
  <c r="D407"/>
  <c r="B410"/>
  <c r="D251"/>
  <c r="H218"/>
  <c r="F136"/>
  <c r="C18" i="19"/>
  <c r="J292" i="28"/>
  <c r="J163"/>
  <c r="H382"/>
  <c r="L203"/>
  <c r="F347"/>
  <c r="H70"/>
  <c r="D45"/>
  <c r="F418"/>
  <c r="D253"/>
  <c r="L261"/>
  <c r="F8"/>
  <c r="B372"/>
  <c r="F112"/>
  <c r="J312"/>
  <c r="F15"/>
  <c r="L373"/>
  <c r="H42"/>
  <c r="B403"/>
  <c r="J27"/>
  <c r="J432"/>
  <c r="B297"/>
  <c r="F387"/>
  <c r="B591"/>
  <c r="F505"/>
  <c r="D560"/>
  <c r="H12" i="27"/>
  <c r="D592" i="28"/>
  <c r="J526"/>
  <c r="H567"/>
  <c r="C22" i="27"/>
  <c r="F548" i="28"/>
  <c r="J591"/>
  <c r="H557"/>
  <c r="F563"/>
  <c r="C16" i="27"/>
  <c r="H598" i="28"/>
  <c r="J593"/>
  <c r="B581"/>
  <c r="D433"/>
  <c r="E11" i="27"/>
  <c r="N595" i="28"/>
  <c r="L530"/>
  <c r="F580"/>
  <c r="E23" i="27"/>
  <c r="J552" i="28"/>
  <c r="N527"/>
  <c r="D561"/>
  <c r="B24" i="27"/>
  <c r="B438" i="28"/>
  <c r="N552"/>
  <c r="D386"/>
  <c r="L263"/>
  <c r="H503"/>
  <c r="N441"/>
  <c r="N431"/>
  <c r="H286"/>
  <c r="H341"/>
  <c r="H27"/>
  <c r="L525"/>
  <c r="L488"/>
  <c r="N317"/>
  <c r="D146"/>
  <c r="J596"/>
  <c r="J492"/>
  <c r="J353"/>
  <c r="L522"/>
  <c r="F340"/>
  <c r="H17" i="27"/>
  <c r="D358" i="28"/>
  <c r="N375"/>
  <c r="D375"/>
  <c r="L132"/>
  <c r="H488"/>
  <c r="N372"/>
  <c r="N353"/>
  <c r="H228"/>
  <c r="L531"/>
  <c r="F506"/>
  <c r="L443"/>
  <c r="B56"/>
  <c r="B75"/>
  <c r="J42"/>
  <c r="D287"/>
  <c r="D23" i="19"/>
  <c r="J310" i="28"/>
  <c r="L201"/>
  <c r="B358"/>
  <c r="L428"/>
  <c r="G17" i="27"/>
  <c r="J568" i="28"/>
  <c r="L583"/>
  <c r="H518"/>
  <c r="G12" i="27"/>
  <c r="D416" i="28"/>
  <c r="H533"/>
  <c r="J523"/>
  <c r="F13" i="27"/>
  <c r="F350" i="28"/>
  <c r="N550"/>
  <c r="N386"/>
  <c r="J578"/>
  <c r="N501"/>
  <c r="B13" i="27"/>
  <c r="D581" i="28"/>
  <c r="B405"/>
  <c r="F522"/>
  <c r="D556"/>
  <c r="B551"/>
  <c r="B497"/>
  <c r="F23" i="27"/>
  <c r="B356" i="28"/>
  <c r="L410"/>
  <c r="J553"/>
  <c r="H433"/>
  <c r="N506"/>
  <c r="J557"/>
  <c r="D17" i="27"/>
  <c r="N526" i="28"/>
  <c r="L283"/>
  <c r="F48"/>
  <c r="F565"/>
  <c r="N556"/>
  <c r="H403"/>
  <c r="F496"/>
  <c r="J528"/>
  <c r="B505"/>
  <c r="N436"/>
  <c r="F582"/>
  <c r="D492"/>
  <c r="H406"/>
  <c r="H505"/>
  <c r="H597"/>
  <c r="H297"/>
  <c r="L110"/>
  <c r="H428"/>
  <c r="F356"/>
  <c r="F490"/>
  <c r="L437"/>
  <c r="J166"/>
  <c r="F595"/>
  <c r="D578"/>
  <c r="N432"/>
  <c r="F590"/>
  <c r="B352"/>
  <c r="L347"/>
  <c r="L567"/>
  <c r="L498"/>
  <c r="J351"/>
  <c r="H115"/>
  <c r="B55"/>
  <c r="N587"/>
  <c r="D555"/>
  <c r="B98"/>
  <c r="J52"/>
  <c r="L403"/>
  <c r="L385"/>
  <c r="J108"/>
  <c r="L520"/>
  <c r="B71"/>
  <c r="L268"/>
  <c r="L143"/>
  <c r="H342"/>
  <c r="J413"/>
  <c r="L387"/>
  <c r="B111"/>
  <c r="D321"/>
  <c r="H72"/>
  <c r="F73"/>
  <c r="L417"/>
  <c r="B253"/>
  <c r="L161"/>
  <c r="H260"/>
  <c r="F377"/>
  <c r="L253"/>
  <c r="H312"/>
  <c r="N348"/>
  <c r="J343"/>
  <c r="L16"/>
  <c r="D500"/>
  <c r="J170"/>
  <c r="G20" i="19"/>
  <c r="L317" i="28"/>
  <c r="J388"/>
  <c r="J320"/>
  <c r="L325"/>
  <c r="J428"/>
  <c r="L446"/>
  <c r="L350"/>
  <c r="D256"/>
  <c r="D77"/>
  <c r="D311"/>
  <c r="F382"/>
  <c r="J531"/>
  <c r="H188"/>
  <c r="J433"/>
  <c r="J138"/>
  <c r="L197"/>
  <c r="J117"/>
  <c r="B80"/>
  <c r="H46"/>
  <c r="L8"/>
  <c r="L101"/>
  <c r="D377"/>
  <c r="H250"/>
  <c r="F158"/>
  <c r="E25" i="19"/>
  <c r="B173" i="28"/>
  <c r="H223"/>
  <c r="D403"/>
  <c r="F297"/>
  <c r="L173"/>
  <c r="B228"/>
  <c r="J11"/>
  <c r="L398"/>
  <c r="J53"/>
  <c r="J46"/>
  <c r="B323"/>
  <c r="H416"/>
  <c r="B26"/>
  <c r="J15"/>
  <c r="L355"/>
  <c r="H117"/>
  <c r="L316"/>
  <c r="L111"/>
  <c r="J232"/>
  <c r="F163" i="18"/>
  <c r="D251"/>
  <c r="F258"/>
  <c r="L428"/>
  <c r="N383"/>
  <c r="F68" i="28"/>
  <c r="J142"/>
  <c r="C20" i="19"/>
  <c r="F343" i="18"/>
  <c r="J488"/>
  <c r="H538"/>
  <c r="H588"/>
  <c r="F251"/>
  <c r="L256" i="28"/>
  <c r="F315"/>
  <c r="E19" i="19"/>
  <c r="J582" i="18"/>
  <c r="B371"/>
  <c r="H386"/>
  <c r="H23"/>
  <c r="B197"/>
  <c r="N373" i="28"/>
  <c r="D16"/>
  <c r="L160" i="18"/>
  <c r="H550"/>
  <c r="D221"/>
  <c r="N431"/>
  <c r="L590"/>
  <c r="N345" i="28"/>
  <c r="D415"/>
  <c r="L282"/>
  <c r="D338"/>
  <c r="B105"/>
  <c r="D202" i="18"/>
  <c r="J567"/>
  <c r="J560"/>
  <c r="H197"/>
  <c r="H433"/>
  <c r="F163" i="28"/>
  <c r="H222"/>
  <c r="G22" i="19"/>
  <c r="L231" i="18"/>
  <c r="H295"/>
  <c r="L252"/>
  <c r="B406"/>
  <c r="L202" i="28"/>
  <c r="L226"/>
  <c r="N25"/>
  <c r="L501" i="18"/>
  <c r="B580"/>
  <c r="L537"/>
  <c r="N556"/>
  <c r="L282"/>
  <c r="H198" i="28"/>
  <c r="J257"/>
  <c r="D8"/>
  <c r="L400" i="18"/>
  <c r="F232"/>
  <c r="J417"/>
  <c r="L376"/>
  <c r="H201"/>
  <c r="H533"/>
  <c r="N591"/>
  <c r="H313"/>
  <c r="J401"/>
  <c r="L405"/>
  <c r="B402"/>
  <c r="L265"/>
  <c r="H110"/>
  <c r="J145"/>
  <c r="D525"/>
  <c r="H597"/>
  <c r="D320"/>
  <c r="L372"/>
  <c r="D68"/>
  <c r="F262"/>
  <c r="H78"/>
  <c r="F368"/>
  <c r="S10"/>
  <c r="F596"/>
  <c r="J15"/>
  <c r="H71"/>
  <c r="F440" i="28"/>
  <c r="J255"/>
  <c r="H15"/>
  <c r="N402"/>
  <c r="L162"/>
  <c r="J116"/>
  <c r="L413"/>
  <c r="D488"/>
  <c r="J205"/>
  <c r="J105"/>
  <c r="H100"/>
  <c r="J316"/>
  <c r="F28"/>
  <c r="N531"/>
  <c r="F327"/>
  <c r="F520"/>
  <c r="B290"/>
  <c r="F148"/>
  <c r="D48"/>
  <c r="B233"/>
  <c r="B57"/>
  <c r="H226"/>
  <c r="B257"/>
  <c r="H493"/>
  <c r="B100"/>
  <c r="J308"/>
  <c r="D14" i="19"/>
  <c r="D165" i="28"/>
  <c r="B373"/>
  <c r="H383"/>
  <c r="D137"/>
  <c r="F110"/>
  <c r="N21"/>
  <c r="B45"/>
  <c r="H268"/>
  <c r="N22"/>
  <c r="H75"/>
  <c r="H328"/>
  <c r="H287"/>
  <c r="H81"/>
  <c r="L193"/>
  <c r="D355"/>
  <c r="G22" i="27"/>
  <c r="L538" i="28"/>
  <c r="F521"/>
  <c r="D402"/>
  <c r="L596"/>
  <c r="D18" i="27"/>
  <c r="B448" i="28"/>
  <c r="B378"/>
  <c r="B553"/>
  <c r="D113"/>
  <c r="F416"/>
  <c r="F406"/>
  <c r="L135"/>
  <c r="D388"/>
  <c r="N376"/>
  <c r="F19" i="27"/>
  <c r="L557" i="28"/>
  <c r="D432"/>
  <c r="B167"/>
  <c r="N536"/>
  <c r="L502"/>
  <c r="F191"/>
  <c r="N522"/>
  <c r="N385"/>
  <c r="B68"/>
  <c r="F501"/>
  <c r="J350"/>
  <c r="L223"/>
  <c r="B283"/>
  <c r="H565"/>
  <c r="H521"/>
  <c r="H537"/>
  <c r="D228"/>
  <c r="F598"/>
  <c r="D25" i="27"/>
  <c r="F386" i="28"/>
  <c r="L188"/>
  <c r="H356"/>
  <c r="F71"/>
  <c r="H136"/>
  <c r="C12" i="19"/>
  <c r="L292" i="28"/>
  <c r="B347"/>
  <c r="F388"/>
  <c r="H55"/>
  <c r="D161"/>
  <c r="B435"/>
  <c r="H21"/>
  <c r="F105"/>
  <c r="D68"/>
  <c r="J13"/>
  <c r="L158"/>
  <c r="N377"/>
  <c r="H112"/>
  <c r="J171"/>
  <c r="H11" i="19"/>
  <c r="H177" i="28"/>
  <c r="L236"/>
  <c r="L388"/>
  <c r="J192"/>
  <c r="L255"/>
  <c r="B595"/>
  <c r="D103"/>
  <c r="H80"/>
  <c r="B196"/>
  <c r="J436"/>
  <c r="J340"/>
  <c r="B351"/>
  <c r="L113"/>
  <c r="G10" i="19"/>
  <c r="D280" i="28"/>
  <c r="N326"/>
  <c r="N492"/>
  <c r="H18"/>
  <c r="D435"/>
  <c r="D298"/>
  <c r="D198"/>
  <c r="F24" i="19"/>
  <c r="L221" i="28"/>
  <c r="D322"/>
  <c r="B446"/>
  <c r="F197"/>
  <c r="F225"/>
  <c r="J22"/>
  <c r="J17"/>
  <c r="F443"/>
  <c r="F173"/>
  <c r="B58"/>
  <c r="D281"/>
  <c r="H506"/>
  <c r="D175"/>
  <c r="H233"/>
  <c r="H58"/>
  <c r="F257"/>
  <c r="B82"/>
  <c r="L503"/>
  <c r="B488"/>
  <c r="F267"/>
  <c r="D176"/>
  <c r="B18"/>
  <c r="F200"/>
  <c r="N433"/>
  <c r="B221"/>
  <c r="F280"/>
  <c r="L10"/>
  <c r="N408" i="18"/>
  <c r="D526"/>
  <c r="B232"/>
  <c r="J281"/>
  <c r="J377"/>
  <c r="D70" i="28"/>
  <c r="B143"/>
  <c r="C17" i="19"/>
  <c r="B525" i="18"/>
  <c r="D595"/>
  <c r="J347"/>
  <c r="J376"/>
  <c r="D190" i="28"/>
  <c r="H338"/>
  <c r="J55"/>
  <c r="B560" i="18"/>
  <c r="H193"/>
  <c r="D143"/>
  <c r="J380"/>
  <c r="F377"/>
  <c r="B278" i="28"/>
  <c r="B170"/>
  <c r="F58"/>
  <c r="H442" i="18"/>
  <c r="F21"/>
  <c r="H11"/>
  <c r="N12"/>
  <c r="J555"/>
  <c r="J208" i="28"/>
  <c r="J236"/>
  <c r="H141"/>
  <c r="J200"/>
  <c r="B8" i="19"/>
  <c r="N341" i="18"/>
  <c r="H503"/>
  <c r="N11"/>
  <c r="D536"/>
  <c r="H231"/>
  <c r="B22" i="28"/>
  <c r="L222"/>
  <c r="F536" i="18"/>
  <c r="J227"/>
  <c r="F22"/>
  <c r="B578"/>
  <c r="J556"/>
  <c r="J176" i="28"/>
  <c r="D227"/>
  <c r="J45"/>
  <c r="N345" i="18"/>
  <c r="H141"/>
  <c r="F188"/>
  <c r="D508"/>
  <c r="B176"/>
  <c r="L198" i="28"/>
  <c r="B258"/>
  <c r="F22" i="19"/>
  <c r="F267" i="18"/>
  <c r="L552"/>
  <c r="L188"/>
  <c r="H520"/>
  <c r="H530"/>
  <c r="J133"/>
  <c r="H87"/>
  <c r="L505"/>
  <c r="J551"/>
  <c r="D327"/>
  <c r="B130"/>
  <c r="L108"/>
  <c r="J266"/>
  <c r="N440"/>
  <c r="H358"/>
  <c r="J8"/>
  <c r="J107"/>
  <c r="S55"/>
  <c r="L528"/>
  <c r="L441"/>
  <c r="B432"/>
  <c r="L117"/>
  <c r="D191"/>
  <c r="J493"/>
  <c r="F338"/>
  <c r="B13"/>
  <c r="J228" i="28"/>
  <c r="L235"/>
  <c r="L441"/>
  <c r="J260"/>
  <c r="H77"/>
  <c r="L195"/>
  <c r="L293"/>
  <c r="F447"/>
  <c r="B206"/>
  <c r="D265"/>
  <c r="F14" i="19"/>
  <c r="J128" i="28"/>
  <c r="L178"/>
  <c r="N355"/>
  <c r="D11"/>
  <c r="F403"/>
  <c r="J147"/>
  <c r="N343"/>
  <c r="F51"/>
  <c r="F196"/>
  <c r="F433"/>
  <c r="F435"/>
  <c r="H261"/>
  <c r="D252"/>
  <c r="F16"/>
  <c r="L128"/>
  <c r="L442"/>
  <c r="N321"/>
  <c r="H232"/>
  <c r="J130"/>
  <c r="N582"/>
  <c r="J322"/>
  <c r="F80"/>
  <c r="B15"/>
  <c r="L106"/>
  <c r="L353"/>
  <c r="J345"/>
  <c r="F488"/>
  <c r="L116"/>
  <c r="B113"/>
  <c r="J56"/>
  <c r="D200"/>
  <c r="D440"/>
  <c r="D203"/>
  <c r="H262"/>
  <c r="D131"/>
  <c r="L197" i="18"/>
  <c r="D88"/>
  <c r="H340"/>
  <c r="L191"/>
  <c r="J388"/>
  <c r="D235" i="28"/>
  <c r="F293"/>
  <c r="D16" i="19"/>
  <c r="H227" i="18"/>
  <c r="N535"/>
  <c r="F312"/>
  <c r="N518"/>
  <c r="F380" i="28"/>
  <c r="J28"/>
  <c r="D23"/>
  <c r="J132" i="18"/>
  <c r="H490"/>
  <c r="F506"/>
  <c r="L263"/>
  <c r="N410"/>
  <c r="D261" i="28"/>
  <c r="B318"/>
  <c r="H377"/>
  <c r="H325"/>
  <c r="D130"/>
  <c r="B146" i="18"/>
  <c r="J370"/>
  <c r="J375"/>
  <c r="D107" i="28"/>
  <c r="B206" i="18"/>
  <c r="H168"/>
  <c r="B350" i="28"/>
  <c r="F343"/>
  <c r="N415" i="18"/>
  <c r="N356"/>
  <c r="L118" i="28"/>
  <c r="B19" i="19"/>
  <c r="L581" i="18"/>
  <c r="J148"/>
  <c r="J535"/>
  <c r="F158"/>
  <c r="F195"/>
  <c r="J267" i="28"/>
  <c r="H282"/>
  <c r="J40"/>
  <c r="D21"/>
  <c r="D11" i="19"/>
  <c r="L198" i="18"/>
  <c r="B353"/>
  <c r="H288"/>
  <c r="L496"/>
  <c r="B321" i="28"/>
  <c r="F205"/>
  <c r="D162"/>
  <c r="B48" i="18"/>
  <c r="F230"/>
  <c r="F56"/>
  <c r="D596"/>
  <c r="J171"/>
  <c r="L100" i="28"/>
  <c r="H236"/>
  <c r="E12" i="19"/>
  <c r="L283" i="18"/>
  <c r="D253"/>
  <c r="F237"/>
  <c r="D428"/>
  <c r="F238" i="28"/>
  <c r="L250"/>
  <c r="D15"/>
  <c r="B430" i="18"/>
  <c r="J587"/>
  <c r="J40"/>
  <c r="N435"/>
  <c r="F161"/>
  <c r="B236"/>
  <c r="F488"/>
  <c r="D231"/>
  <c r="L401"/>
  <c r="N592"/>
  <c r="B223"/>
  <c r="L343"/>
  <c r="D598"/>
  <c r="B106" i="28"/>
  <c r="G9" i="19"/>
  <c r="S76" i="18"/>
  <c r="B280"/>
  <c r="D128" i="28"/>
  <c r="B24" i="19"/>
  <c r="D9"/>
  <c r="D105" i="18"/>
  <c r="J538"/>
  <c r="L281"/>
  <c r="J440"/>
  <c r="F43"/>
  <c r="D27"/>
  <c r="N355"/>
  <c r="J310"/>
  <c r="H410" i="28"/>
  <c r="L191"/>
  <c r="F537" i="18"/>
  <c r="F285"/>
  <c r="F402"/>
  <c r="N371" i="28"/>
  <c r="B593" i="18"/>
  <c r="J355"/>
  <c r="L167" i="28"/>
  <c r="D55"/>
  <c r="D415" i="18"/>
  <c r="B490"/>
  <c r="H345" i="28"/>
  <c r="B11" i="19"/>
  <c r="B101" i="18"/>
  <c r="F502"/>
  <c r="H436"/>
  <c r="H593"/>
  <c r="D232"/>
  <c r="H28"/>
  <c r="N432"/>
  <c r="B85"/>
  <c r="B45"/>
  <c r="H562"/>
  <c r="N380"/>
  <c r="J160"/>
  <c r="J562"/>
  <c r="J561"/>
  <c r="B375"/>
  <c r="J412"/>
  <c r="L193"/>
  <c r="J138"/>
  <c r="S40"/>
  <c r="B113"/>
  <c r="N377"/>
  <c r="J328"/>
  <c r="F415"/>
  <c r="J537"/>
  <c r="J525"/>
  <c r="J118"/>
  <c r="H438"/>
  <c r="D41"/>
  <c r="L525"/>
  <c r="J371"/>
  <c r="L265" i="28"/>
  <c r="N320"/>
  <c r="J195"/>
  <c r="J293"/>
  <c r="H491"/>
  <c r="F40"/>
  <c r="J113"/>
  <c r="C22" i="19"/>
  <c r="B280" i="28"/>
  <c r="F128"/>
  <c r="H375"/>
  <c r="J327"/>
  <c r="F428"/>
  <c r="N308"/>
  <c r="B198"/>
  <c r="B21"/>
  <c r="F437"/>
  <c r="H83"/>
  <c r="L562"/>
  <c r="F261"/>
  <c r="J101"/>
  <c r="H56"/>
  <c r="H158"/>
  <c r="C16" i="19"/>
  <c r="D173" i="28"/>
  <c r="B78"/>
  <c r="B281"/>
  <c r="N23"/>
  <c r="B175"/>
  <c r="F233"/>
  <c r="D220"/>
  <c r="D267"/>
  <c r="F373"/>
  <c r="J502"/>
  <c r="J10"/>
  <c r="D296"/>
  <c r="H371"/>
  <c r="F27"/>
  <c r="B406"/>
  <c r="J23"/>
  <c r="F348"/>
  <c r="B112"/>
  <c r="H113"/>
  <c r="D520" i="18"/>
  <c r="F286"/>
  <c r="J292"/>
  <c r="J378"/>
  <c r="D503"/>
  <c r="F81" i="28"/>
  <c r="L142"/>
  <c r="C19" i="19"/>
  <c r="D236" i="18"/>
  <c r="L133"/>
  <c r="J578"/>
  <c r="H385"/>
  <c r="S28"/>
  <c r="H85" i="28"/>
  <c r="H142"/>
  <c r="N318" i="18"/>
  <c r="N538"/>
  <c r="D196"/>
  <c r="D268"/>
  <c r="N560"/>
  <c r="J110" i="28"/>
  <c r="L168"/>
  <c r="D51"/>
  <c r="J255" i="18"/>
  <c r="L413"/>
  <c r="H285"/>
  <c r="L112"/>
  <c r="H46"/>
  <c r="F208" i="28"/>
  <c r="L415"/>
  <c r="F141"/>
  <c r="F338"/>
  <c r="N8"/>
  <c r="H502" i="18"/>
  <c r="B296"/>
  <c r="B252"/>
  <c r="F13"/>
  <c r="J253"/>
  <c r="H163" i="28"/>
  <c r="J222"/>
  <c r="H20" i="19"/>
  <c r="L261" i="18"/>
  <c r="F260"/>
  <c r="N23"/>
  <c r="F357"/>
  <c r="B317" i="28"/>
  <c r="B227"/>
  <c r="H197"/>
  <c r="N590" i="18"/>
  <c r="J98"/>
  <c r="N520"/>
  <c r="J492"/>
  <c r="H402"/>
  <c r="J198" i="28"/>
  <c r="L257"/>
  <c r="E11" i="19"/>
  <c r="B225" i="18"/>
  <c r="B167"/>
  <c r="B351"/>
  <c r="D107"/>
  <c r="L381"/>
  <c r="D377"/>
  <c r="F292"/>
  <c r="F373"/>
  <c r="B203"/>
  <c r="B358"/>
  <c r="H101"/>
  <c r="J505"/>
  <c r="B142"/>
  <c r="D260"/>
  <c r="D42"/>
  <c r="J290"/>
  <c r="B325"/>
  <c r="H580"/>
  <c r="F348"/>
  <c r="B491"/>
  <c r="B520"/>
  <c r="D56"/>
  <c r="F400"/>
  <c r="F496"/>
  <c r="D408"/>
  <c r="H55"/>
  <c r="B46" i="28"/>
  <c r="H235"/>
  <c r="H446"/>
  <c r="J265"/>
  <c r="L320"/>
  <c r="N325"/>
  <c r="F415"/>
  <c r="B340"/>
  <c r="L205"/>
  <c r="B265"/>
  <c r="F20"/>
  <c r="H128"/>
  <c r="B377"/>
  <c r="L491"/>
  <c r="H327"/>
  <c r="J408"/>
  <c r="D290"/>
  <c r="L343"/>
  <c r="H140"/>
  <c r="J442"/>
  <c r="D141"/>
  <c r="F41"/>
  <c r="B102"/>
  <c r="B252"/>
  <c r="D98"/>
  <c r="L308"/>
  <c r="H19" i="19"/>
  <c r="L321" i="28"/>
  <c r="F232"/>
  <c r="D378"/>
  <c r="J290"/>
  <c r="H322"/>
  <c r="D233"/>
  <c r="B191"/>
  <c r="B267"/>
  <c r="D17"/>
  <c r="J500"/>
  <c r="D133"/>
  <c r="B296"/>
  <c r="L376"/>
  <c r="D12"/>
  <c r="N357"/>
  <c r="D191"/>
  <c r="J282"/>
  <c r="F262"/>
  <c r="D268"/>
  <c r="D593" i="18"/>
  <c r="J548"/>
  <c r="F117" i="28"/>
  <c r="D286"/>
  <c r="J341" i="18"/>
  <c r="F325"/>
  <c r="L311"/>
  <c r="B293" i="28"/>
  <c r="J346" i="18"/>
  <c r="J340"/>
  <c r="H138"/>
  <c r="J165" i="28"/>
  <c r="N555" i="18"/>
  <c r="L238"/>
  <c r="L175"/>
  <c r="B50" i="28"/>
  <c r="L268" i="18"/>
  <c r="B443"/>
  <c r="J550"/>
  <c r="N531"/>
  <c r="D413"/>
  <c r="D38" i="28"/>
  <c r="N442"/>
  <c r="D292"/>
  <c r="H346"/>
  <c r="F17" i="19"/>
  <c r="H417" i="18"/>
  <c r="H248"/>
  <c r="D8"/>
  <c r="F133"/>
  <c r="N386"/>
  <c r="N413" i="28"/>
  <c r="L115"/>
  <c r="B173" i="18"/>
  <c r="D311"/>
  <c r="L138"/>
  <c r="L115"/>
  <c r="F108"/>
  <c r="D325" i="28"/>
  <c r="D236"/>
  <c r="E23" i="19"/>
  <c r="J407" i="18"/>
  <c r="F281"/>
  <c r="L597"/>
  <c r="F441"/>
  <c r="B26"/>
  <c r="B52" i="28"/>
  <c r="L107"/>
  <c r="D8" i="19"/>
  <c r="D295" i="18"/>
  <c r="H408"/>
  <c r="D21"/>
  <c r="F442"/>
  <c r="J168"/>
  <c r="F227"/>
  <c r="F371"/>
  <c r="F18"/>
  <c r="N561"/>
  <c r="N537"/>
  <c r="L110"/>
  <c r="B446"/>
  <c r="D147"/>
  <c r="L490"/>
  <c r="B265"/>
  <c r="J403"/>
  <c r="L433"/>
  <c r="D532"/>
  <c r="N413"/>
  <c r="B312"/>
  <c r="L196"/>
  <c r="L327"/>
  <c r="F112"/>
  <c r="H557"/>
  <c r="F58"/>
  <c r="F40"/>
  <c r="D266"/>
  <c r="F72"/>
  <c r="H235"/>
  <c r="S42"/>
  <c r="J128"/>
  <c r="H58"/>
  <c r="D582"/>
  <c r="L583"/>
  <c r="L143"/>
  <c r="L440"/>
  <c r="B388" i="28"/>
  <c r="J162"/>
  <c r="B380"/>
  <c r="B428"/>
  <c r="L25"/>
  <c r="L196"/>
  <c r="B256"/>
  <c r="H255"/>
  <c r="B431"/>
  <c r="D100"/>
  <c r="D18"/>
  <c r="F188"/>
  <c r="L20"/>
  <c r="H138"/>
  <c r="L402"/>
  <c r="F10"/>
  <c r="B387"/>
  <c r="H231"/>
  <c r="B268"/>
  <c r="L15"/>
  <c r="L357"/>
  <c r="F250"/>
  <c r="D158"/>
  <c r="F13" i="19"/>
  <c r="L313" i="28"/>
  <c r="F223"/>
  <c r="H408"/>
  <c r="H283"/>
  <c r="D368"/>
  <c r="B25"/>
  <c r="J18"/>
  <c r="B118"/>
  <c r="H116"/>
  <c r="D297"/>
  <c r="L172"/>
  <c r="B137"/>
  <c r="H135"/>
  <c r="B341"/>
  <c r="H16" i="19"/>
  <c r="L258" i="28"/>
  <c r="H110"/>
  <c r="B286"/>
  <c r="J21"/>
  <c r="H338" i="18"/>
  <c r="B597"/>
  <c r="D556"/>
  <c r="J591"/>
  <c r="B253"/>
  <c r="B81" i="28"/>
  <c r="D285"/>
  <c r="F26"/>
  <c r="J260" i="18"/>
  <c r="F501"/>
  <c r="L371"/>
  <c r="J218"/>
  <c r="D83"/>
  <c r="J256" i="28"/>
  <c r="D315"/>
  <c r="D17" i="19"/>
  <c r="N491" i="18"/>
  <c r="B128"/>
  <c r="F522"/>
  <c r="D257"/>
  <c r="D80"/>
  <c r="H20" i="28"/>
  <c r="B10"/>
  <c r="G8" i="19"/>
  <c r="S16" i="18"/>
  <c r="S50"/>
  <c r="N25"/>
  <c r="H296"/>
  <c r="F411" i="28"/>
  <c r="N11"/>
  <c r="D132"/>
  <c r="J135"/>
  <c r="H78"/>
  <c r="B148" i="18"/>
  <c r="B327"/>
  <c r="S26"/>
  <c r="F552"/>
  <c r="J437"/>
  <c r="D163" i="28"/>
  <c r="F222"/>
  <c r="H24" i="19"/>
  <c r="N358" i="18"/>
  <c r="D385"/>
  <c r="D565"/>
  <c r="F132"/>
  <c r="B51" i="28"/>
  <c r="D446"/>
  <c r="D160"/>
  <c r="L142" i="18"/>
  <c r="D133"/>
  <c r="H173"/>
  <c r="D347"/>
  <c r="B386"/>
  <c r="F198" i="28"/>
  <c r="F98"/>
  <c r="D26"/>
  <c r="L178" i="18"/>
  <c r="B441"/>
  <c r="D550"/>
  <c r="D207"/>
  <c r="D561"/>
  <c r="F495"/>
  <c r="J101"/>
  <c r="D343"/>
  <c r="H563"/>
  <c r="D315"/>
  <c r="J203"/>
  <c r="H38"/>
  <c r="N508"/>
  <c r="F372"/>
  <c r="S13"/>
  <c r="B286"/>
  <c r="J108"/>
  <c r="N381"/>
  <c r="F446"/>
  <c r="D442"/>
  <c r="F42"/>
  <c r="H222"/>
  <c r="L255"/>
  <c r="D206"/>
  <c r="J568"/>
  <c r="H103"/>
  <c r="L170" i="28"/>
  <c r="C13" i="19"/>
  <c r="L311" i="28"/>
  <c r="F402"/>
  <c r="H162"/>
  <c r="J197"/>
  <c r="H500"/>
  <c r="H41"/>
  <c r="L342"/>
  <c r="H105"/>
  <c r="B220"/>
  <c r="D291"/>
  <c r="D82"/>
  <c r="L148"/>
  <c r="H171"/>
  <c r="D248"/>
  <c r="N327"/>
  <c r="B408"/>
  <c r="D102"/>
  <c r="F401"/>
  <c r="F76"/>
  <c r="D140"/>
  <c r="F368"/>
  <c r="L382"/>
  <c r="D88"/>
  <c r="H308"/>
  <c r="G14" i="19"/>
  <c r="B165" i="28"/>
  <c r="D223"/>
  <c r="J377"/>
  <c r="D168"/>
  <c r="H373"/>
  <c r="B11"/>
  <c r="J57"/>
  <c r="F268"/>
  <c r="L266"/>
  <c r="H317"/>
  <c r="J172"/>
  <c r="F287"/>
  <c r="L285"/>
  <c r="J193"/>
  <c r="G13" i="19"/>
  <c r="J258" i="28"/>
  <c r="F282"/>
  <c r="J407"/>
  <c r="J58"/>
  <c r="D402" i="18"/>
  <c r="D227"/>
  <c r="B320"/>
  <c r="F198"/>
  <c r="H551"/>
  <c r="J233" i="28"/>
  <c r="J133"/>
  <c r="H87"/>
  <c r="L535" i="18"/>
  <c r="J228"/>
  <c r="H428"/>
  <c r="N382"/>
  <c r="F248"/>
  <c r="D106" i="28"/>
  <c r="H165"/>
  <c r="F16" i="19"/>
  <c r="L388" i="18"/>
  <c r="S47"/>
  <c r="B8"/>
  <c r="D317"/>
  <c r="J158"/>
  <c r="H57" i="28"/>
  <c r="H178"/>
  <c r="B14" i="19"/>
  <c r="B218" i="18"/>
  <c r="D493"/>
  <c r="J116"/>
  <c r="L518"/>
  <c r="F220" i="28"/>
  <c r="F226"/>
  <c r="F190"/>
  <c r="J382"/>
  <c r="F56"/>
  <c r="J531" i="18"/>
  <c r="B87" i="28"/>
  <c r="D42"/>
  <c r="D58" i="18"/>
  <c r="H47"/>
  <c r="H238" i="28"/>
  <c r="H76"/>
  <c r="D198" i="18"/>
  <c r="D528"/>
  <c r="B128" i="28"/>
  <c r="G12" i="19"/>
  <c r="F226" i="18"/>
  <c r="D188"/>
  <c r="D108" i="28"/>
  <c r="H103"/>
  <c r="G17" i="19"/>
  <c r="F551" i="18"/>
  <c r="F567"/>
  <c r="H592"/>
  <c r="D350"/>
  <c r="J167" i="28"/>
  <c r="D205"/>
  <c r="H73"/>
  <c r="L536" i="18"/>
  <c r="J536"/>
  <c r="N26"/>
  <c r="B118"/>
  <c r="B208"/>
  <c r="F325" i="28"/>
  <c r="F236"/>
  <c r="C23" i="19"/>
  <c r="J563" i="18"/>
  <c r="L206"/>
  <c r="F351"/>
  <c r="L566"/>
  <c r="H432"/>
  <c r="D491" i="28"/>
  <c r="D41"/>
  <c r="L532" i="18"/>
  <c r="N325"/>
  <c r="B198"/>
  <c r="L357"/>
  <c r="L407"/>
  <c r="F166"/>
  <c r="F560"/>
  <c r="D38"/>
  <c r="J41"/>
  <c r="J597"/>
  <c r="N310"/>
  <c r="L560"/>
  <c r="H257"/>
  <c r="H280"/>
  <c r="B57"/>
  <c r="B278"/>
  <c r="F435"/>
  <c r="J296"/>
  <c r="J191"/>
  <c r="J258"/>
  <c r="D338"/>
  <c r="J530"/>
  <c r="H177"/>
  <c r="J497"/>
  <c r="B262"/>
  <c r="H357"/>
  <c r="F106"/>
  <c r="D201"/>
  <c r="D108"/>
  <c r="F503"/>
  <c r="H283"/>
  <c r="B237"/>
  <c r="H8"/>
  <c r="N492"/>
  <c r="F340"/>
  <c r="J197"/>
  <c r="L338"/>
  <c r="F326"/>
  <c r="D57"/>
  <c r="B488"/>
  <c r="B518"/>
  <c r="B503"/>
  <c r="J236"/>
  <c r="L580"/>
  <c r="D432"/>
  <c r="H135"/>
  <c r="N15"/>
  <c r="D43"/>
  <c r="B16"/>
  <c r="F518"/>
  <c r="J207"/>
  <c r="L586"/>
  <c r="F168"/>
  <c r="N497"/>
  <c r="D533"/>
  <c r="B283"/>
  <c r="J520"/>
  <c r="D387"/>
  <c r="L412"/>
  <c r="J100"/>
  <c r="D25"/>
  <c r="D403"/>
  <c r="H447"/>
  <c r="N430"/>
  <c r="L522"/>
  <c r="B77"/>
  <c r="F135"/>
  <c r="B222"/>
  <c r="D433"/>
  <c r="D383"/>
  <c r="N442"/>
  <c r="H56"/>
  <c r="H80"/>
  <c r="L436"/>
  <c r="F10"/>
  <c r="J102"/>
  <c r="B562"/>
  <c r="B238"/>
  <c r="H497"/>
  <c r="H106"/>
  <c r="J413"/>
  <c r="F413"/>
  <c r="N521"/>
  <c r="B350"/>
  <c r="L18"/>
  <c r="D501"/>
  <c r="L131"/>
  <c r="F287"/>
  <c r="J25"/>
  <c r="J596"/>
  <c r="H265"/>
  <c r="H102"/>
  <c r="J105"/>
  <c r="L588"/>
  <c r="N20"/>
  <c r="N441"/>
  <c r="D135"/>
  <c r="L373"/>
  <c r="H583"/>
  <c r="D248"/>
  <c r="D353"/>
  <c r="D172"/>
  <c r="F588"/>
  <c r="N373"/>
  <c r="L218"/>
  <c r="H401"/>
  <c r="B131"/>
  <c r="L352"/>
  <c r="J408"/>
  <c r="F593"/>
  <c r="L176"/>
  <c r="F507"/>
  <c r="B135"/>
  <c r="H113"/>
  <c r="H206"/>
  <c r="D77"/>
  <c r="D381"/>
  <c r="H147"/>
  <c r="L288"/>
  <c r="D87"/>
  <c r="L137"/>
  <c r="N536"/>
  <c r="D308"/>
  <c r="H192"/>
  <c r="H317"/>
  <c r="H73"/>
  <c r="J252"/>
  <c r="F557"/>
  <c r="H41"/>
  <c r="D563"/>
  <c r="F41"/>
  <c r="B385"/>
  <c r="H598"/>
  <c r="L106"/>
  <c r="F531"/>
  <c r="S56"/>
  <c r="H407"/>
  <c r="J416"/>
  <c r="H45"/>
  <c r="J27"/>
  <c r="J381"/>
  <c r="N587"/>
  <c r="F430"/>
  <c r="N353"/>
  <c r="J163"/>
  <c r="F83"/>
  <c r="S86"/>
  <c r="F147"/>
  <c r="H17"/>
  <c r="H268"/>
  <c r="F358"/>
  <c r="H378"/>
  <c r="D111"/>
  <c r="L11"/>
  <c r="B188"/>
  <c r="D490"/>
  <c r="L416"/>
  <c r="H88"/>
  <c r="N532"/>
  <c r="D298"/>
  <c r="B497"/>
  <c r="L286"/>
  <c r="S78"/>
  <c r="B78"/>
  <c r="B587"/>
  <c r="H170"/>
  <c r="B585"/>
  <c r="D585"/>
  <c r="N372"/>
  <c r="F491"/>
  <c r="J526"/>
  <c r="H553"/>
  <c r="F131"/>
  <c r="D278"/>
  <c r="H560"/>
  <c r="J552"/>
  <c r="J237"/>
  <c r="B170"/>
  <c r="N323"/>
  <c r="L253"/>
  <c r="H51"/>
  <c r="B76"/>
  <c r="H15"/>
  <c r="J200"/>
  <c r="F218"/>
  <c r="B226"/>
  <c r="F563"/>
  <c r="J205"/>
  <c r="F353"/>
  <c r="L316"/>
  <c r="J103"/>
  <c r="D233"/>
  <c r="J28"/>
  <c r="L26"/>
  <c r="L582"/>
  <c r="D285"/>
  <c r="D130"/>
  <c r="H140"/>
  <c r="D568"/>
  <c r="F313"/>
  <c r="B140"/>
  <c r="L563"/>
  <c r="H368"/>
  <c r="J533"/>
  <c r="J18"/>
  <c r="D76"/>
  <c r="B502"/>
  <c r="L200"/>
  <c r="J287"/>
  <c r="H586"/>
  <c r="L551"/>
  <c r="H441"/>
  <c r="H531"/>
  <c r="J583"/>
  <c r="J238"/>
  <c r="D267"/>
  <c r="L27"/>
  <c r="B106"/>
  <c r="F295"/>
  <c r="F173"/>
  <c r="D292"/>
  <c r="F130"/>
  <c r="H353"/>
  <c r="J343"/>
  <c r="B550"/>
  <c r="D537"/>
  <c r="N505"/>
  <c r="B250"/>
  <c r="B442"/>
  <c r="D50"/>
  <c r="D86"/>
  <c r="B235"/>
  <c r="J521"/>
  <c r="D567"/>
  <c r="B191"/>
  <c r="D297"/>
  <c r="F498"/>
  <c r="B80"/>
  <c r="B418"/>
  <c r="D322"/>
  <c r="B310"/>
  <c r="H85"/>
  <c r="N10"/>
  <c r="L317"/>
  <c r="B416"/>
  <c r="H100"/>
  <c r="B526"/>
  <c r="D435"/>
  <c r="F350"/>
  <c r="S45"/>
  <c r="L17"/>
  <c r="F85"/>
  <c r="J111"/>
  <c r="D167"/>
  <c r="D175"/>
  <c r="H131"/>
  <c r="F585"/>
  <c r="B590"/>
  <c r="J410"/>
  <c r="L445"/>
  <c r="H355"/>
  <c r="B297"/>
  <c r="F386"/>
  <c r="D583"/>
  <c r="B133"/>
  <c r="D262"/>
  <c r="L28"/>
  <c r="F500"/>
  <c r="B285"/>
  <c r="H312"/>
  <c r="L430"/>
  <c r="H18"/>
  <c r="S12"/>
  <c r="S87"/>
  <c r="N348"/>
  <c r="L222"/>
  <c r="F140"/>
  <c r="L520"/>
  <c r="S73"/>
  <c r="F403"/>
  <c r="F205"/>
  <c r="F387"/>
  <c r="N578"/>
  <c r="B51"/>
  <c r="B343"/>
  <c r="H448"/>
  <c r="H238"/>
  <c r="L296"/>
  <c r="D98"/>
  <c r="F590"/>
  <c r="J165"/>
  <c r="B100"/>
  <c r="H21"/>
  <c r="N551"/>
  <c r="N498"/>
  <c r="F78"/>
  <c r="F45"/>
  <c r="F436"/>
  <c r="B256"/>
  <c r="F160"/>
  <c r="D293" i="28"/>
  <c r="D407" i="18"/>
  <c r="B21"/>
  <c r="D376"/>
  <c r="L165" i="28"/>
  <c r="L207" i="18"/>
  <c r="H291"/>
  <c r="D81" i="28"/>
  <c r="H50"/>
  <c r="H218" i="18"/>
  <c r="N352"/>
  <c r="B346" i="28"/>
  <c r="J291"/>
  <c r="L117"/>
  <c r="H77" i="18"/>
  <c r="F311"/>
  <c r="H498"/>
  <c r="B171"/>
  <c r="J280"/>
  <c r="H53" i="28"/>
  <c r="F43"/>
  <c r="J262" i="18"/>
  <c r="J436"/>
  <c r="L297"/>
  <c r="D398"/>
  <c r="B493"/>
  <c r="B325" i="28"/>
  <c r="B236"/>
  <c r="H12"/>
  <c r="N327" i="18"/>
  <c r="D551"/>
  <c r="D168"/>
  <c r="H590"/>
  <c r="F146"/>
  <c r="B20" i="28"/>
  <c r="J107"/>
  <c r="E8" i="19"/>
  <c r="L598" i="18"/>
  <c r="B383"/>
  <c r="B290"/>
  <c r="F170"/>
  <c r="F291"/>
  <c r="L190"/>
  <c r="B522"/>
  <c r="L437"/>
  <c r="H130"/>
  <c r="J317"/>
  <c r="F71"/>
  <c r="B72"/>
  <c r="J313"/>
  <c r="D12"/>
  <c r="N448"/>
  <c r="H191"/>
  <c r="D566"/>
  <c r="D581"/>
  <c r="D557"/>
  <c r="J167"/>
  <c r="H505"/>
  <c r="B323"/>
  <c r="B561"/>
  <c r="N488"/>
  <c r="H40"/>
  <c r="B136"/>
  <c r="D128"/>
  <c r="F448"/>
  <c r="F380"/>
  <c r="B563"/>
  <c r="F236"/>
  <c r="D518"/>
  <c r="B308"/>
  <c r="D341"/>
  <c r="B81"/>
  <c r="D588"/>
  <c r="H596"/>
  <c r="D538"/>
  <c r="B433"/>
  <c r="B137"/>
  <c r="H81"/>
  <c r="D142"/>
  <c r="D283"/>
  <c r="H381"/>
  <c r="D171"/>
  <c r="H198"/>
  <c r="B40"/>
  <c r="S57"/>
  <c r="L177"/>
  <c r="H172"/>
  <c r="B356"/>
  <c r="B43"/>
  <c r="B381"/>
  <c r="F38"/>
  <c r="N558"/>
  <c r="L438"/>
  <c r="B557"/>
  <c r="J106"/>
  <c r="J500"/>
  <c r="J10"/>
  <c r="D132"/>
  <c r="J581"/>
  <c r="F238"/>
  <c r="F562"/>
  <c r="F308"/>
  <c r="B228"/>
  <c r="D552"/>
  <c r="B438"/>
  <c r="D438"/>
  <c r="F298"/>
  <c r="B83"/>
  <c r="D321"/>
  <c r="N406"/>
  <c r="J446"/>
  <c r="B103"/>
  <c r="L285"/>
  <c r="S38"/>
  <c r="H297"/>
  <c r="D313"/>
  <c r="N585"/>
  <c r="F583"/>
  <c r="F145"/>
  <c r="H52"/>
  <c r="L325"/>
  <c r="H323"/>
  <c r="F76"/>
  <c r="J553"/>
  <c r="D587"/>
  <c r="J448"/>
  <c r="F321"/>
  <c r="S23"/>
  <c r="N18"/>
  <c r="B196"/>
  <c r="B17"/>
  <c r="D440"/>
  <c r="D26"/>
  <c r="L158"/>
  <c r="S68"/>
  <c r="B138"/>
  <c r="H293"/>
  <c r="D412"/>
  <c r="J352"/>
  <c r="S20"/>
  <c r="F322"/>
  <c r="D310"/>
  <c r="D592"/>
  <c r="F202"/>
  <c r="B98"/>
  <c r="H116"/>
  <c r="B322"/>
  <c r="D578"/>
  <c r="J320"/>
  <c r="F235"/>
  <c r="J248"/>
  <c r="J350"/>
  <c r="B368"/>
  <c r="L130"/>
  <c r="J438"/>
  <c r="D263"/>
  <c r="L113"/>
  <c r="D106"/>
  <c r="D13"/>
  <c r="D372"/>
  <c r="B533"/>
  <c r="H107"/>
  <c r="L128"/>
  <c r="N595"/>
  <c r="S85"/>
  <c r="J50"/>
  <c r="L523"/>
  <c r="J373"/>
  <c r="F165" i="28"/>
  <c r="N347" i="18"/>
  <c r="D497"/>
  <c r="H347"/>
  <c r="F178" i="28"/>
  <c r="F221"/>
  <c r="B313" i="18"/>
  <c r="H11" i="28"/>
  <c r="J232" i="18"/>
  <c r="J297" i="28"/>
  <c r="B68" i="18"/>
  <c r="B178" i="28"/>
  <c r="F77" i="18"/>
  <c r="L173"/>
  <c r="H208" i="28"/>
  <c r="L291"/>
  <c r="L23"/>
  <c r="D52" i="18"/>
  <c r="N411"/>
  <c r="L138" i="28"/>
  <c r="F23" i="19"/>
  <c r="N495" i="18"/>
  <c r="B410"/>
  <c r="F70" i="28"/>
  <c r="F388" i="18"/>
  <c r="F255"/>
  <c r="L111"/>
  <c r="H107" i="28"/>
  <c r="H117" i="18"/>
  <c r="J442"/>
  <c r="J586"/>
  <c r="B257"/>
  <c r="F497"/>
  <c r="L497"/>
  <c r="F385"/>
  <c r="F347"/>
  <c r="J137"/>
  <c r="L503"/>
  <c r="H287"/>
  <c r="F282"/>
  <c r="H205"/>
  <c r="J13"/>
  <c r="B143"/>
  <c r="F443"/>
  <c r="H165"/>
  <c r="N580"/>
  <c r="D47"/>
  <c r="B357"/>
  <c r="B102"/>
  <c r="N438"/>
  <c r="D368"/>
  <c r="L20"/>
  <c r="N446"/>
  <c r="H203"/>
  <c r="D115"/>
  <c r="L521"/>
  <c r="L205"/>
  <c r="F253"/>
  <c r="B160" i="28"/>
  <c r="F17"/>
  <c r="D18" i="19"/>
  <c r="B255" i="28"/>
  <c r="J190"/>
  <c r="H196"/>
  <c r="H387"/>
  <c r="H52"/>
  <c r="L380"/>
  <c r="B138"/>
  <c r="D197"/>
  <c r="L98"/>
  <c r="H445"/>
  <c r="B310"/>
  <c r="D117"/>
  <c r="H207"/>
  <c r="B17" i="19"/>
  <c r="B76" i="28"/>
  <c r="F290"/>
  <c r="J178"/>
  <c r="D357"/>
  <c r="B250"/>
  <c r="H291"/>
  <c r="D56"/>
  <c r="B77"/>
  <c r="N445"/>
  <c r="N407"/>
  <c r="D310"/>
  <c r="H320"/>
  <c r="N338"/>
  <c r="F101"/>
  <c r="F20" i="19"/>
  <c r="D116" i="28"/>
  <c r="F175"/>
  <c r="F167"/>
  <c r="B398"/>
  <c r="D135"/>
  <c r="L340"/>
  <c r="G16" i="19"/>
  <c r="L105" i="28"/>
  <c r="D327"/>
  <c r="L27"/>
  <c r="L280"/>
  <c r="C24" i="19"/>
  <c r="B521" i="18"/>
  <c r="H388"/>
  <c r="J256"/>
  <c r="F46"/>
  <c r="N316" i="28"/>
  <c r="B320"/>
  <c r="N16"/>
  <c r="B192" i="18"/>
  <c r="H506"/>
  <c r="L398"/>
  <c r="J406"/>
  <c r="F225"/>
  <c r="F256" i="28"/>
  <c r="F323"/>
  <c r="H40"/>
  <c r="B105" i="18"/>
  <c r="L323"/>
  <c r="L257"/>
  <c r="D351"/>
  <c r="B158"/>
  <c r="H278" i="28"/>
  <c r="F326"/>
  <c r="C10" i="19"/>
  <c r="L321" i="18"/>
  <c r="N502"/>
  <c r="D158"/>
  <c r="H202"/>
  <c r="L235"/>
  <c r="F108" i="28"/>
  <c r="F405"/>
  <c r="N10"/>
  <c r="D201"/>
  <c r="F25" i="19"/>
  <c r="B175" i="18"/>
  <c r="H415"/>
  <c r="H258"/>
  <c r="L145"/>
  <c r="H296" i="28"/>
  <c r="F352"/>
  <c r="F140"/>
  <c r="F565" i="18"/>
  <c r="F316"/>
  <c r="N403"/>
  <c r="B345"/>
  <c r="F355"/>
  <c r="D177" i="28"/>
  <c r="F83"/>
  <c r="D13" i="19"/>
  <c r="L491" i="18"/>
  <c r="F447"/>
  <c r="N357"/>
  <c r="B405"/>
  <c r="D238" i="28"/>
  <c r="J250"/>
  <c r="H10"/>
  <c r="F556" i="18"/>
  <c r="L568"/>
  <c r="L172"/>
  <c r="H200"/>
  <c r="F17"/>
  <c r="F266"/>
  <c r="L508"/>
  <c r="H507"/>
  <c r="L562"/>
  <c r="B162"/>
  <c r="N368"/>
  <c r="H70"/>
  <c r="D430"/>
  <c r="N316"/>
  <c r="N313"/>
  <c r="J21"/>
  <c r="N526"/>
  <c r="B50"/>
  <c r="B20"/>
  <c r="F52"/>
  <c r="S58"/>
  <c r="F411"/>
  <c r="H383"/>
  <c r="B537"/>
  <c r="H171"/>
  <c r="H86"/>
  <c r="H311" i="28"/>
  <c r="L175"/>
  <c r="N323"/>
  <c r="F317"/>
  <c r="D263"/>
  <c r="F11" i="19"/>
  <c r="F85" i="28"/>
  <c r="H321"/>
  <c r="J145"/>
  <c r="F21"/>
  <c r="J20"/>
  <c r="B386"/>
  <c r="F288"/>
  <c r="B343"/>
  <c r="F253"/>
  <c r="D83"/>
  <c r="J158"/>
  <c r="D148"/>
  <c r="D352"/>
  <c r="H18" i="19"/>
  <c r="B231" i="28"/>
  <c r="H281"/>
  <c r="N313"/>
  <c r="D382"/>
  <c r="D232"/>
  <c r="B141"/>
  <c r="F12"/>
  <c r="N350"/>
  <c r="H98"/>
  <c r="D595"/>
  <c r="D370"/>
  <c r="D436"/>
  <c r="F192"/>
  <c r="J251"/>
  <c r="G24" i="19"/>
  <c r="H266" i="28"/>
  <c r="H166"/>
  <c r="J411"/>
  <c r="B415"/>
  <c r="H285"/>
  <c r="F193"/>
  <c r="H10" i="19"/>
  <c r="N27" i="28"/>
  <c r="J315"/>
  <c r="H221"/>
  <c r="F130"/>
  <c r="D19" i="19"/>
  <c r="L233" i="18"/>
  <c r="B315"/>
  <c r="B261" i="28"/>
  <c r="D46"/>
  <c r="L132" i="18"/>
  <c r="H292"/>
  <c r="L233" i="28"/>
  <c r="B8"/>
  <c r="H437" i="18"/>
  <c r="D507"/>
  <c r="F106" i="28"/>
  <c r="B9" i="19"/>
  <c r="F193" i="18"/>
  <c r="H523"/>
  <c r="J356" i="28"/>
  <c r="D555" i="18"/>
  <c r="D265"/>
  <c r="H167"/>
  <c r="J441"/>
  <c r="H223"/>
  <c r="B161" i="28"/>
  <c r="H531"/>
  <c r="F132"/>
  <c r="H191"/>
  <c r="N26"/>
  <c r="H27" i="18"/>
  <c r="B553"/>
  <c r="F558"/>
  <c r="H220"/>
  <c r="H133"/>
  <c r="B313" i="28"/>
  <c r="F371"/>
  <c r="D24" i="19"/>
  <c r="L526" i="18"/>
  <c r="N568"/>
  <c r="J495"/>
  <c r="D258"/>
  <c r="J225" i="28"/>
  <c r="F206"/>
  <c r="B27"/>
  <c r="L258" i="18"/>
  <c r="B388"/>
  <c r="B596"/>
  <c r="J22"/>
  <c r="N412"/>
  <c r="D345" i="28"/>
  <c r="L248"/>
  <c r="L21"/>
  <c r="D447" i="18"/>
  <c r="L561"/>
  <c r="L295"/>
  <c r="H105"/>
  <c r="F592"/>
  <c r="B591"/>
  <c r="H405"/>
  <c r="F382"/>
  <c r="B268"/>
  <c r="N371"/>
  <c r="F315"/>
  <c r="H406"/>
  <c r="F8"/>
  <c r="F432"/>
  <c r="N445"/>
  <c r="H418"/>
  <c r="F268"/>
  <c r="F23"/>
  <c r="L351"/>
  <c r="J382"/>
  <c r="J285"/>
  <c r="L223"/>
  <c r="H416"/>
  <c r="D296"/>
  <c r="L168"/>
  <c r="B10"/>
  <c r="B551"/>
  <c r="B112"/>
  <c r="H320"/>
  <c r="N400"/>
  <c r="B293"/>
  <c r="F57"/>
  <c r="J593"/>
  <c r="D375"/>
  <c r="J297"/>
  <c r="F107"/>
  <c r="J251"/>
  <c r="J262" i="28"/>
  <c r="B38"/>
  <c r="F13"/>
  <c r="D371"/>
  <c r="H352"/>
  <c r="J25"/>
  <c r="B115"/>
  <c r="D22" i="19"/>
  <c r="J137" i="28"/>
  <c r="B327"/>
  <c r="B357"/>
  <c r="J230"/>
  <c r="N428"/>
  <c r="F298"/>
  <c r="N351"/>
  <c r="B18" i="19"/>
  <c r="B222" i="28"/>
  <c r="L130"/>
  <c r="N435"/>
  <c r="F38"/>
  <c r="F57"/>
  <c r="D340"/>
  <c r="H22"/>
  <c r="B176"/>
  <c r="H173"/>
  <c r="H111"/>
  <c r="D110"/>
  <c r="J435"/>
  <c r="J338"/>
  <c r="B101"/>
  <c r="D20" i="19"/>
  <c r="H257" i="28"/>
  <c r="L315"/>
  <c r="B223"/>
  <c r="H388"/>
  <c r="H267"/>
  <c r="F176"/>
  <c r="D105"/>
  <c r="H353"/>
  <c r="H435"/>
  <c r="D221"/>
  <c r="H280"/>
  <c r="E10" i="19"/>
  <c r="F278" i="18"/>
  <c r="F440"/>
  <c r="L116"/>
  <c r="N378"/>
  <c r="F53"/>
  <c r="H147" i="28"/>
  <c r="D143"/>
  <c r="E16" i="19"/>
  <c r="B190" i="18"/>
  <c r="J323"/>
  <c r="H382"/>
  <c r="J176"/>
  <c r="B146" i="28"/>
  <c r="D147"/>
  <c r="D351"/>
  <c r="L386" i="18"/>
  <c r="B172"/>
  <c r="B417"/>
  <c r="H555"/>
  <c r="B566"/>
  <c r="D278" i="28"/>
  <c r="D170"/>
  <c r="H68"/>
  <c r="B266" i="18"/>
  <c r="B52"/>
  <c r="J26"/>
  <c r="L227"/>
  <c r="B408"/>
  <c r="H25" i="28"/>
  <c r="D448"/>
  <c r="J141"/>
  <c r="L200"/>
  <c r="E17" i="19"/>
  <c r="J432" i="18"/>
  <c r="J411"/>
  <c r="B41"/>
  <c r="N407"/>
  <c r="J338"/>
  <c r="D428" i="28"/>
  <c r="N28"/>
  <c r="D346" i="18"/>
  <c r="D558"/>
  <c r="D230"/>
  <c r="H525"/>
  <c r="B376"/>
  <c r="L176" i="28"/>
  <c r="B83"/>
  <c r="E14" i="19"/>
  <c r="D177" i="18"/>
  <c r="H207"/>
  <c r="L195"/>
  <c r="H251"/>
  <c r="N528"/>
  <c r="J16" i="28"/>
  <c r="D258"/>
  <c r="B22" i="19"/>
  <c r="H237" i="18"/>
  <c r="F142"/>
  <c r="H495"/>
  <c r="F148"/>
  <c r="N402"/>
  <c r="J311"/>
  <c r="B220"/>
  <c r="J226"/>
  <c r="J372"/>
  <c r="L292"/>
  <c r="J20"/>
  <c r="B378"/>
  <c r="B531"/>
  <c r="H53"/>
  <c r="B86"/>
  <c r="D100"/>
  <c r="H266"/>
  <c r="J385"/>
  <c r="B141"/>
  <c r="F293"/>
  <c r="S82"/>
  <c r="H236"/>
  <c r="J400"/>
  <c r="H552"/>
  <c r="B380"/>
  <c r="N507"/>
  <c r="B230" i="28"/>
  <c r="H102"/>
  <c r="F260"/>
  <c r="F103"/>
  <c r="H17"/>
  <c r="D196"/>
  <c r="L327"/>
  <c r="J207"/>
  <c r="D206"/>
  <c r="F265"/>
  <c r="B25" i="19"/>
  <c r="B288" i="28"/>
  <c r="B188"/>
  <c r="J376"/>
  <c r="H230"/>
  <c r="D410"/>
  <c r="L147"/>
  <c r="B207"/>
  <c r="H8" i="19"/>
  <c r="F47" i="28"/>
  <c r="H313"/>
  <c r="B430"/>
  <c r="N17"/>
  <c r="L231"/>
  <c r="F318"/>
  <c r="H48"/>
  <c r="J311"/>
  <c r="B322"/>
  <c r="B133"/>
  <c r="B110"/>
  <c r="N440"/>
  <c r="B192"/>
  <c r="F251"/>
  <c r="J41"/>
  <c r="B107"/>
  <c r="D166"/>
  <c r="D346"/>
  <c r="H413"/>
  <c r="B117"/>
  <c r="J323"/>
  <c r="F88"/>
  <c r="H200"/>
  <c r="L440"/>
  <c r="B368"/>
  <c r="B130"/>
  <c r="E18" i="19"/>
  <c r="B437" i="18"/>
  <c r="N418"/>
  <c r="F587"/>
  <c r="H163"/>
  <c r="H281"/>
  <c r="D50" i="28"/>
  <c r="H293"/>
  <c r="F19" i="19"/>
  <c r="L502" i="18"/>
  <c r="H558"/>
  <c r="H532"/>
  <c r="H148"/>
  <c r="F296" i="28"/>
  <c r="F351"/>
  <c r="B28"/>
  <c r="F530" i="18"/>
  <c r="B387"/>
  <c r="B255"/>
  <c r="J418"/>
  <c r="H316"/>
  <c r="J118" i="28"/>
  <c r="D318"/>
  <c r="N20"/>
  <c r="J110" i="18"/>
  <c r="H260"/>
  <c r="L506"/>
  <c r="L221"/>
  <c r="J435"/>
  <c r="L208" i="28"/>
  <c r="B85"/>
  <c r="B292"/>
  <c r="F346"/>
  <c r="C8" i="19"/>
  <c r="F177" i="18"/>
  <c r="B298" i="28"/>
  <c r="F162" i="18"/>
  <c r="J298"/>
  <c r="D500"/>
  <c r="L297" i="28"/>
  <c r="L402" i="18"/>
  <c r="F553"/>
  <c r="F555"/>
  <c r="D178" i="28"/>
  <c r="B291" i="18"/>
  <c r="F68"/>
  <c r="F256"/>
  <c r="H225" i="28"/>
  <c r="J346"/>
  <c r="L220" i="18"/>
  <c r="F220"/>
  <c r="H528"/>
  <c r="F176"/>
  <c r="F431"/>
  <c r="D313" i="28"/>
  <c r="B48"/>
  <c r="E13" i="19"/>
  <c r="D535" i="18"/>
  <c r="N315"/>
  <c r="B107"/>
  <c r="L140"/>
  <c r="B203" i="28"/>
  <c r="F52"/>
  <c r="F168"/>
  <c r="L493" i="18"/>
  <c r="B428"/>
  <c r="F341"/>
  <c r="J527"/>
  <c r="F172"/>
  <c r="F345" i="28"/>
  <c r="F107"/>
  <c r="H9" i="19"/>
  <c r="D548" i="18"/>
  <c r="B346"/>
  <c r="J257"/>
  <c r="L382"/>
  <c r="D496"/>
  <c r="H491"/>
  <c r="N346"/>
  <c r="J506"/>
  <c r="N523"/>
  <c r="J566"/>
  <c r="N530"/>
  <c r="N447"/>
  <c r="L237"/>
  <c r="L368"/>
  <c r="B27"/>
  <c r="H373"/>
  <c r="J428"/>
  <c r="F223"/>
  <c r="J491"/>
  <c r="J52"/>
  <c r="L531"/>
  <c r="L403"/>
  <c r="S51"/>
  <c r="J445"/>
  <c r="B55"/>
  <c r="D282"/>
  <c r="B22"/>
  <c r="B311"/>
  <c r="L348"/>
  <c r="F206"/>
  <c r="J143"/>
  <c r="L328"/>
  <c r="D527"/>
  <c r="D110"/>
  <c r="H136"/>
  <c r="D78"/>
  <c r="L293"/>
  <c r="L170"/>
  <c r="J55"/>
  <c r="B431"/>
  <c r="B317"/>
  <c r="D488"/>
  <c r="L385"/>
  <c r="N321"/>
  <c r="H112"/>
  <c r="L298"/>
  <c r="B506"/>
  <c r="S75"/>
  <c r="D386"/>
  <c r="D131"/>
  <c r="N436"/>
  <c r="L308"/>
  <c r="L280"/>
  <c r="L492"/>
  <c r="F207"/>
  <c r="D411"/>
  <c r="L98"/>
  <c r="B342"/>
  <c r="B496"/>
  <c r="D85"/>
  <c r="L236"/>
  <c r="B230"/>
  <c r="J223"/>
  <c r="D252"/>
  <c r="D562"/>
  <c r="L415"/>
  <c r="B178"/>
  <c r="B528"/>
  <c r="L593"/>
  <c r="N312"/>
  <c r="J48"/>
  <c r="B47"/>
  <c r="L553"/>
  <c r="F171"/>
  <c r="J398"/>
  <c r="L533"/>
  <c r="N525"/>
  <c r="B233"/>
  <c r="L431"/>
  <c r="J588"/>
  <c r="N565"/>
  <c r="L340"/>
  <c r="L446"/>
  <c r="H48"/>
  <c r="L310"/>
  <c r="B108"/>
  <c r="J508"/>
  <c r="H128"/>
  <c r="L375"/>
  <c r="D506"/>
  <c r="J325"/>
  <c r="D48"/>
  <c r="B373"/>
  <c r="B42"/>
  <c r="H137"/>
  <c r="D443"/>
  <c r="L442"/>
  <c r="D326"/>
  <c r="D117"/>
  <c r="D148"/>
  <c r="H278"/>
  <c r="B536"/>
  <c r="J595"/>
  <c r="D145"/>
  <c r="D431"/>
  <c r="B398"/>
  <c r="D23"/>
  <c r="J58"/>
  <c r="N566"/>
  <c r="H521"/>
  <c r="F492"/>
  <c r="L201"/>
  <c r="L527"/>
  <c r="L146"/>
  <c r="H196"/>
  <c r="F138"/>
  <c r="D75"/>
  <c r="F196"/>
  <c r="F535"/>
  <c r="H400"/>
  <c r="L8"/>
  <c r="L538"/>
  <c r="F527"/>
  <c r="N582"/>
  <c r="H228"/>
  <c r="B258"/>
  <c r="B595"/>
  <c r="J113"/>
  <c r="L166"/>
  <c r="B377"/>
  <c r="B568"/>
  <c r="H496"/>
  <c r="J502"/>
  <c r="H501"/>
  <c r="H341"/>
  <c r="D378"/>
  <c r="H443"/>
  <c r="D45"/>
  <c r="N493"/>
  <c r="J322"/>
  <c r="B582"/>
  <c r="H371"/>
  <c r="D22"/>
  <c r="D505"/>
  <c r="L507"/>
  <c r="L567"/>
  <c r="H527"/>
  <c r="L418"/>
  <c r="J318"/>
  <c r="B321"/>
  <c r="J235"/>
  <c r="D178"/>
  <c r="L228"/>
  <c r="D522"/>
  <c r="N553"/>
  <c r="J351"/>
  <c r="B267"/>
  <c r="B401"/>
  <c r="B177"/>
  <c r="F103"/>
  <c r="H493"/>
  <c r="S80"/>
  <c r="B435"/>
  <c r="J557"/>
  <c r="F568"/>
  <c r="B498"/>
  <c r="F82"/>
  <c r="F490"/>
  <c r="D228"/>
  <c r="J11"/>
  <c r="J177"/>
  <c r="H321"/>
  <c r="H252"/>
  <c r="L135"/>
  <c r="B548"/>
  <c r="H225"/>
  <c r="L326"/>
  <c r="D406"/>
  <c r="B281"/>
  <c r="J288"/>
  <c r="H43"/>
  <c r="H500"/>
  <c r="B492"/>
  <c r="L101"/>
  <c r="F111"/>
  <c r="F48"/>
  <c r="L447"/>
  <c r="B583"/>
  <c r="D192"/>
  <c r="J192"/>
  <c r="F398"/>
  <c r="N8"/>
  <c r="F405"/>
  <c r="F51"/>
  <c r="L291"/>
  <c r="H536"/>
  <c r="F566"/>
  <c r="F406"/>
  <c r="D225"/>
  <c r="H375"/>
  <c r="H561"/>
  <c r="D10"/>
  <c r="S70"/>
  <c r="H161"/>
  <c r="L370"/>
  <c r="B507"/>
  <c r="D235"/>
  <c r="D400"/>
  <c r="D312"/>
  <c r="B117"/>
  <c r="F165"/>
  <c r="N376"/>
  <c r="D160"/>
  <c r="N328"/>
  <c r="L443"/>
  <c r="B347"/>
  <c r="L322"/>
  <c r="H431"/>
  <c r="F105"/>
  <c r="D161"/>
  <c r="F493"/>
  <c r="H20"/>
  <c r="L102"/>
  <c r="J353"/>
  <c r="B552"/>
  <c r="L163"/>
  <c r="F75"/>
  <c r="B82"/>
  <c r="F408"/>
  <c r="N563"/>
  <c r="D323"/>
  <c r="F346"/>
  <c r="H578"/>
  <c r="L312"/>
  <c r="H83"/>
  <c r="J312"/>
  <c r="B15"/>
  <c r="J46"/>
  <c r="J585"/>
  <c r="H587"/>
  <c r="L342"/>
  <c r="F505"/>
  <c r="L408"/>
  <c r="F118"/>
  <c r="J342"/>
  <c r="B382"/>
  <c r="H380"/>
  <c r="H175"/>
  <c r="L141"/>
  <c r="J308"/>
  <c r="L346"/>
  <c r="H158"/>
  <c r="N27"/>
  <c r="H188"/>
  <c r="L587"/>
  <c r="J161"/>
  <c r="L448"/>
  <c r="J348"/>
  <c r="J188"/>
  <c r="J206"/>
  <c r="D495"/>
  <c r="B527"/>
  <c r="B495"/>
  <c r="L595"/>
  <c r="N557"/>
  <c r="F290"/>
  <c r="B111"/>
  <c r="F141"/>
  <c r="J326"/>
  <c r="L266"/>
  <c r="L358"/>
  <c r="F200"/>
  <c r="N28"/>
  <c r="B87"/>
  <c r="B75"/>
  <c r="N428"/>
  <c r="F88"/>
  <c r="H351"/>
  <c r="D55"/>
  <c r="D226"/>
  <c r="B505"/>
  <c r="F320"/>
  <c r="J286"/>
  <c r="B261"/>
  <c r="F197"/>
  <c r="D498"/>
  <c r="D166"/>
  <c r="D193"/>
  <c r="L225"/>
  <c r="H263"/>
  <c r="L148"/>
  <c r="H262"/>
  <c r="B328"/>
  <c r="S83"/>
  <c r="B202"/>
  <c r="F190"/>
  <c r="H522"/>
  <c r="B46"/>
  <c r="D287"/>
  <c r="B235" i="28"/>
  <c r="C14" i="19"/>
  <c r="H518" i="18"/>
  <c r="L21"/>
  <c r="H106" i="28"/>
  <c r="H25" i="19"/>
  <c r="L558" i="18"/>
  <c r="D590"/>
  <c r="F100" i="28"/>
  <c r="B598" i="18"/>
  <c r="L592"/>
  <c r="H311"/>
  <c r="N408" i="28"/>
  <c r="J191"/>
  <c r="B413" i="18"/>
  <c r="D112"/>
  <c r="J447"/>
  <c r="J112"/>
  <c r="L105"/>
  <c r="N312" i="28"/>
  <c r="H205"/>
  <c r="F18"/>
  <c r="B447" i="18"/>
  <c r="L550"/>
  <c r="N527"/>
  <c r="D280"/>
  <c r="B132" i="28"/>
  <c r="N12"/>
  <c r="H51"/>
  <c r="H526" i="18"/>
  <c r="F201"/>
  <c r="D417"/>
  <c r="L315"/>
  <c r="J173"/>
  <c r="H190" i="28"/>
  <c r="J248"/>
  <c r="L232"/>
  <c r="H256" i="18"/>
  <c r="H290"/>
  <c r="H350"/>
  <c r="B338"/>
  <c r="H233"/>
  <c r="L488"/>
  <c r="S72"/>
  <c r="L147"/>
  <c r="F533"/>
  <c r="J225"/>
  <c r="S43"/>
  <c r="H445"/>
  <c r="H190"/>
  <c r="J263"/>
  <c r="L15"/>
  <c r="D382"/>
  <c r="B581"/>
  <c r="B340"/>
  <c r="F445"/>
  <c r="D436"/>
  <c r="N490"/>
  <c r="J268"/>
  <c r="F598"/>
  <c r="N550"/>
  <c r="F70"/>
  <c r="F192"/>
  <c r="H348"/>
  <c r="D352"/>
  <c r="H255"/>
  <c r="J405"/>
  <c r="D328"/>
  <c r="F86"/>
  <c r="J166"/>
  <c r="D446"/>
  <c r="L347"/>
  <c r="D146"/>
  <c r="B205"/>
  <c r="L162"/>
  <c r="D316"/>
  <c r="L495"/>
  <c r="N586"/>
  <c r="D138"/>
  <c r="N317"/>
  <c r="L107"/>
  <c r="B341"/>
  <c r="H566"/>
  <c r="B56"/>
  <c r="L555"/>
  <c r="F352"/>
  <c r="B501"/>
  <c r="L16"/>
  <c r="B195"/>
  <c r="D176"/>
  <c r="N398"/>
  <c r="J23"/>
  <c r="H13"/>
  <c r="J327"/>
  <c r="D250"/>
  <c r="D190"/>
  <c r="D51"/>
  <c r="F257"/>
  <c r="H143"/>
  <c r="F203"/>
  <c r="J220"/>
  <c r="J221"/>
  <c r="L267"/>
  <c r="B282"/>
  <c r="H535"/>
  <c r="D162"/>
  <c r="N500"/>
  <c r="F116"/>
  <c r="D380"/>
  <c r="F87"/>
  <c r="F27"/>
  <c r="F586"/>
  <c r="H343"/>
  <c r="B110"/>
  <c r="J172"/>
  <c r="F412"/>
  <c r="F532"/>
  <c r="H115"/>
  <c r="J261"/>
  <c r="B71"/>
  <c r="F80"/>
  <c r="D530"/>
  <c r="J282"/>
  <c r="J146"/>
  <c r="B145"/>
  <c r="N562"/>
  <c r="L260"/>
  <c r="J498"/>
  <c r="N588"/>
  <c r="J198"/>
  <c r="N13"/>
  <c r="H12"/>
  <c r="F428"/>
  <c r="H195"/>
  <c r="B316"/>
  <c r="D28"/>
  <c r="F252"/>
  <c r="H298"/>
  <c r="D103"/>
  <c r="B168"/>
  <c r="F317"/>
  <c r="N375"/>
  <c r="H315"/>
  <c r="D356"/>
  <c r="D345"/>
  <c r="J162"/>
  <c r="N567"/>
  <c r="J507"/>
  <c r="D118"/>
  <c r="H142"/>
  <c r="D165"/>
  <c r="N22"/>
  <c r="J208"/>
  <c r="B227"/>
  <c r="J196"/>
  <c r="N385"/>
  <c r="L256"/>
  <c r="N405"/>
  <c r="F128"/>
  <c r="B292"/>
  <c r="L320"/>
  <c r="D370"/>
  <c r="J496"/>
  <c r="H310"/>
  <c r="J141"/>
  <c r="D357"/>
  <c r="D401"/>
  <c r="F28"/>
  <c r="L387"/>
  <c r="F178"/>
  <c r="F297"/>
  <c r="B372"/>
  <c r="J201"/>
  <c r="L406"/>
  <c r="B260"/>
  <c r="S48"/>
  <c r="D448"/>
  <c r="F12"/>
  <c r="F418"/>
  <c r="H68"/>
  <c r="H508"/>
  <c r="H403"/>
  <c r="H398"/>
  <c r="D137"/>
  <c r="L22"/>
  <c r="L278"/>
  <c r="L377"/>
  <c r="F378"/>
  <c r="J356"/>
  <c r="L165"/>
  <c r="J233"/>
  <c r="F323"/>
  <c r="N308"/>
  <c r="B221"/>
  <c r="F523"/>
  <c r="F383"/>
  <c r="D53"/>
  <c r="D223"/>
  <c r="F25"/>
  <c r="B23"/>
  <c r="J117"/>
  <c r="D238"/>
  <c r="H413"/>
  <c r="B248"/>
  <c r="J131"/>
  <c r="B53"/>
  <c r="H22"/>
  <c r="F318"/>
  <c r="D348"/>
  <c r="S15"/>
  <c r="J532"/>
  <c r="D20"/>
  <c r="H178"/>
  <c r="B538"/>
  <c r="N311"/>
  <c r="H160"/>
  <c r="J135"/>
  <c r="D11"/>
  <c r="H26"/>
  <c r="J443"/>
  <c r="F250"/>
  <c r="D256"/>
  <c r="J147"/>
  <c r="J142"/>
  <c r="L226"/>
  <c r="B116"/>
  <c r="B88"/>
  <c r="N597"/>
  <c r="B415"/>
  <c r="H492"/>
  <c r="L556"/>
  <c r="L136"/>
  <c r="S22"/>
  <c r="H568"/>
  <c r="D205"/>
  <c r="L10"/>
  <c r="D502"/>
  <c r="F280"/>
  <c r="F191"/>
  <c r="H208"/>
  <c r="F417"/>
  <c r="B193"/>
  <c r="H435"/>
  <c r="B25"/>
  <c r="H356"/>
  <c r="N501"/>
  <c r="H308"/>
  <c r="F310"/>
  <c r="N522"/>
  <c r="F113"/>
  <c r="F528"/>
  <c r="H221"/>
  <c r="L410"/>
  <c r="H412"/>
  <c r="H108"/>
  <c r="H446"/>
  <c r="D200"/>
  <c r="J321"/>
  <c r="D405"/>
  <c r="N17"/>
  <c r="B163"/>
  <c r="F525"/>
  <c r="L565"/>
  <c r="N340"/>
  <c r="B592"/>
  <c r="D325"/>
  <c r="B586"/>
  <c r="N533"/>
  <c r="F296"/>
  <c r="F376"/>
  <c r="L498"/>
  <c r="F55"/>
  <c r="F508"/>
  <c r="F345"/>
  <c r="F50"/>
  <c r="F416"/>
  <c r="S53"/>
  <c r="J53"/>
  <c r="J16"/>
  <c r="F520"/>
  <c r="N496"/>
  <c r="B263"/>
  <c r="D101"/>
  <c r="D597"/>
  <c r="F550"/>
  <c r="B298"/>
  <c r="F73"/>
  <c r="S18"/>
  <c r="N370"/>
  <c r="B287"/>
  <c r="F26"/>
  <c r="L585"/>
  <c r="J598"/>
  <c r="D70"/>
  <c r="F143"/>
  <c r="L208"/>
  <c r="J51"/>
  <c r="F15"/>
  <c r="L25"/>
  <c r="F437"/>
  <c r="H322"/>
  <c r="J178"/>
  <c r="S52"/>
  <c r="B160"/>
  <c r="J130"/>
  <c r="N552"/>
  <c r="J56"/>
  <c r="L378"/>
  <c r="J295"/>
  <c r="J523"/>
  <c r="L548"/>
  <c r="D491"/>
  <c r="F222"/>
  <c r="B207"/>
  <c r="N417"/>
  <c r="L251"/>
  <c r="J580"/>
  <c r="L353"/>
  <c r="H72"/>
  <c r="J136"/>
  <c r="B166"/>
  <c r="L345"/>
  <c r="L202"/>
  <c r="B555"/>
  <c r="J430"/>
  <c r="D586"/>
  <c r="L262"/>
  <c r="B448"/>
  <c r="D318"/>
  <c r="N416"/>
  <c r="J345"/>
  <c r="B70"/>
  <c r="L318"/>
  <c r="D16"/>
  <c r="J202"/>
  <c r="D492"/>
  <c r="H326"/>
  <c r="D261"/>
  <c r="L290"/>
  <c r="D140"/>
  <c r="N598"/>
  <c r="D371"/>
  <c r="J315"/>
  <c r="H25"/>
  <c r="L380"/>
  <c r="L250"/>
  <c r="F597"/>
  <c r="D521"/>
  <c r="F438"/>
  <c r="F221"/>
  <c r="H50"/>
  <c r="J42"/>
  <c r="F548"/>
  <c r="D281"/>
  <c r="D17"/>
  <c r="D342"/>
  <c r="H250"/>
  <c r="J43"/>
  <c r="N338"/>
  <c r="J267"/>
  <c r="S8"/>
  <c r="B38"/>
  <c r="S46"/>
  <c r="B508"/>
  <c r="L417"/>
  <c r="N21"/>
  <c r="J47"/>
  <c r="S11"/>
  <c r="L356"/>
  <c r="F261"/>
  <c r="L203"/>
  <c r="N320"/>
  <c r="F581"/>
  <c r="H548"/>
  <c r="D445"/>
  <c r="F283"/>
  <c r="J402"/>
  <c r="H440"/>
  <c r="B12"/>
  <c r="D291"/>
  <c r="D416"/>
  <c r="B588"/>
  <c r="H318"/>
  <c r="D222"/>
  <c r="D293"/>
  <c r="J283"/>
  <c r="B326"/>
  <c r="H118"/>
  <c r="B348"/>
  <c r="B370"/>
  <c r="L287"/>
  <c r="H162"/>
  <c r="H75"/>
  <c r="L591"/>
  <c r="D82"/>
  <c r="D441"/>
  <c r="L596"/>
  <c r="H57"/>
  <c r="B523"/>
  <c r="J250"/>
  <c r="H325"/>
  <c r="J368"/>
  <c r="L230"/>
  <c r="S88"/>
  <c r="F16"/>
  <c r="B18"/>
  <c r="H565"/>
  <c r="B436"/>
  <c r="S77"/>
  <c r="L578"/>
  <c r="B407"/>
  <c r="J175"/>
  <c r="F208"/>
  <c r="L23"/>
  <c r="B58"/>
  <c r="J195"/>
  <c r="J291"/>
  <c r="J115"/>
  <c r="B165"/>
  <c r="F595"/>
  <c r="N596"/>
  <c r="N343"/>
  <c r="B412"/>
  <c r="F102"/>
  <c r="H376"/>
  <c r="H145"/>
  <c r="D358"/>
  <c r="J590"/>
  <c r="L12"/>
  <c r="H98"/>
  <c r="D290"/>
  <c r="J592"/>
  <c r="L171"/>
  <c r="H82"/>
  <c r="S71"/>
  <c r="F591"/>
  <c r="F228"/>
  <c r="J193"/>
  <c r="B115"/>
  <c r="D523"/>
  <c r="F561"/>
  <c r="B11"/>
  <c r="F117"/>
  <c r="F580"/>
  <c r="D355"/>
  <c r="N350"/>
  <c r="J265"/>
  <c r="N322"/>
  <c r="D388"/>
  <c r="D116"/>
  <c r="B500"/>
  <c r="D173"/>
  <c r="N326"/>
  <c r="H430"/>
  <c r="F526"/>
  <c r="B400"/>
  <c r="L411"/>
  <c r="F328"/>
  <c r="H253"/>
  <c r="H232"/>
  <c r="H411"/>
  <c r="N443"/>
  <c r="F342"/>
  <c r="B530"/>
  <c r="N401"/>
  <c r="H377"/>
  <c r="J357"/>
  <c r="F115"/>
  <c r="H42"/>
  <c r="B231"/>
  <c r="L167"/>
  <c r="H146"/>
  <c r="H267"/>
  <c r="J231"/>
  <c r="L103"/>
  <c r="H226"/>
  <c r="H372"/>
  <c r="H346"/>
  <c r="D286"/>
  <c r="B558"/>
  <c r="S81"/>
  <c r="H76"/>
  <c r="S27"/>
  <c r="J293"/>
  <c r="D72"/>
  <c r="D71"/>
  <c r="B411"/>
  <c r="B132"/>
  <c r="B161"/>
  <c r="D437"/>
  <c r="F231"/>
  <c r="J565"/>
  <c r="N548"/>
  <c r="B318"/>
  <c r="D102"/>
  <c r="L341"/>
  <c r="D136"/>
  <c r="N593"/>
  <c r="L192"/>
  <c r="D46"/>
  <c r="B295"/>
  <c r="F137"/>
  <c r="J386"/>
  <c r="F370"/>
  <c r="B147"/>
  <c r="F11"/>
  <c r="J57"/>
  <c r="H585"/>
  <c r="F288"/>
  <c r="D255"/>
  <c r="L383"/>
  <c r="J45"/>
  <c r="F98"/>
  <c r="S17"/>
  <c r="F167"/>
  <c r="J501"/>
  <c r="F175"/>
  <c r="D170"/>
  <c r="S21"/>
  <c r="B355"/>
  <c r="D73"/>
  <c r="L557"/>
  <c r="D195"/>
  <c r="S25"/>
  <c r="F110"/>
  <c r="J12"/>
  <c r="H176"/>
  <c r="J222"/>
  <c r="F101"/>
  <c r="B200"/>
  <c r="U19" i="29"/>
  <c r="Z17"/>
  <c r="T20"/>
  <c r="Y17"/>
  <c r="AJ12"/>
  <c r="T19"/>
  <c r="AG16"/>
  <c r="Y19"/>
  <c r="Y21"/>
  <c r="AH13"/>
  <c r="X15"/>
  <c r="X18"/>
  <c r="AG12"/>
  <c r="X12"/>
  <c r="T22"/>
  <c r="AJ15"/>
  <c r="T21"/>
  <c r="U10"/>
  <c r="W10"/>
  <c r="Y23"/>
  <c r="Z12"/>
  <c r="X16"/>
  <c r="V21"/>
  <c r="X13"/>
  <c r="W11"/>
  <c r="Z21"/>
  <c r="AG11"/>
  <c r="W15"/>
  <c r="T15"/>
  <c r="U20"/>
  <c r="X11"/>
  <c r="Y16"/>
  <c r="T17"/>
  <c r="X21"/>
  <c r="AI12"/>
  <c r="W23"/>
  <c r="T11"/>
  <c r="U21"/>
  <c r="W13"/>
  <c r="V16"/>
  <c r="AG15"/>
  <c r="V23"/>
  <c r="U11"/>
  <c r="AI10"/>
  <c r="U13"/>
  <c r="V18"/>
  <c r="T23"/>
  <c r="AJ10"/>
  <c r="AI15"/>
  <c r="W19"/>
  <c r="AG13"/>
  <c r="AJ14"/>
  <c r="V15"/>
  <c r="AH11"/>
  <c r="Z11"/>
  <c r="Y14"/>
  <c r="Z15"/>
  <c r="Z20"/>
  <c r="W18"/>
  <c r="Z16"/>
  <c r="AI13"/>
  <c r="Y15"/>
  <c r="AG10"/>
  <c r="AJ16"/>
  <c r="W16"/>
  <c r="Z22"/>
  <c r="X14"/>
  <c r="V14"/>
  <c r="U15"/>
  <c r="Z19"/>
  <c r="AJ13"/>
  <c r="AG14"/>
  <c r="U22"/>
  <c r="Z18"/>
  <c r="X22"/>
  <c r="AJ11"/>
  <c r="Y12"/>
  <c r="W17"/>
  <c r="V17"/>
  <c r="T16"/>
  <c r="V10"/>
  <c r="AI14"/>
  <c r="Y10"/>
  <c r="W20"/>
  <c r="AH12"/>
  <c r="Z13"/>
  <c r="Y20"/>
  <c r="Y22"/>
  <c r="T18"/>
  <c r="U14"/>
  <c r="V20"/>
  <c r="X19"/>
  <c r="X10"/>
  <c r="X23"/>
  <c r="T13"/>
  <c r="AI11"/>
  <c r="W22"/>
  <c r="T14"/>
  <c r="Y18"/>
  <c r="Z23"/>
  <c r="Y11"/>
  <c r="V11"/>
  <c r="U12"/>
  <c r="X20"/>
  <c r="AH15"/>
  <c r="AH16"/>
  <c r="U23"/>
  <c r="V22"/>
  <c r="W12"/>
  <c r="W14"/>
  <c r="T12"/>
  <c r="AH10"/>
  <c r="X17"/>
  <c r="U16"/>
  <c r="V12"/>
  <c r="T10"/>
  <c r="AI16"/>
  <c r="V13"/>
  <c r="Z14"/>
  <c r="U17"/>
  <c r="V19"/>
  <c r="W21"/>
  <c r="AH14"/>
  <c r="U18"/>
  <c r="Y13"/>
  <c r="Z10"/>
  <c r="AH22" i="21"/>
  <c r="AJ23"/>
  <c r="AG22"/>
  <c r="T20"/>
  <c r="Y21"/>
  <c r="U22"/>
  <c r="U21"/>
  <c r="AJ21"/>
  <c r="X21"/>
  <c r="AH20"/>
  <c r="AH21"/>
  <c r="W20"/>
  <c r="U18"/>
  <c r="AI18"/>
  <c r="AH24"/>
  <c r="AG20"/>
  <c r="Y18"/>
  <c r="AI22"/>
  <c r="AI23"/>
  <c r="V22"/>
  <c r="X18"/>
  <c r="AJ18"/>
  <c r="U20"/>
  <c r="X19"/>
  <c r="T21"/>
  <c r="Z24"/>
  <c r="AJ24"/>
  <c r="AI24"/>
  <c r="W21"/>
  <c r="Z22"/>
  <c r="Z21"/>
  <c r="Z23"/>
  <c r="AG19"/>
  <c r="AG18"/>
  <c r="Y19"/>
  <c r="V19"/>
  <c r="V23"/>
  <c r="U24"/>
  <c r="X23"/>
  <c r="X24"/>
  <c r="AH23"/>
  <c r="AI19"/>
  <c r="AG23"/>
  <c r="X20"/>
  <c r="W19"/>
  <c r="T24"/>
  <c r="U23"/>
  <c r="X22"/>
  <c r="Y20"/>
  <c r="AJ19"/>
  <c r="AG21"/>
  <c r="V24"/>
  <c r="V20"/>
  <c r="W24"/>
  <c r="AI21"/>
  <c r="T18"/>
  <c r="V18"/>
  <c r="Y24"/>
  <c r="U19"/>
  <c r="Y23"/>
  <c r="W18"/>
  <c r="AI20"/>
  <c r="Y22"/>
  <c r="T19"/>
  <c r="W22"/>
  <c r="AH18"/>
  <c r="AH19"/>
  <c r="W23"/>
  <c r="AG24"/>
  <c r="T23"/>
  <c r="AJ22"/>
  <c r="V21"/>
  <c r="AJ20"/>
  <c r="Z20"/>
  <c r="Z19"/>
  <c r="T22"/>
  <c r="Z18"/>
  <c r="C200" i="18" l="1"/>
  <c r="G101"/>
  <c r="K222"/>
  <c r="I176"/>
  <c r="K12"/>
  <c r="G110"/>
  <c r="E195"/>
  <c r="M557"/>
  <c r="E73"/>
  <c r="C355"/>
  <c r="E170"/>
  <c r="G175"/>
  <c r="K501"/>
  <c r="G167"/>
  <c r="K45"/>
  <c r="Q45"/>
  <c r="M383"/>
  <c r="E255"/>
  <c r="G288"/>
  <c r="I585"/>
  <c r="K57"/>
  <c r="Q57"/>
  <c r="G11"/>
  <c r="C147"/>
  <c r="G370"/>
  <c r="K386"/>
  <c r="G137"/>
  <c r="C295"/>
  <c r="E46"/>
  <c r="M192"/>
  <c r="O593"/>
  <c r="E136"/>
  <c r="M341"/>
  <c r="E102"/>
  <c r="C318"/>
  <c r="K565"/>
  <c r="G231"/>
  <c r="E437"/>
  <c r="C161"/>
  <c r="C132"/>
  <c r="C411"/>
  <c r="E71"/>
  <c r="E72"/>
  <c r="K293"/>
  <c r="I76"/>
  <c r="Q76"/>
  <c r="C558"/>
  <c r="E286"/>
  <c r="I346"/>
  <c r="I372"/>
  <c r="I226"/>
  <c r="M103"/>
  <c r="K231"/>
  <c r="I267"/>
  <c r="I146"/>
  <c r="M167"/>
  <c r="C231"/>
  <c r="I42"/>
  <c r="G115"/>
  <c r="K357"/>
  <c r="I377"/>
  <c r="O401"/>
  <c r="C530"/>
  <c r="G342"/>
  <c r="O443"/>
  <c r="I411"/>
  <c r="I232"/>
  <c r="I253"/>
  <c r="G328"/>
  <c r="M411"/>
  <c r="C400"/>
  <c r="G526"/>
  <c r="I430"/>
  <c r="O326"/>
  <c r="E173"/>
  <c r="C500"/>
  <c r="E116"/>
  <c r="E388"/>
  <c r="O322"/>
  <c r="K265"/>
  <c r="O350"/>
  <c r="E355"/>
  <c r="G580"/>
  <c r="G117"/>
  <c r="C11"/>
  <c r="G561"/>
  <c r="E523"/>
  <c r="C115"/>
  <c r="K193"/>
  <c r="G228"/>
  <c r="G591"/>
  <c r="Q82"/>
  <c r="I82"/>
  <c r="M171"/>
  <c r="K592"/>
  <c r="E290"/>
  <c r="M12"/>
  <c r="K590"/>
  <c r="E358"/>
  <c r="I145"/>
  <c r="I376"/>
  <c r="G102"/>
  <c r="C412"/>
  <c r="O343"/>
  <c r="O596"/>
  <c r="G595"/>
  <c r="C165"/>
  <c r="K115"/>
  <c r="K291"/>
  <c r="K195"/>
  <c r="C58"/>
  <c r="M23"/>
  <c r="G208"/>
  <c r="K175"/>
  <c r="C407"/>
  <c r="C436"/>
  <c r="I565"/>
  <c r="C18"/>
  <c r="G16"/>
  <c r="M230"/>
  <c r="I325"/>
  <c r="K250"/>
  <c r="C523"/>
  <c r="I57"/>
  <c r="M596"/>
  <c r="E441"/>
  <c r="E82"/>
  <c r="M591"/>
  <c r="I75"/>
  <c r="Q75"/>
  <c r="I162"/>
  <c r="M287"/>
  <c r="C370"/>
  <c r="C348"/>
  <c r="I118"/>
  <c r="C326"/>
  <c r="K283"/>
  <c r="E293"/>
  <c r="E222"/>
  <c r="I318"/>
  <c r="C588"/>
  <c r="E416"/>
  <c r="E291"/>
  <c r="C12"/>
  <c r="I440"/>
  <c r="K402"/>
  <c r="G283"/>
  <c r="E445"/>
  <c r="G581"/>
  <c r="O320"/>
  <c r="M203"/>
  <c r="G261"/>
  <c r="M356"/>
  <c r="K47"/>
  <c r="Q47"/>
  <c r="Q21"/>
  <c r="O21"/>
  <c r="M417"/>
  <c r="C508"/>
  <c r="K267"/>
  <c r="Q43"/>
  <c r="K43"/>
  <c r="I250"/>
  <c r="E342"/>
  <c r="E17"/>
  <c r="E281"/>
  <c r="K42"/>
  <c r="Q42"/>
  <c r="I50"/>
  <c r="G221"/>
  <c r="G438"/>
  <c r="E521"/>
  <c r="G597"/>
  <c r="M250"/>
  <c r="M380"/>
  <c r="I25"/>
  <c r="K315"/>
  <c r="E371"/>
  <c r="O598"/>
  <c r="E140"/>
  <c r="M290"/>
  <c r="E261"/>
  <c r="I326"/>
  <c r="E492"/>
  <c r="K202"/>
  <c r="E16"/>
  <c r="M318"/>
  <c r="C70"/>
  <c r="K345"/>
  <c r="O416"/>
  <c r="E318"/>
  <c r="C448"/>
  <c r="M262"/>
  <c r="E586"/>
  <c r="K430"/>
  <c r="C555"/>
  <c r="M202"/>
  <c r="M345"/>
  <c r="C166"/>
  <c r="K136"/>
  <c r="Q72"/>
  <c r="I72"/>
  <c r="M353"/>
  <c r="K580"/>
  <c r="M251"/>
  <c r="O417"/>
  <c r="C207"/>
  <c r="G222"/>
  <c r="E491"/>
  <c r="K523"/>
  <c r="K295"/>
  <c r="M378"/>
  <c r="Q56"/>
  <c r="K56"/>
  <c r="O552"/>
  <c r="K130"/>
  <c r="C160"/>
  <c r="K178"/>
  <c r="I322"/>
  <c r="G437"/>
  <c r="M25"/>
  <c r="G15"/>
  <c r="K51"/>
  <c r="Q51"/>
  <c r="M208"/>
  <c r="G143"/>
  <c r="E70"/>
  <c r="K598"/>
  <c r="M585"/>
  <c r="G26"/>
  <c r="C287"/>
  <c r="O370"/>
  <c r="G73"/>
  <c r="C298"/>
  <c r="G550"/>
  <c r="E597"/>
  <c r="E101"/>
  <c r="C263"/>
  <c r="O496"/>
  <c r="G520"/>
  <c r="K16"/>
  <c r="Q53"/>
  <c r="K53"/>
  <c r="G416"/>
  <c r="G50"/>
  <c r="G345"/>
  <c r="G508"/>
  <c r="G55"/>
  <c r="M498"/>
  <c r="G376"/>
  <c r="G296"/>
  <c r="O533"/>
  <c r="C586"/>
  <c r="E325"/>
  <c r="C592"/>
  <c r="O340"/>
  <c r="M565"/>
  <c r="G525"/>
  <c r="C163"/>
  <c r="O17"/>
  <c r="Q17"/>
  <c r="E405"/>
  <c r="K321"/>
  <c r="E200"/>
  <c r="I446"/>
  <c r="I108"/>
  <c r="I412"/>
  <c r="M410"/>
  <c r="I221"/>
  <c r="G528"/>
  <c r="G113"/>
  <c r="O522"/>
  <c r="G310"/>
  <c r="O501"/>
  <c r="I356"/>
  <c r="C25"/>
  <c r="I435"/>
  <c r="C193"/>
  <c r="G417"/>
  <c r="I208"/>
  <c r="G191"/>
  <c r="G280"/>
  <c r="E502"/>
  <c r="M10"/>
  <c r="E205"/>
  <c r="I568"/>
  <c r="M136"/>
  <c r="M556"/>
  <c r="I492"/>
  <c r="C415"/>
  <c r="O597"/>
  <c r="C88"/>
  <c r="C116"/>
  <c r="M226"/>
  <c r="K142"/>
  <c r="K147"/>
  <c r="E256"/>
  <c r="G250"/>
  <c r="K443"/>
  <c r="I26"/>
  <c r="E11"/>
  <c r="K135"/>
  <c r="I160"/>
  <c r="O311"/>
  <c r="C538"/>
  <c r="I178"/>
  <c r="E20"/>
  <c r="K532"/>
  <c r="E348"/>
  <c r="G318"/>
  <c r="I22"/>
  <c r="C53"/>
  <c r="K131"/>
  <c r="I413"/>
  <c r="E238"/>
  <c r="K117"/>
  <c r="C23"/>
  <c r="G25"/>
  <c r="E223"/>
  <c r="E53"/>
  <c r="G383"/>
  <c r="G523"/>
  <c r="C221"/>
  <c r="G323"/>
  <c r="K233"/>
  <c r="M165"/>
  <c r="K356"/>
  <c r="G378"/>
  <c r="M377"/>
  <c r="M22"/>
  <c r="E137"/>
  <c r="I403"/>
  <c r="I508"/>
  <c r="Q68"/>
  <c r="G418"/>
  <c r="G12"/>
  <c r="E448"/>
  <c r="C260"/>
  <c r="M406"/>
  <c r="K201"/>
  <c r="C372"/>
  <c r="G297"/>
  <c r="G178"/>
  <c r="M387"/>
  <c r="G28"/>
  <c r="E401"/>
  <c r="E357"/>
  <c r="K141"/>
  <c r="I310"/>
  <c r="K496"/>
  <c r="E370"/>
  <c r="M320"/>
  <c r="C292"/>
  <c r="O405"/>
  <c r="M256"/>
  <c r="O385"/>
  <c r="K196"/>
  <c r="C227"/>
  <c r="K208"/>
  <c r="Q22"/>
  <c r="O22"/>
  <c r="E165"/>
  <c r="I142"/>
  <c r="E118"/>
  <c r="K507"/>
  <c r="O567"/>
  <c r="K162"/>
  <c r="E345"/>
  <c r="E356"/>
  <c r="I315"/>
  <c r="O375"/>
  <c r="G317"/>
  <c r="C168"/>
  <c r="E103"/>
  <c r="I298"/>
  <c r="G252"/>
  <c r="E28"/>
  <c r="C316"/>
  <c r="I195"/>
  <c r="I12"/>
  <c r="Q13"/>
  <c r="O13"/>
  <c r="K198"/>
  <c r="O588"/>
  <c r="K498"/>
  <c r="M260"/>
  <c r="O562"/>
  <c r="C145"/>
  <c r="K146"/>
  <c r="K282"/>
  <c r="E530"/>
  <c r="G80"/>
  <c r="C71"/>
  <c r="K261"/>
  <c r="I115"/>
  <c r="G532"/>
  <c r="G412"/>
  <c r="K172"/>
  <c r="C110"/>
  <c r="I343"/>
  <c r="G586"/>
  <c r="G27"/>
  <c r="G87"/>
  <c r="E380"/>
  <c r="G116"/>
  <c r="O500"/>
  <c r="E162"/>
  <c r="I535"/>
  <c r="C282"/>
  <c r="M267"/>
  <c r="K221"/>
  <c r="K220"/>
  <c r="G203"/>
  <c r="I143"/>
  <c r="G257"/>
  <c r="E51"/>
  <c r="E190"/>
  <c r="E250"/>
  <c r="K327"/>
  <c r="I13"/>
  <c r="K23"/>
  <c r="E176"/>
  <c r="C195"/>
  <c r="M16"/>
  <c r="C501"/>
  <c r="G352"/>
  <c r="M555"/>
  <c r="C56"/>
  <c r="I566"/>
  <c r="C341"/>
  <c r="M107"/>
  <c r="O317"/>
  <c r="E138"/>
  <c r="O586"/>
  <c r="M495"/>
  <c r="E316"/>
  <c r="M162"/>
  <c r="C205"/>
  <c r="E146"/>
  <c r="M347"/>
  <c r="E446"/>
  <c r="K166"/>
  <c r="G86"/>
  <c r="E328"/>
  <c r="K405"/>
  <c r="I255"/>
  <c r="E352"/>
  <c r="I348"/>
  <c r="G192"/>
  <c r="G70"/>
  <c r="O550"/>
  <c r="G598"/>
  <c r="K268"/>
  <c r="O490"/>
  <c r="E436"/>
  <c r="G445"/>
  <c r="C340"/>
  <c r="C581"/>
  <c r="E382"/>
  <c r="M15"/>
  <c r="K263"/>
  <c r="I190"/>
  <c r="I445"/>
  <c r="K225"/>
  <c r="G533"/>
  <c r="M147"/>
  <c r="I233"/>
  <c r="I350"/>
  <c r="I290"/>
  <c r="I256"/>
  <c r="M232" i="28"/>
  <c r="I190"/>
  <c r="K173" i="18"/>
  <c r="M315"/>
  <c r="E417"/>
  <c r="G201"/>
  <c r="I526"/>
  <c r="I51" i="28"/>
  <c r="O12"/>
  <c r="C132"/>
  <c r="E280" i="18"/>
  <c r="O527"/>
  <c r="M550"/>
  <c r="C447"/>
  <c r="G18" i="28"/>
  <c r="I205"/>
  <c r="O312"/>
  <c r="M105" i="18"/>
  <c r="K112"/>
  <c r="K447"/>
  <c r="E112"/>
  <c r="C413"/>
  <c r="K191" i="28"/>
  <c r="O408"/>
  <c r="I311" i="18"/>
  <c r="M592"/>
  <c r="C598"/>
  <c r="G100" i="28"/>
  <c r="E590" i="18"/>
  <c r="M558"/>
  <c r="I106" i="28"/>
  <c r="M21" i="18"/>
  <c r="C235" i="28"/>
  <c r="E287" i="18"/>
  <c r="C46"/>
  <c r="I522"/>
  <c r="G190"/>
  <c r="C202"/>
  <c r="C328"/>
  <c r="I262"/>
  <c r="M148"/>
  <c r="I263"/>
  <c r="M225"/>
  <c r="E193"/>
  <c r="E166"/>
  <c r="E498"/>
  <c r="G197"/>
  <c r="C261"/>
  <c r="K286"/>
  <c r="G320"/>
  <c r="C505"/>
  <c r="E226"/>
  <c r="E55"/>
  <c r="I351"/>
  <c r="G88"/>
  <c r="C75"/>
  <c r="C87"/>
  <c r="Q28"/>
  <c r="O28"/>
  <c r="G200"/>
  <c r="M358"/>
  <c r="M266"/>
  <c r="K326"/>
  <c r="G141"/>
  <c r="C111"/>
  <c r="G290"/>
  <c r="O557"/>
  <c r="M595"/>
  <c r="C495"/>
  <c r="C527"/>
  <c r="E495"/>
  <c r="K206"/>
  <c r="K348"/>
  <c r="M448"/>
  <c r="K161"/>
  <c r="M587"/>
  <c r="Q27"/>
  <c r="O27"/>
  <c r="M346"/>
  <c r="M141"/>
  <c r="I175"/>
  <c r="I380"/>
  <c r="C382"/>
  <c r="K342"/>
  <c r="G118"/>
  <c r="M408"/>
  <c r="G505"/>
  <c r="M342"/>
  <c r="I587"/>
  <c r="K585"/>
  <c r="K46"/>
  <c r="Q46"/>
  <c r="C15"/>
  <c r="K312"/>
  <c r="Q83"/>
  <c r="I83"/>
  <c r="M312"/>
  <c r="G346"/>
  <c r="E323"/>
  <c r="O563"/>
  <c r="G408"/>
  <c r="C82"/>
  <c r="G75"/>
  <c r="M163"/>
  <c r="C552"/>
  <c r="K353"/>
  <c r="M102"/>
  <c r="I20"/>
  <c r="G493"/>
  <c r="E161"/>
  <c r="G105"/>
  <c r="I431"/>
  <c r="M322"/>
  <c r="C347"/>
  <c r="M443"/>
  <c r="O328"/>
  <c r="E160"/>
  <c r="O376"/>
  <c r="G165"/>
  <c r="C117"/>
  <c r="E312"/>
  <c r="E400"/>
  <c r="E235"/>
  <c r="C507"/>
  <c r="M370"/>
  <c r="I161"/>
  <c r="E10"/>
  <c r="I561"/>
  <c r="I375"/>
  <c r="E225"/>
  <c r="G406"/>
  <c r="G566"/>
  <c r="I536"/>
  <c r="M291"/>
  <c r="G51"/>
  <c r="G405"/>
  <c r="Q8"/>
  <c r="K192"/>
  <c r="E192"/>
  <c r="C583"/>
  <c r="M447"/>
  <c r="G48"/>
  <c r="G111"/>
  <c r="M101"/>
  <c r="C492"/>
  <c r="I500"/>
  <c r="I43"/>
  <c r="K288"/>
  <c r="C281"/>
  <c r="E406"/>
  <c r="M326"/>
  <c r="I225"/>
  <c r="M135"/>
  <c r="I252"/>
  <c r="I321"/>
  <c r="K177"/>
  <c r="K11"/>
  <c r="E228"/>
  <c r="G490"/>
  <c r="G82"/>
  <c r="C498"/>
  <c r="G568"/>
  <c r="K557"/>
  <c r="C435"/>
  <c r="I493"/>
  <c r="G103"/>
  <c r="C177"/>
  <c r="C401"/>
  <c r="C267"/>
  <c r="K351"/>
  <c r="O553"/>
  <c r="E522"/>
  <c r="M228"/>
  <c r="E178"/>
  <c r="K235"/>
  <c r="C321"/>
  <c r="K318"/>
  <c r="M418"/>
  <c r="I527"/>
  <c r="M567"/>
  <c r="M507"/>
  <c r="E505"/>
  <c r="E22"/>
  <c r="I371"/>
  <c r="C582"/>
  <c r="K322"/>
  <c r="O493"/>
  <c r="E45"/>
  <c r="I443"/>
  <c r="E378"/>
  <c r="I341"/>
  <c r="I501"/>
  <c r="K502"/>
  <c r="I496"/>
  <c r="C568"/>
  <c r="C377"/>
  <c r="M166"/>
  <c r="K113"/>
  <c r="C595"/>
  <c r="C258"/>
  <c r="I228"/>
  <c r="O582"/>
  <c r="G527"/>
  <c r="M538"/>
  <c r="I400"/>
  <c r="G535"/>
  <c r="G196"/>
  <c r="E75"/>
  <c r="G138"/>
  <c r="I196"/>
  <c r="M146"/>
  <c r="M527"/>
  <c r="M201"/>
  <c r="G492"/>
  <c r="I521"/>
  <c r="O566"/>
  <c r="Q58"/>
  <c r="K58"/>
  <c r="E23"/>
  <c r="E431"/>
  <c r="E145"/>
  <c r="K595"/>
  <c r="C536"/>
  <c r="E148"/>
  <c r="E117"/>
  <c r="E326"/>
  <c r="M442"/>
  <c r="E443"/>
  <c r="I137"/>
  <c r="C42"/>
  <c r="C373"/>
  <c r="E48"/>
  <c r="K325"/>
  <c r="E506"/>
  <c r="M375"/>
  <c r="K508"/>
  <c r="C108"/>
  <c r="M310"/>
  <c r="I48"/>
  <c r="M446"/>
  <c r="M340"/>
  <c r="O565"/>
  <c r="K588"/>
  <c r="M431"/>
  <c r="C233"/>
  <c r="O525"/>
  <c r="M533"/>
  <c r="G171"/>
  <c r="M553"/>
  <c r="C47"/>
  <c r="Q48"/>
  <c r="K48"/>
  <c r="O312"/>
  <c r="M593"/>
  <c r="C528"/>
  <c r="C178"/>
  <c r="M415"/>
  <c r="E562"/>
  <c r="E252"/>
  <c r="K223"/>
  <c r="C230"/>
  <c r="M236"/>
  <c r="E85"/>
  <c r="C496"/>
  <c r="C342"/>
  <c r="E411"/>
  <c r="G207"/>
  <c r="M492"/>
  <c r="M280"/>
  <c r="O436"/>
  <c r="E131"/>
  <c r="E386"/>
  <c r="C506"/>
  <c r="M298"/>
  <c r="I112"/>
  <c r="O321"/>
  <c r="M385"/>
  <c r="C317"/>
  <c r="C431"/>
  <c r="Q55"/>
  <c r="K55"/>
  <c r="M170"/>
  <c r="M293"/>
  <c r="E78"/>
  <c r="I136"/>
  <c r="E110"/>
  <c r="E527"/>
  <c r="M328"/>
  <c r="K143"/>
  <c r="G206"/>
  <c r="M348"/>
  <c r="C311"/>
  <c r="C22"/>
  <c r="E282"/>
  <c r="C55"/>
  <c r="K445"/>
  <c r="M403"/>
  <c r="M531"/>
  <c r="K52"/>
  <c r="Q52"/>
  <c r="K491"/>
  <c r="G223"/>
  <c r="I373"/>
  <c r="C27"/>
  <c r="M237"/>
  <c r="O447"/>
  <c r="O530"/>
  <c r="K566"/>
  <c r="O523"/>
  <c r="K506"/>
  <c r="O346"/>
  <c r="I491"/>
  <c r="E496"/>
  <c r="M382"/>
  <c r="K257"/>
  <c r="C346"/>
  <c r="G107" i="28"/>
  <c r="G345"/>
  <c r="G172" i="18"/>
  <c r="K527"/>
  <c r="G341"/>
  <c r="M493"/>
  <c r="G168" i="28"/>
  <c r="G52"/>
  <c r="C203"/>
  <c r="M140" i="18"/>
  <c r="C107"/>
  <c r="O315"/>
  <c r="E535"/>
  <c r="C48" i="28"/>
  <c r="E313"/>
  <c r="G431" i="18"/>
  <c r="G176"/>
  <c r="I528"/>
  <c r="G220"/>
  <c r="M220"/>
  <c r="K346" i="28"/>
  <c r="I225"/>
  <c r="G256" i="18"/>
  <c r="C291"/>
  <c r="E178" i="28"/>
  <c r="G555" i="18"/>
  <c r="G553"/>
  <c r="M402"/>
  <c r="M297" i="28"/>
  <c r="E500" i="18"/>
  <c r="K298"/>
  <c r="G162"/>
  <c r="C298" i="28"/>
  <c r="G177" i="18"/>
  <c r="G346" i="28"/>
  <c r="C292"/>
  <c r="C85"/>
  <c r="M208"/>
  <c r="K435" i="18"/>
  <c r="M221"/>
  <c r="M506"/>
  <c r="I260"/>
  <c r="K110"/>
  <c r="O20" i="28"/>
  <c r="E318"/>
  <c r="K118"/>
  <c r="I316" i="18"/>
  <c r="K418"/>
  <c r="C255"/>
  <c r="C387"/>
  <c r="G530"/>
  <c r="C28" i="28"/>
  <c r="G351"/>
  <c r="G296"/>
  <c r="I148" i="18"/>
  <c r="I532"/>
  <c r="I558"/>
  <c r="M502"/>
  <c r="I293" i="28"/>
  <c r="E50"/>
  <c r="I281" i="18"/>
  <c r="I163"/>
  <c r="G587"/>
  <c r="O418"/>
  <c r="C437"/>
  <c r="C130" i="28"/>
  <c r="M440"/>
  <c r="I200"/>
  <c r="G88"/>
  <c r="K323"/>
  <c r="C117"/>
  <c r="I413"/>
  <c r="E346"/>
  <c r="E166"/>
  <c r="C107"/>
  <c r="K41"/>
  <c r="G251"/>
  <c r="C192"/>
  <c r="O440"/>
  <c r="C110"/>
  <c r="C133"/>
  <c r="C322"/>
  <c r="K311"/>
  <c r="I48"/>
  <c r="G318"/>
  <c r="M231"/>
  <c r="O17"/>
  <c r="C430"/>
  <c r="I313"/>
  <c r="G47"/>
  <c r="C207"/>
  <c r="M147"/>
  <c r="E410"/>
  <c r="I230"/>
  <c r="K376"/>
  <c r="C288"/>
  <c r="G265"/>
  <c r="E206"/>
  <c r="K207"/>
  <c r="M327"/>
  <c r="E196"/>
  <c r="I17"/>
  <c r="G103"/>
  <c r="G260"/>
  <c r="I102"/>
  <c r="C230"/>
  <c r="O507" i="18"/>
  <c r="C380"/>
  <c r="I552"/>
  <c r="K400"/>
  <c r="I236"/>
  <c r="G293"/>
  <c r="C141"/>
  <c r="K385"/>
  <c r="I266"/>
  <c r="E100"/>
  <c r="C86"/>
  <c r="I53"/>
  <c r="C531"/>
  <c r="C378"/>
  <c r="K20"/>
  <c r="M292"/>
  <c r="K372"/>
  <c r="K226"/>
  <c r="C220"/>
  <c r="K311"/>
  <c r="O402"/>
  <c r="G148"/>
  <c r="I495"/>
  <c r="G142"/>
  <c r="I237"/>
  <c r="E258" i="28"/>
  <c r="K16"/>
  <c r="O528" i="18"/>
  <c r="I251"/>
  <c r="M195"/>
  <c r="I207"/>
  <c r="E177"/>
  <c r="C83" i="28"/>
  <c r="M176"/>
  <c r="C376" i="18"/>
  <c r="I525"/>
  <c r="E230"/>
  <c r="E558"/>
  <c r="E346"/>
  <c r="O28" i="28"/>
  <c r="O407" i="18"/>
  <c r="C41"/>
  <c r="K411"/>
  <c r="K432"/>
  <c r="M200" i="28"/>
  <c r="K141"/>
  <c r="E448"/>
  <c r="I25"/>
  <c r="C408" i="18"/>
  <c r="M227"/>
  <c r="K26"/>
  <c r="C52"/>
  <c r="C266"/>
  <c r="E170" i="28"/>
  <c r="C566" i="18"/>
  <c r="I555"/>
  <c r="C417"/>
  <c r="C172"/>
  <c r="M386"/>
  <c r="E351" i="28"/>
  <c r="E147"/>
  <c r="C146"/>
  <c r="K176" i="18"/>
  <c r="I382"/>
  <c r="K323"/>
  <c r="C190"/>
  <c r="E143" i="28"/>
  <c r="I147"/>
  <c r="G53" i="18"/>
  <c r="O378"/>
  <c r="M116"/>
  <c r="G440"/>
  <c r="I280" i="28"/>
  <c r="E221"/>
  <c r="I435"/>
  <c r="I353"/>
  <c r="E105"/>
  <c r="G176"/>
  <c r="I267"/>
  <c r="I388"/>
  <c r="C223"/>
  <c r="M315"/>
  <c r="I257"/>
  <c r="C101"/>
  <c r="K435"/>
  <c r="E110"/>
  <c r="I111"/>
  <c r="I173"/>
  <c r="C176"/>
  <c r="I22"/>
  <c r="E340"/>
  <c r="G57"/>
  <c r="O435"/>
  <c r="M130"/>
  <c r="C222"/>
  <c r="O351"/>
  <c r="G298"/>
  <c r="K230"/>
  <c r="C357"/>
  <c r="C327"/>
  <c r="K137"/>
  <c r="C115"/>
  <c r="K25"/>
  <c r="I352"/>
  <c r="E371"/>
  <c r="G13"/>
  <c r="K262"/>
  <c r="K251" i="18"/>
  <c r="G107"/>
  <c r="K297"/>
  <c r="E375"/>
  <c r="K593"/>
  <c r="G57"/>
  <c r="C293"/>
  <c r="O400"/>
  <c r="I320"/>
  <c r="C112"/>
  <c r="C551"/>
  <c r="C10"/>
  <c r="M168"/>
  <c r="E296"/>
  <c r="I416"/>
  <c r="M223"/>
  <c r="K285"/>
  <c r="K382"/>
  <c r="M351"/>
  <c r="G23"/>
  <c r="G268"/>
  <c r="I418"/>
  <c r="O445"/>
  <c r="G432"/>
  <c r="I406"/>
  <c r="G315"/>
  <c r="O371"/>
  <c r="C268"/>
  <c r="G382"/>
  <c r="I405"/>
  <c r="C591"/>
  <c r="G592"/>
  <c r="I105"/>
  <c r="M295"/>
  <c r="M561"/>
  <c r="E447"/>
  <c r="M21" i="28"/>
  <c r="E345"/>
  <c r="O412" i="18"/>
  <c r="K22"/>
  <c r="C596"/>
  <c r="C388"/>
  <c r="M258"/>
  <c r="C27" i="28"/>
  <c r="G206"/>
  <c r="K225"/>
  <c r="E258" i="18"/>
  <c r="K495"/>
  <c r="O568"/>
  <c r="M526"/>
  <c r="G371" i="28"/>
  <c r="C313"/>
  <c r="I133" i="18"/>
  <c r="I220"/>
  <c r="G558"/>
  <c r="C553"/>
  <c r="I27"/>
  <c r="O26" i="28"/>
  <c r="I191"/>
  <c r="G132"/>
  <c r="I531"/>
  <c r="C161"/>
  <c r="I223" i="18"/>
  <c r="K441"/>
  <c r="I167"/>
  <c r="E265"/>
  <c r="E555"/>
  <c r="K356" i="28"/>
  <c r="I523" i="18"/>
  <c r="G193"/>
  <c r="G106" i="28"/>
  <c r="E507" i="18"/>
  <c r="I437"/>
  <c r="M233" i="28"/>
  <c r="I292" i="18"/>
  <c r="M132"/>
  <c r="E46" i="28"/>
  <c r="C261"/>
  <c r="C315" i="18"/>
  <c r="M233"/>
  <c r="G130" i="28"/>
  <c r="I221"/>
  <c r="K315"/>
  <c r="O27"/>
  <c r="G193"/>
  <c r="I285"/>
  <c r="C415"/>
  <c r="K411"/>
  <c r="I166"/>
  <c r="I266"/>
  <c r="K251"/>
  <c r="G192"/>
  <c r="E436"/>
  <c r="E370"/>
  <c r="E595"/>
  <c r="O350"/>
  <c r="G12"/>
  <c r="C141"/>
  <c r="E232"/>
  <c r="E382"/>
  <c r="O313"/>
  <c r="I281"/>
  <c r="C231"/>
  <c r="E352"/>
  <c r="E148"/>
  <c r="E83"/>
  <c r="G253"/>
  <c r="C343"/>
  <c r="G288"/>
  <c r="C386"/>
  <c r="K20"/>
  <c r="G21"/>
  <c r="K145"/>
  <c r="I321"/>
  <c r="G85"/>
  <c r="E263"/>
  <c r="G317"/>
  <c r="O323"/>
  <c r="M175"/>
  <c r="I311"/>
  <c r="Q86" i="18"/>
  <c r="I86"/>
  <c r="I171"/>
  <c r="C537"/>
  <c r="I383"/>
  <c r="G411"/>
  <c r="G52"/>
  <c r="C20"/>
  <c r="C50"/>
  <c r="O526"/>
  <c r="K21"/>
  <c r="O313"/>
  <c r="O316"/>
  <c r="E430"/>
  <c r="I70"/>
  <c r="Q70"/>
  <c r="C162"/>
  <c r="M562"/>
  <c r="I507"/>
  <c r="M508"/>
  <c r="G266"/>
  <c r="G17"/>
  <c r="I200"/>
  <c r="M172"/>
  <c r="M568"/>
  <c r="G556"/>
  <c r="I10" i="28"/>
  <c r="K250"/>
  <c r="E238"/>
  <c r="C405" i="18"/>
  <c r="O357"/>
  <c r="G447"/>
  <c r="M491"/>
  <c r="G83" i="28"/>
  <c r="E177"/>
  <c r="G355" i="18"/>
  <c r="C345"/>
  <c r="O403"/>
  <c r="G316"/>
  <c r="G565"/>
  <c r="G140" i="28"/>
  <c r="G352"/>
  <c r="I296"/>
  <c r="M145" i="18"/>
  <c r="I258"/>
  <c r="I415"/>
  <c r="C175"/>
  <c r="E201" i="28"/>
  <c r="O10"/>
  <c r="G405"/>
  <c r="G108"/>
  <c r="M235" i="18"/>
  <c r="I202"/>
  <c r="O502"/>
  <c r="M321"/>
  <c r="G326" i="28"/>
  <c r="E351" i="18"/>
  <c r="M257"/>
  <c r="M323"/>
  <c r="C105"/>
  <c r="I40" i="28"/>
  <c r="G323"/>
  <c r="G256"/>
  <c r="G225" i="18"/>
  <c r="K406"/>
  <c r="I506"/>
  <c r="C192"/>
  <c r="O16" i="28"/>
  <c r="C320"/>
  <c r="O316"/>
  <c r="G46" i="18"/>
  <c r="K256"/>
  <c r="I388"/>
  <c r="C521"/>
  <c r="M280" i="28"/>
  <c r="M27"/>
  <c r="E327"/>
  <c r="M105"/>
  <c r="M340"/>
  <c r="E135"/>
  <c r="G167"/>
  <c r="G175"/>
  <c r="E116"/>
  <c r="G101"/>
  <c r="I320"/>
  <c r="E310"/>
  <c r="O407"/>
  <c r="O445"/>
  <c r="C77"/>
  <c r="E56"/>
  <c r="I291"/>
  <c r="C250"/>
  <c r="E357"/>
  <c r="K178"/>
  <c r="G290"/>
  <c r="C76"/>
  <c r="I207"/>
  <c r="E117"/>
  <c r="C310"/>
  <c r="I445"/>
  <c r="E197"/>
  <c r="C138"/>
  <c r="M380"/>
  <c r="I52"/>
  <c r="I387"/>
  <c r="I196"/>
  <c r="K190"/>
  <c r="C255"/>
  <c r="G17"/>
  <c r="C160"/>
  <c r="G253" i="18"/>
  <c r="M205"/>
  <c r="M521"/>
  <c r="E115"/>
  <c r="I203"/>
  <c r="O446"/>
  <c r="M20"/>
  <c r="O438"/>
  <c r="C102"/>
  <c r="C357"/>
  <c r="E47"/>
  <c r="O580"/>
  <c r="I165"/>
  <c r="G443"/>
  <c r="C143"/>
  <c r="K13"/>
  <c r="I205"/>
  <c r="G282"/>
  <c r="I287"/>
  <c r="M503"/>
  <c r="K137"/>
  <c r="G347"/>
  <c r="G385"/>
  <c r="M497"/>
  <c r="G497"/>
  <c r="C257"/>
  <c r="K586"/>
  <c r="K442"/>
  <c r="I117"/>
  <c r="I107" i="28"/>
  <c r="M111" i="18"/>
  <c r="G255"/>
  <c r="G388"/>
  <c r="G70" i="28"/>
  <c r="C410" i="18"/>
  <c r="O495"/>
  <c r="M138" i="28"/>
  <c r="O411" i="18"/>
  <c r="E52"/>
  <c r="M23" i="28"/>
  <c r="M291"/>
  <c r="I208"/>
  <c r="M173" i="18"/>
  <c r="G77"/>
  <c r="C178" i="28"/>
  <c r="K297"/>
  <c r="K232" i="18"/>
  <c r="I11" i="28"/>
  <c r="C313" i="18"/>
  <c r="G221" i="28"/>
  <c r="G178"/>
  <c r="I347" i="18"/>
  <c r="E497"/>
  <c r="O347"/>
  <c r="G165" i="28"/>
  <c r="K373" i="18"/>
  <c r="M523"/>
  <c r="Q50"/>
  <c r="K50"/>
  <c r="O595"/>
  <c r="I107"/>
  <c r="C533"/>
  <c r="E372"/>
  <c r="E13"/>
  <c r="E106"/>
  <c r="M113"/>
  <c r="E263"/>
  <c r="K438"/>
  <c r="M130"/>
  <c r="K350"/>
  <c r="G235"/>
  <c r="K320"/>
  <c r="C322"/>
  <c r="I116"/>
  <c r="G202"/>
  <c r="E592"/>
  <c r="E310"/>
  <c r="G322"/>
  <c r="K352"/>
  <c r="E412"/>
  <c r="I293"/>
  <c r="C138"/>
  <c r="E26"/>
  <c r="E440"/>
  <c r="C17"/>
  <c r="C196"/>
  <c r="Q18"/>
  <c r="O18"/>
  <c r="G321"/>
  <c r="K448"/>
  <c r="E587"/>
  <c r="K553"/>
  <c r="G76"/>
  <c r="I323"/>
  <c r="M325"/>
  <c r="I52"/>
  <c r="G145"/>
  <c r="G583"/>
  <c r="O585"/>
  <c r="E313"/>
  <c r="I297"/>
  <c r="M285"/>
  <c r="C103"/>
  <c r="K446"/>
  <c r="O406"/>
  <c r="E321"/>
  <c r="C83"/>
  <c r="G298"/>
  <c r="E438"/>
  <c r="C438"/>
  <c r="E552"/>
  <c r="C228"/>
  <c r="G562"/>
  <c r="G238"/>
  <c r="K581"/>
  <c r="E132"/>
  <c r="K10"/>
  <c r="K500"/>
  <c r="K106"/>
  <c r="C557"/>
  <c r="M438"/>
  <c r="O558"/>
  <c r="C381"/>
  <c r="C43"/>
  <c r="C356"/>
  <c r="I172"/>
  <c r="M177"/>
  <c r="C40"/>
  <c r="I198"/>
  <c r="E171"/>
  <c r="I381"/>
  <c r="E283"/>
  <c r="E142"/>
  <c r="Q81"/>
  <c r="I81"/>
  <c r="C137"/>
  <c r="C433"/>
  <c r="E538"/>
  <c r="I596"/>
  <c r="E588"/>
  <c r="C81"/>
  <c r="E341"/>
  <c r="G236"/>
  <c r="C563"/>
  <c r="G380"/>
  <c r="G448"/>
  <c r="C136"/>
  <c r="I40"/>
  <c r="C561"/>
  <c r="C323"/>
  <c r="I505"/>
  <c r="K167"/>
  <c r="E557"/>
  <c r="E581"/>
  <c r="E566"/>
  <c r="I191"/>
  <c r="O448"/>
  <c r="E12"/>
  <c r="K313"/>
  <c r="C72"/>
  <c r="G71"/>
  <c r="K317"/>
  <c r="I130"/>
  <c r="M437"/>
  <c r="C522"/>
  <c r="M190"/>
  <c r="G291"/>
  <c r="G170"/>
  <c r="C290"/>
  <c r="C383"/>
  <c r="M598"/>
  <c r="K107" i="28"/>
  <c r="C20"/>
  <c r="G146" i="18"/>
  <c r="I590"/>
  <c r="E168"/>
  <c r="E551"/>
  <c r="O327"/>
  <c r="I12" i="28"/>
  <c r="C236"/>
  <c r="C325"/>
  <c r="C493" i="18"/>
  <c r="M297"/>
  <c r="K436"/>
  <c r="K262"/>
  <c r="G43" i="28"/>
  <c r="I53"/>
  <c r="K280" i="18"/>
  <c r="C171"/>
  <c r="I498"/>
  <c r="G311"/>
  <c r="I77"/>
  <c r="Q77"/>
  <c r="M117" i="28"/>
  <c r="K291"/>
  <c r="C346"/>
  <c r="O352" i="18"/>
  <c r="I50" i="28"/>
  <c r="E81"/>
  <c r="I291" i="18"/>
  <c r="M207"/>
  <c r="M165" i="28"/>
  <c r="E376" i="18"/>
  <c r="C21"/>
  <c r="E407"/>
  <c r="E293" i="28"/>
  <c r="G160" i="18"/>
  <c r="C256"/>
  <c r="G436"/>
  <c r="G45"/>
  <c r="G78"/>
  <c r="O498"/>
  <c r="O551"/>
  <c r="I21"/>
  <c r="C100"/>
  <c r="K165"/>
  <c r="G590"/>
  <c r="M296"/>
  <c r="I238"/>
  <c r="I448"/>
  <c r="C343"/>
  <c r="C51"/>
  <c r="G387"/>
  <c r="G205"/>
  <c r="G403"/>
  <c r="M520"/>
  <c r="G140"/>
  <c r="M222"/>
  <c r="O348"/>
  <c r="I18"/>
  <c r="M430"/>
  <c r="I312"/>
  <c r="C285"/>
  <c r="G500"/>
  <c r="M28"/>
  <c r="E262"/>
  <c r="C133"/>
  <c r="E583"/>
  <c r="G386"/>
  <c r="C297"/>
  <c r="I355"/>
  <c r="M445"/>
  <c r="K410"/>
  <c r="C590"/>
  <c r="G585"/>
  <c r="I131"/>
  <c r="E175"/>
  <c r="E167"/>
  <c r="K111"/>
  <c r="G85"/>
  <c r="M17"/>
  <c r="G350"/>
  <c r="E435"/>
  <c r="C526"/>
  <c r="I100"/>
  <c r="C416"/>
  <c r="M317"/>
  <c r="O10"/>
  <c r="Q10"/>
  <c r="I85"/>
  <c r="Q85"/>
  <c r="C310"/>
  <c r="E322"/>
  <c r="C418"/>
  <c r="C80"/>
  <c r="G498"/>
  <c r="E297"/>
  <c r="C191"/>
  <c r="E567"/>
  <c r="K521"/>
  <c r="C235"/>
  <c r="E86"/>
  <c r="E50"/>
  <c r="C442"/>
  <c r="C250"/>
  <c r="O505"/>
  <c r="E537"/>
  <c r="C550"/>
  <c r="K343"/>
  <c r="I353"/>
  <c r="G130"/>
  <c r="E292"/>
  <c r="G173"/>
  <c r="G295"/>
  <c r="C106"/>
  <c r="M27"/>
  <c r="E267"/>
  <c r="K238"/>
  <c r="K583"/>
  <c r="I531"/>
  <c r="I441"/>
  <c r="M551"/>
  <c r="I586"/>
  <c r="K287"/>
  <c r="M200"/>
  <c r="C502"/>
  <c r="E76"/>
  <c r="K18"/>
  <c r="K533"/>
  <c r="M563"/>
  <c r="C140"/>
  <c r="G313"/>
  <c r="E568"/>
  <c r="I140"/>
  <c r="E130"/>
  <c r="E285"/>
  <c r="M582"/>
  <c r="M26"/>
  <c r="K28"/>
  <c r="E233"/>
  <c r="K103"/>
  <c r="M316"/>
  <c r="G353"/>
  <c r="K205"/>
  <c r="G563"/>
  <c r="C226"/>
  <c r="K200"/>
  <c r="I15"/>
  <c r="C76"/>
  <c r="I51"/>
  <c r="M253"/>
  <c r="O323"/>
  <c r="C170"/>
  <c r="K237"/>
  <c r="K552"/>
  <c r="I560"/>
  <c r="G131"/>
  <c r="I553"/>
  <c r="K526"/>
  <c r="G491"/>
  <c r="O372"/>
  <c r="E585"/>
  <c r="C585"/>
  <c r="I170"/>
  <c r="C587"/>
  <c r="C78"/>
  <c r="M286"/>
  <c r="C497"/>
  <c r="E298"/>
  <c r="O532"/>
  <c r="I88"/>
  <c r="Q88"/>
  <c r="M416"/>
  <c r="E490"/>
  <c r="M11"/>
  <c r="E111"/>
  <c r="I378"/>
  <c r="G358"/>
  <c r="I268"/>
  <c r="I17"/>
  <c r="G147"/>
  <c r="G83"/>
  <c r="K163"/>
  <c r="O353"/>
  <c r="G430"/>
  <c r="O587"/>
  <c r="K381"/>
  <c r="K27"/>
  <c r="I45"/>
  <c r="K416"/>
  <c r="I407"/>
  <c r="G531"/>
  <c r="M106"/>
  <c r="I598"/>
  <c r="C385"/>
  <c r="G41"/>
  <c r="E563"/>
  <c r="I41"/>
  <c r="G557"/>
  <c r="K252"/>
  <c r="I73"/>
  <c r="Q73"/>
  <c r="I317"/>
  <c r="I192"/>
  <c r="O536"/>
  <c r="M137"/>
  <c r="E87"/>
  <c r="M288"/>
  <c r="I147"/>
  <c r="E381"/>
  <c r="E77"/>
  <c r="I206"/>
  <c r="I113"/>
  <c r="C135"/>
  <c r="G507"/>
  <c r="M176"/>
  <c r="G593"/>
  <c r="K408"/>
  <c r="M352"/>
  <c r="C131"/>
  <c r="I401"/>
  <c r="O373"/>
  <c r="G588"/>
  <c r="E172"/>
  <c r="E353"/>
  <c r="I583"/>
  <c r="M373"/>
  <c r="E135"/>
  <c r="O441"/>
  <c r="O20"/>
  <c r="Q20"/>
  <c r="M588"/>
  <c r="K105"/>
  <c r="I102"/>
  <c r="I265"/>
  <c r="K596"/>
  <c r="K25"/>
  <c r="G287"/>
  <c r="M131"/>
  <c r="E501"/>
  <c r="M18"/>
  <c r="C350"/>
  <c r="O521"/>
  <c r="G413"/>
  <c r="K413"/>
  <c r="I106"/>
  <c r="I497"/>
  <c r="C238"/>
  <c r="C562"/>
  <c r="K102"/>
  <c r="G10"/>
  <c r="M436"/>
  <c r="I80"/>
  <c r="Q80"/>
  <c r="I56"/>
  <c r="O442"/>
  <c r="E383"/>
  <c r="E433"/>
  <c r="C222"/>
  <c r="G135"/>
  <c r="C77"/>
  <c r="M522"/>
  <c r="O430"/>
  <c r="I447"/>
  <c r="E403"/>
  <c r="E25"/>
  <c r="K100"/>
  <c r="M412"/>
  <c r="E387"/>
  <c r="K520"/>
  <c r="C283"/>
  <c r="E533"/>
  <c r="O497"/>
  <c r="G168"/>
  <c r="M586"/>
  <c r="K207"/>
  <c r="C16"/>
  <c r="E43"/>
  <c r="Q15"/>
  <c r="O15"/>
  <c r="I135"/>
  <c r="E432"/>
  <c r="M580"/>
  <c r="K236"/>
  <c r="C503"/>
  <c r="E57"/>
  <c r="G326"/>
  <c r="K197"/>
  <c r="G340"/>
  <c r="O492"/>
  <c r="C237"/>
  <c r="I283"/>
  <c r="G503"/>
  <c r="E108"/>
  <c r="E201"/>
  <c r="G106"/>
  <c r="I357"/>
  <c r="C262"/>
  <c r="K497"/>
  <c r="I177"/>
  <c r="K530"/>
  <c r="K258"/>
  <c r="K191"/>
  <c r="K296"/>
  <c r="G435"/>
  <c r="C57"/>
  <c r="I280"/>
  <c r="I257"/>
  <c r="M560"/>
  <c r="O310"/>
  <c r="K597"/>
  <c r="Q41"/>
  <c r="K41"/>
  <c r="G560"/>
  <c r="G166"/>
  <c r="M407"/>
  <c r="M357"/>
  <c r="C198"/>
  <c r="O325"/>
  <c r="M532"/>
  <c r="E41" i="28"/>
  <c r="E491"/>
  <c r="I432" i="18"/>
  <c r="M566"/>
  <c r="G351"/>
  <c r="M206"/>
  <c r="K563"/>
  <c r="G236" i="28"/>
  <c r="G325"/>
  <c r="C208" i="18"/>
  <c r="C118"/>
  <c r="Q26"/>
  <c r="O26"/>
  <c r="K536"/>
  <c r="M536"/>
  <c r="I73" i="28"/>
  <c r="E205"/>
  <c r="K167"/>
  <c r="E350" i="18"/>
  <c r="I592"/>
  <c r="G567"/>
  <c r="G551"/>
  <c r="I103" i="28"/>
  <c r="E108"/>
  <c r="G226" i="18"/>
  <c r="E528"/>
  <c r="E198"/>
  <c r="I76" i="28"/>
  <c r="I238"/>
  <c r="I47" i="18"/>
  <c r="E58"/>
  <c r="E42" i="28"/>
  <c r="C87"/>
  <c r="K531" i="18"/>
  <c r="G56" i="28"/>
  <c r="K382"/>
  <c r="G190"/>
  <c r="G226"/>
  <c r="G220"/>
  <c r="K116" i="18"/>
  <c r="E493"/>
  <c r="I178" i="28"/>
  <c r="I57"/>
  <c r="E317" i="18"/>
  <c r="M388"/>
  <c r="I165" i="28"/>
  <c r="E106"/>
  <c r="O382" i="18"/>
  <c r="K228"/>
  <c r="M535"/>
  <c r="I87" i="28"/>
  <c r="K133"/>
  <c r="K233"/>
  <c r="I551" i="18"/>
  <c r="G198"/>
  <c r="C320"/>
  <c r="E227"/>
  <c r="E402"/>
  <c r="K58" i="28"/>
  <c r="K407"/>
  <c r="G282"/>
  <c r="K258"/>
  <c r="K193"/>
  <c r="M285"/>
  <c r="G287"/>
  <c r="K172"/>
  <c r="I317"/>
  <c r="M266"/>
  <c r="G268"/>
  <c r="K57"/>
  <c r="C11"/>
  <c r="I373"/>
  <c r="E168"/>
  <c r="K377"/>
  <c r="E223"/>
  <c r="C165"/>
  <c r="E88"/>
  <c r="M382"/>
  <c r="E140"/>
  <c r="G76"/>
  <c r="G401"/>
  <c r="E102"/>
  <c r="C408"/>
  <c r="O327"/>
  <c r="I171"/>
  <c r="M148"/>
  <c r="E82"/>
  <c r="E291"/>
  <c r="C220"/>
  <c r="I105"/>
  <c r="M342"/>
  <c r="I41"/>
  <c r="I500"/>
  <c r="K197"/>
  <c r="I162"/>
  <c r="G402"/>
  <c r="M311"/>
  <c r="M170"/>
  <c r="I103" i="18"/>
  <c r="K568"/>
  <c r="E206"/>
  <c r="M255"/>
  <c r="I222"/>
  <c r="G42"/>
  <c r="E442"/>
  <c r="G446"/>
  <c r="O381"/>
  <c r="K108"/>
  <c r="C286"/>
  <c r="G372"/>
  <c r="O508"/>
  <c r="K203"/>
  <c r="E315"/>
  <c r="I563"/>
  <c r="E343"/>
  <c r="K101"/>
  <c r="G495"/>
  <c r="E561"/>
  <c r="E207"/>
  <c r="E550"/>
  <c r="C441"/>
  <c r="M178"/>
  <c r="E26" i="28"/>
  <c r="G198"/>
  <c r="C386" i="18"/>
  <c r="E347"/>
  <c r="I173"/>
  <c r="E133"/>
  <c r="M142"/>
  <c r="E160" i="28"/>
  <c r="E446"/>
  <c r="C51"/>
  <c r="G132" i="18"/>
  <c r="E565"/>
  <c r="E385"/>
  <c r="O358"/>
  <c r="G222" i="28"/>
  <c r="E163"/>
  <c r="K437" i="18"/>
  <c r="G552"/>
  <c r="C327"/>
  <c r="C148"/>
  <c r="I78" i="28"/>
  <c r="K135"/>
  <c r="E132"/>
  <c r="O11"/>
  <c r="G411"/>
  <c r="I296" i="18"/>
  <c r="O25"/>
  <c r="Q25"/>
  <c r="C10" i="28"/>
  <c r="I20"/>
  <c r="E80" i="18"/>
  <c r="E257"/>
  <c r="G522"/>
  <c r="O491"/>
  <c r="E315" i="28"/>
  <c r="K256"/>
  <c r="E83" i="18"/>
  <c r="M371"/>
  <c r="G501"/>
  <c r="K260"/>
  <c r="G26" i="28"/>
  <c r="E285"/>
  <c r="C81"/>
  <c r="C253" i="18"/>
  <c r="K591"/>
  <c r="E556"/>
  <c r="C597"/>
  <c r="K21" i="28"/>
  <c r="C286"/>
  <c r="I110"/>
  <c r="M258"/>
  <c r="C341"/>
  <c r="I135"/>
  <c r="C137"/>
  <c r="M172"/>
  <c r="E297"/>
  <c r="I116"/>
  <c r="C118"/>
  <c r="K18"/>
  <c r="C25"/>
  <c r="I283"/>
  <c r="I408"/>
  <c r="G223"/>
  <c r="M313"/>
  <c r="G250"/>
  <c r="M357"/>
  <c r="M15"/>
  <c r="C268"/>
  <c r="I231"/>
  <c r="C387"/>
  <c r="G10"/>
  <c r="M402"/>
  <c r="I138"/>
  <c r="M20"/>
  <c r="E18"/>
  <c r="E100"/>
  <c r="C431"/>
  <c r="I255"/>
  <c r="C256"/>
  <c r="M196"/>
  <c r="M25"/>
  <c r="C380"/>
  <c r="K162"/>
  <c r="C388"/>
  <c r="M440" i="18"/>
  <c r="M143"/>
  <c r="M583"/>
  <c r="E582"/>
  <c r="I58"/>
  <c r="I235"/>
  <c r="G72"/>
  <c r="E266"/>
  <c r="G40"/>
  <c r="G58"/>
  <c r="I557"/>
  <c r="G112"/>
  <c r="M327"/>
  <c r="M196"/>
  <c r="C312"/>
  <c r="O413"/>
  <c r="E532"/>
  <c r="M433"/>
  <c r="K403"/>
  <c r="C265"/>
  <c r="M490"/>
  <c r="E147"/>
  <c r="C446"/>
  <c r="M110"/>
  <c r="O537"/>
  <c r="O561"/>
  <c r="G18"/>
  <c r="G371"/>
  <c r="G227"/>
  <c r="K168"/>
  <c r="G442"/>
  <c r="E21"/>
  <c r="I408"/>
  <c r="E295"/>
  <c r="M107" i="28"/>
  <c r="C52"/>
  <c r="C26" i="18"/>
  <c r="G441"/>
  <c r="M597"/>
  <c r="G281"/>
  <c r="K407"/>
  <c r="E236" i="28"/>
  <c r="E325"/>
  <c r="G108" i="18"/>
  <c r="M115"/>
  <c r="M138"/>
  <c r="E311"/>
  <c r="C173"/>
  <c r="M115" i="28"/>
  <c r="O413"/>
  <c r="O386" i="18"/>
  <c r="G133"/>
  <c r="I417"/>
  <c r="I346" i="28"/>
  <c r="E292"/>
  <c r="O442"/>
  <c r="E413" i="18"/>
  <c r="O531"/>
  <c r="K550"/>
  <c r="C443"/>
  <c r="M268"/>
  <c r="C50" i="28"/>
  <c r="M175" i="18"/>
  <c r="M238"/>
  <c r="O555"/>
  <c r="K165" i="28"/>
  <c r="I138" i="18"/>
  <c r="K340"/>
  <c r="K346"/>
  <c r="C293" i="28"/>
  <c r="M311" i="18"/>
  <c r="G325"/>
  <c r="K341"/>
  <c r="E286" i="28"/>
  <c r="G117"/>
  <c r="E593" i="18"/>
  <c r="E268" i="28"/>
  <c r="G262"/>
  <c r="K282"/>
  <c r="E191"/>
  <c r="O357"/>
  <c r="E12"/>
  <c r="M376"/>
  <c r="C296"/>
  <c r="E133"/>
  <c r="K500"/>
  <c r="E17"/>
  <c r="C267"/>
  <c r="C191"/>
  <c r="E233"/>
  <c r="I322"/>
  <c r="K290"/>
  <c r="E378"/>
  <c r="G232"/>
  <c r="M321"/>
  <c r="C252"/>
  <c r="C102"/>
  <c r="G41"/>
  <c r="E141"/>
  <c r="K442"/>
  <c r="I140"/>
  <c r="M343"/>
  <c r="E290"/>
  <c r="K408"/>
  <c r="I327"/>
  <c r="M491"/>
  <c r="C377"/>
  <c r="G20"/>
  <c r="C265"/>
  <c r="M205"/>
  <c r="C340"/>
  <c r="G415"/>
  <c r="O325"/>
  <c r="M320"/>
  <c r="K265"/>
  <c r="I446"/>
  <c r="I235"/>
  <c r="C46"/>
  <c r="I55" i="18"/>
  <c r="E408"/>
  <c r="G496"/>
  <c r="G400"/>
  <c r="E56"/>
  <c r="C520"/>
  <c r="C491"/>
  <c r="G348"/>
  <c r="I580"/>
  <c r="C325"/>
  <c r="K290"/>
  <c r="E42"/>
  <c r="E260"/>
  <c r="C142"/>
  <c r="K505"/>
  <c r="I101"/>
  <c r="C358"/>
  <c r="C203"/>
  <c r="G373"/>
  <c r="G292"/>
  <c r="E377"/>
  <c r="M381"/>
  <c r="E107"/>
  <c r="C351"/>
  <c r="C167"/>
  <c r="C225"/>
  <c r="M257" i="28"/>
  <c r="K198"/>
  <c r="I402" i="18"/>
  <c r="K492"/>
  <c r="O520"/>
  <c r="O590"/>
  <c r="I197" i="28"/>
  <c r="C227"/>
  <c r="C317"/>
  <c r="G357" i="18"/>
  <c r="Q23"/>
  <c r="O23"/>
  <c r="G260"/>
  <c r="M261"/>
  <c r="K222" i="28"/>
  <c r="I163"/>
  <c r="K253" i="18"/>
  <c r="G13"/>
  <c r="C252"/>
  <c r="C296"/>
  <c r="I502"/>
  <c r="G141" i="28"/>
  <c r="M415"/>
  <c r="G208"/>
  <c r="I46" i="18"/>
  <c r="M112"/>
  <c r="I285"/>
  <c r="M413"/>
  <c r="K255"/>
  <c r="E51" i="28"/>
  <c r="M168"/>
  <c r="K110"/>
  <c r="O560" i="18"/>
  <c r="E268"/>
  <c r="E196"/>
  <c r="O538"/>
  <c r="O318"/>
  <c r="I142" i="28"/>
  <c r="I85"/>
  <c r="I385" i="18"/>
  <c r="M133"/>
  <c r="E236"/>
  <c r="M142" i="28"/>
  <c r="G81"/>
  <c r="E503" i="18"/>
  <c r="K378"/>
  <c r="K292"/>
  <c r="G286"/>
  <c r="E520"/>
  <c r="I113" i="28"/>
  <c r="C112"/>
  <c r="G348"/>
  <c r="K23"/>
  <c r="C406"/>
  <c r="G27"/>
  <c r="I371"/>
  <c r="E296"/>
  <c r="K10"/>
  <c r="K502"/>
  <c r="G373"/>
  <c r="E267"/>
  <c r="E220"/>
  <c r="G233"/>
  <c r="C175"/>
  <c r="O23"/>
  <c r="C281"/>
  <c r="C78"/>
  <c r="E173"/>
  <c r="I56"/>
  <c r="K101"/>
  <c r="G261"/>
  <c r="M562"/>
  <c r="I83"/>
  <c r="G437"/>
  <c r="C21"/>
  <c r="C198"/>
  <c r="K327"/>
  <c r="I375"/>
  <c r="C280"/>
  <c r="K113"/>
  <c r="G40"/>
  <c r="I491"/>
  <c r="K293"/>
  <c r="K195"/>
  <c r="O320"/>
  <c r="M265"/>
  <c r="K371" i="18"/>
  <c r="M525"/>
  <c r="E41"/>
  <c r="I438"/>
  <c r="K118"/>
  <c r="K525"/>
  <c r="K537"/>
  <c r="G415"/>
  <c r="K328"/>
  <c r="O377"/>
  <c r="C113"/>
  <c r="K138"/>
  <c r="M193"/>
  <c r="K412"/>
  <c r="C375"/>
  <c r="K561"/>
  <c r="K562"/>
  <c r="K160"/>
  <c r="O380"/>
  <c r="I562"/>
  <c r="C45"/>
  <c r="C85"/>
  <c r="O432"/>
  <c r="I28"/>
  <c r="E232"/>
  <c r="I593"/>
  <c r="I436"/>
  <c r="G502"/>
  <c r="C101"/>
  <c r="I345" i="28"/>
  <c r="C490" i="18"/>
  <c r="E415"/>
  <c r="E55" i="28"/>
  <c r="M167"/>
  <c r="K355" i="18"/>
  <c r="C593"/>
  <c r="O371" i="28"/>
  <c r="G402" i="18"/>
  <c r="G285"/>
  <c r="G537"/>
  <c r="M191" i="28"/>
  <c r="I410"/>
  <c r="K310" i="18"/>
  <c r="O355"/>
  <c r="E27"/>
  <c r="G43"/>
  <c r="K440"/>
  <c r="M281"/>
  <c r="K538"/>
  <c r="E105"/>
  <c r="C280"/>
  <c r="C106" i="28"/>
  <c r="E598" i="18"/>
  <c r="M343"/>
  <c r="C223"/>
  <c r="O592"/>
  <c r="M401"/>
  <c r="E231"/>
  <c r="C236"/>
  <c r="G161"/>
  <c r="O435"/>
  <c r="K40"/>
  <c r="Q40"/>
  <c r="K587"/>
  <c r="C430"/>
  <c r="E15" i="28"/>
  <c r="M250"/>
  <c r="G238"/>
  <c r="G237" i="18"/>
  <c r="E253"/>
  <c r="M283"/>
  <c r="I236" i="28"/>
  <c r="M100"/>
  <c r="K171" i="18"/>
  <c r="E596"/>
  <c r="G56"/>
  <c r="G230"/>
  <c r="C48"/>
  <c r="E162" i="28"/>
  <c r="G205"/>
  <c r="C321"/>
  <c r="M496" i="18"/>
  <c r="I288"/>
  <c r="C353"/>
  <c r="M198"/>
  <c r="E21" i="28"/>
  <c r="K40"/>
  <c r="I282"/>
  <c r="K267"/>
  <c r="G195" i="18"/>
  <c r="K535"/>
  <c r="K148"/>
  <c r="M581"/>
  <c r="M118" i="28"/>
  <c r="O356" i="18"/>
  <c r="O415"/>
  <c r="G343" i="28"/>
  <c r="C350"/>
  <c r="I168" i="18"/>
  <c r="C206"/>
  <c r="E107" i="28"/>
  <c r="K375" i="18"/>
  <c r="K370"/>
  <c r="C146"/>
  <c r="E130" i="28"/>
  <c r="I325"/>
  <c r="I377"/>
  <c r="C318"/>
  <c r="E261"/>
  <c r="O410" i="18"/>
  <c r="M263"/>
  <c r="G506"/>
  <c r="I490"/>
  <c r="K132"/>
  <c r="E23" i="28"/>
  <c r="K28"/>
  <c r="G380"/>
  <c r="G312" i="18"/>
  <c r="O535"/>
  <c r="I227"/>
  <c r="G293" i="28"/>
  <c r="E235"/>
  <c r="K388" i="18"/>
  <c r="M191"/>
  <c r="I340"/>
  <c r="E88"/>
  <c r="M197"/>
  <c r="E131" i="28"/>
  <c r="I262"/>
  <c r="E203"/>
  <c r="E440"/>
  <c r="E200"/>
  <c r="K56"/>
  <c r="C113"/>
  <c r="M116"/>
  <c r="K345"/>
  <c r="M353"/>
  <c r="M106"/>
  <c r="C15"/>
  <c r="G80"/>
  <c r="K322"/>
  <c r="O582"/>
  <c r="K130"/>
  <c r="I232"/>
  <c r="O321"/>
  <c r="M442"/>
  <c r="G16"/>
  <c r="E252"/>
  <c r="I261"/>
  <c r="G435"/>
  <c r="G433"/>
  <c r="G196"/>
  <c r="G51"/>
  <c r="O343"/>
  <c r="K147"/>
  <c r="G403"/>
  <c r="E11"/>
  <c r="O355"/>
  <c r="M178"/>
  <c r="E265"/>
  <c r="C206"/>
  <c r="G447"/>
  <c r="M293"/>
  <c r="M195"/>
  <c r="I77"/>
  <c r="K260"/>
  <c r="M441"/>
  <c r="M235"/>
  <c r="K228"/>
  <c r="C13" i="18"/>
  <c r="K493"/>
  <c r="E191"/>
  <c r="M117"/>
  <c r="C432"/>
  <c r="M441"/>
  <c r="M528"/>
  <c r="K107"/>
  <c r="I358"/>
  <c r="O440"/>
  <c r="K266"/>
  <c r="M108"/>
  <c r="C130"/>
  <c r="E327"/>
  <c r="K551"/>
  <c r="M505"/>
  <c r="I87"/>
  <c r="Q87"/>
  <c r="K133"/>
  <c r="I530"/>
  <c r="I520"/>
  <c r="M552"/>
  <c r="G267"/>
  <c r="C258" i="28"/>
  <c r="M198"/>
  <c r="C176" i="18"/>
  <c r="E508"/>
  <c r="I141"/>
  <c r="O345"/>
  <c r="K45" i="28"/>
  <c r="E227"/>
  <c r="K176"/>
  <c r="K556" i="18"/>
  <c r="G22"/>
  <c r="K227"/>
  <c r="G536"/>
  <c r="M222" i="28"/>
  <c r="C22"/>
  <c r="I231" i="18"/>
  <c r="E536"/>
  <c r="Q11"/>
  <c r="O11"/>
  <c r="I503"/>
  <c r="O341"/>
  <c r="K200" i="28"/>
  <c r="I141"/>
  <c r="K236"/>
  <c r="K208"/>
  <c r="K555" i="18"/>
  <c r="Q12"/>
  <c r="O12"/>
  <c r="I11"/>
  <c r="G21"/>
  <c r="I442"/>
  <c r="G58" i="28"/>
  <c r="C170"/>
  <c r="G377" i="18"/>
  <c r="K380"/>
  <c r="E143"/>
  <c r="I193"/>
  <c r="C560"/>
  <c r="K55" i="28"/>
  <c r="E190"/>
  <c r="K376" i="18"/>
  <c r="K347"/>
  <c r="E595"/>
  <c r="C525"/>
  <c r="C143" i="28"/>
  <c r="E70"/>
  <c r="K377" i="18"/>
  <c r="K281"/>
  <c r="C232"/>
  <c r="E526"/>
  <c r="O408"/>
  <c r="M10" i="28"/>
  <c r="G280"/>
  <c r="C221"/>
  <c r="O433"/>
  <c r="G200"/>
  <c r="C18"/>
  <c r="E176"/>
  <c r="G267"/>
  <c r="M503"/>
  <c r="C82"/>
  <c r="G257"/>
  <c r="I58"/>
  <c r="I233"/>
  <c r="E175"/>
  <c r="I506"/>
  <c r="E281"/>
  <c r="C58"/>
  <c r="G173"/>
  <c r="G443"/>
  <c r="K17"/>
  <c r="K22"/>
  <c r="G225"/>
  <c r="G197"/>
  <c r="C446"/>
  <c r="E322"/>
  <c r="M221"/>
  <c r="E198"/>
  <c r="E298"/>
  <c r="E435"/>
  <c r="I18"/>
  <c r="O492"/>
  <c r="O326"/>
  <c r="E280"/>
  <c r="M113"/>
  <c r="C351"/>
  <c r="K340"/>
  <c r="K436"/>
  <c r="C196"/>
  <c r="I80"/>
  <c r="E103"/>
  <c r="C595"/>
  <c r="M255"/>
  <c r="K192"/>
  <c r="M388"/>
  <c r="M236"/>
  <c r="I177"/>
  <c r="K171"/>
  <c r="I112"/>
  <c r="O377"/>
  <c r="K13"/>
  <c r="G105"/>
  <c r="I21"/>
  <c r="C435"/>
  <c r="E161"/>
  <c r="I55"/>
  <c r="G388"/>
  <c r="C347"/>
  <c r="M292"/>
  <c r="I136"/>
  <c r="G71"/>
  <c r="I356"/>
  <c r="G386"/>
  <c r="G598"/>
  <c r="E228"/>
  <c r="I537"/>
  <c r="I521"/>
  <c r="I565"/>
  <c r="C283"/>
  <c r="M223"/>
  <c r="K350"/>
  <c r="G501"/>
  <c r="O385"/>
  <c r="O522"/>
  <c r="G191"/>
  <c r="M502"/>
  <c r="O536"/>
  <c r="C167"/>
  <c r="E432"/>
  <c r="M557"/>
  <c r="O376"/>
  <c r="E388"/>
  <c r="M135"/>
  <c r="G406"/>
  <c r="G416"/>
  <c r="E113"/>
  <c r="C553"/>
  <c r="C378"/>
  <c r="C448"/>
  <c r="M596"/>
  <c r="E402"/>
  <c r="G521"/>
  <c r="M538"/>
  <c r="E355"/>
  <c r="M193"/>
  <c r="I81"/>
  <c r="I287"/>
  <c r="I328"/>
  <c r="I75"/>
  <c r="O22"/>
  <c r="I268"/>
  <c r="C45"/>
  <c r="O21"/>
  <c r="G110"/>
  <c r="E137"/>
  <c r="I383"/>
  <c r="C373"/>
  <c r="E165"/>
  <c r="C100"/>
  <c r="I493"/>
  <c r="C257"/>
  <c r="I226"/>
  <c r="C57"/>
  <c r="C233"/>
  <c r="E48"/>
  <c r="G148"/>
  <c r="C290"/>
  <c r="G520"/>
  <c r="G327"/>
  <c r="O531"/>
  <c r="G28"/>
  <c r="K316"/>
  <c r="I100"/>
  <c r="K105"/>
  <c r="K205"/>
  <c r="M413"/>
  <c r="K116"/>
  <c r="M162"/>
  <c r="O402"/>
  <c r="I15"/>
  <c r="K255"/>
  <c r="G440"/>
  <c r="Q71" i="18"/>
  <c r="I71"/>
  <c r="K15"/>
  <c r="G596"/>
  <c r="Q78"/>
  <c r="I78"/>
  <c r="G262"/>
  <c r="M372"/>
  <c r="E320"/>
  <c r="I597"/>
  <c r="E525"/>
  <c r="K145"/>
  <c r="I110"/>
  <c r="M265"/>
  <c r="C402"/>
  <c r="M405"/>
  <c r="K401"/>
  <c r="I313"/>
  <c r="O591"/>
  <c r="I533"/>
  <c r="I201"/>
  <c r="M376"/>
  <c r="K417"/>
  <c r="G232"/>
  <c r="M400"/>
  <c r="K257" i="28"/>
  <c r="I198"/>
  <c r="M282" i="18"/>
  <c r="O556"/>
  <c r="M537"/>
  <c r="C580"/>
  <c r="M501"/>
  <c r="O25" i="28"/>
  <c r="M226"/>
  <c r="M202"/>
  <c r="C406" i="18"/>
  <c r="M252"/>
  <c r="I295"/>
  <c r="M231"/>
  <c r="I222" i="28"/>
  <c r="G163"/>
  <c r="I433" i="18"/>
  <c r="I197"/>
  <c r="K560"/>
  <c r="K567"/>
  <c r="E202"/>
  <c r="C105" i="28"/>
  <c r="M282"/>
  <c r="E415"/>
  <c r="O345"/>
  <c r="M590" i="18"/>
  <c r="O431"/>
  <c r="E221"/>
  <c r="I550"/>
  <c r="M160"/>
  <c r="E16" i="28"/>
  <c r="O373"/>
  <c r="C197" i="18"/>
  <c r="I23"/>
  <c r="I386"/>
  <c r="C371"/>
  <c r="K582"/>
  <c r="G315" i="28"/>
  <c r="M256"/>
  <c r="G251" i="18"/>
  <c r="I588"/>
  <c r="I538"/>
  <c r="G343"/>
  <c r="K142" i="28"/>
  <c r="O383" i="18"/>
  <c r="G258"/>
  <c r="E251"/>
  <c r="G163"/>
  <c r="K232" i="28"/>
  <c r="M111"/>
  <c r="M316"/>
  <c r="I117"/>
  <c r="M355"/>
  <c r="K15"/>
  <c r="C26"/>
  <c r="I416"/>
  <c r="C323"/>
  <c r="K46"/>
  <c r="K53"/>
  <c r="K11"/>
  <c r="C228"/>
  <c r="M173"/>
  <c r="G297"/>
  <c r="E403"/>
  <c r="I223"/>
  <c r="C173"/>
  <c r="I250"/>
  <c r="E377"/>
  <c r="M101"/>
  <c r="I46"/>
  <c r="C80"/>
  <c r="K117"/>
  <c r="M197"/>
  <c r="K138"/>
  <c r="K433"/>
  <c r="K531"/>
  <c r="G382"/>
  <c r="E311"/>
  <c r="E77"/>
  <c r="E256"/>
  <c r="M350"/>
  <c r="M446"/>
  <c r="M325"/>
  <c r="K320"/>
  <c r="K388"/>
  <c r="M317"/>
  <c r="K170"/>
  <c r="E500"/>
  <c r="M16"/>
  <c r="K343"/>
  <c r="O348"/>
  <c r="I312"/>
  <c r="M253"/>
  <c r="G377"/>
  <c r="I260"/>
  <c r="M161"/>
  <c r="C253"/>
  <c r="M417"/>
  <c r="G73"/>
  <c r="I72"/>
  <c r="E321"/>
  <c r="C111"/>
  <c r="M387"/>
  <c r="K413"/>
  <c r="I342"/>
  <c r="M143"/>
  <c r="M268"/>
  <c r="C71"/>
  <c r="M520"/>
  <c r="K108"/>
  <c r="M385"/>
  <c r="M403"/>
  <c r="K52"/>
  <c r="E555"/>
  <c r="O587"/>
  <c r="C55"/>
  <c r="I115"/>
  <c r="K351"/>
  <c r="M498"/>
  <c r="M567"/>
  <c r="M347"/>
  <c r="C352"/>
  <c r="G590"/>
  <c r="O432"/>
  <c r="G595"/>
  <c r="K166"/>
  <c r="M437"/>
  <c r="G490"/>
  <c r="G356"/>
  <c r="M110"/>
  <c r="I297"/>
  <c r="I597"/>
  <c r="I505"/>
  <c r="I406"/>
  <c r="E492"/>
  <c r="G582"/>
  <c r="O436"/>
  <c r="C505"/>
  <c r="K528"/>
  <c r="G496"/>
  <c r="I403"/>
  <c r="O556"/>
  <c r="G565"/>
  <c r="G48"/>
  <c r="M283"/>
  <c r="O526"/>
  <c r="K557"/>
  <c r="O506"/>
  <c r="I433"/>
  <c r="K553"/>
  <c r="M410"/>
  <c r="C356"/>
  <c r="C497"/>
  <c r="C551"/>
  <c r="E556"/>
  <c r="G522"/>
  <c r="C405"/>
  <c r="E581"/>
  <c r="O501"/>
  <c r="O386"/>
  <c r="O550"/>
  <c r="G350"/>
  <c r="K523"/>
  <c r="I533"/>
  <c r="E416"/>
  <c r="M583"/>
  <c r="K568"/>
  <c r="C358"/>
  <c r="M201"/>
  <c r="K310"/>
  <c r="E287"/>
  <c r="K42"/>
  <c r="C75"/>
  <c r="C56"/>
  <c r="M443"/>
  <c r="G506"/>
  <c r="M531"/>
  <c r="I228"/>
  <c r="O353"/>
  <c r="O372"/>
  <c r="M132"/>
  <c r="E375"/>
  <c r="O375"/>
  <c r="E358"/>
  <c r="G340"/>
  <c r="M522"/>
  <c r="K353"/>
  <c r="K492"/>
  <c r="K596"/>
  <c r="E146"/>
  <c r="O317"/>
  <c r="M525"/>
  <c r="I27"/>
  <c r="I341"/>
  <c r="I286"/>
  <c r="O431"/>
  <c r="O441"/>
  <c r="I503"/>
  <c r="M263"/>
  <c r="E386"/>
  <c r="O552"/>
  <c r="C438"/>
  <c r="E561"/>
  <c r="O527"/>
  <c r="K552"/>
  <c r="G580"/>
  <c r="M530"/>
  <c r="O595"/>
  <c r="E433"/>
  <c r="C581"/>
  <c r="K593"/>
  <c r="I598"/>
  <c r="G563"/>
  <c r="I557"/>
  <c r="K591"/>
  <c r="I567"/>
  <c r="K526"/>
  <c r="E592"/>
  <c r="E560"/>
  <c r="G505"/>
  <c r="C591"/>
  <c r="G387"/>
  <c r="C297"/>
  <c r="K432"/>
  <c r="K27"/>
  <c r="C403"/>
  <c r="I42"/>
  <c r="M373"/>
  <c r="G15"/>
  <c r="K312"/>
  <c r="G112"/>
  <c r="C372"/>
  <c r="M261"/>
  <c r="E253"/>
  <c r="G418"/>
  <c r="E45"/>
  <c r="I70"/>
  <c r="G347"/>
  <c r="M203"/>
  <c r="I382"/>
  <c r="K163"/>
  <c r="K292"/>
  <c r="G136"/>
  <c r="E251"/>
  <c r="C410"/>
  <c r="E407"/>
  <c r="E588"/>
  <c r="M523"/>
  <c r="C496"/>
  <c r="K418"/>
  <c r="M416"/>
  <c r="K415"/>
  <c r="C492"/>
  <c r="O585"/>
  <c r="M436"/>
  <c r="G430"/>
  <c r="C238"/>
  <c r="G45"/>
  <c r="O310"/>
  <c r="C412"/>
  <c r="E27"/>
  <c r="C311"/>
  <c r="C162"/>
  <c r="I253"/>
  <c r="E566"/>
  <c r="C533"/>
  <c r="E78"/>
  <c r="K371"/>
  <c r="O586"/>
  <c r="G42"/>
  <c r="I118"/>
  <c r="E417"/>
  <c r="C535"/>
  <c r="M566"/>
  <c r="C202"/>
  <c r="K536"/>
  <c r="I490"/>
  <c r="G448"/>
  <c r="K447"/>
  <c r="I343"/>
  <c r="I148"/>
  <c r="I417"/>
  <c r="C585"/>
  <c r="K565"/>
  <c r="G203"/>
  <c r="E145"/>
  <c r="G400"/>
  <c r="C538"/>
  <c r="I131"/>
  <c r="M386"/>
  <c r="E387"/>
  <c r="M500"/>
  <c r="M582"/>
  <c r="M587"/>
  <c r="O525"/>
  <c r="K558"/>
  <c r="O503"/>
  <c r="M381"/>
  <c r="I528"/>
  <c r="M588"/>
  <c r="M496"/>
  <c r="K588"/>
  <c r="E527"/>
  <c r="O538"/>
  <c r="O496"/>
  <c r="E520"/>
  <c r="E525"/>
  <c r="G562"/>
  <c r="E445"/>
  <c r="K493"/>
  <c r="G538"/>
  <c r="M492"/>
  <c r="C442"/>
  <c r="M312"/>
  <c r="I143"/>
  <c r="G170"/>
  <c r="M146"/>
  <c r="E342"/>
  <c r="O342"/>
  <c r="E43"/>
  <c r="C72"/>
  <c r="K253"/>
  <c r="C583"/>
  <c r="O346"/>
  <c r="K161"/>
  <c r="M252"/>
  <c r="G55"/>
  <c r="M318"/>
  <c r="G252"/>
  <c r="E563"/>
  <c r="M18"/>
  <c r="G312"/>
  <c r="M290"/>
  <c r="K268"/>
  <c r="G230"/>
  <c r="O437"/>
  <c r="C598"/>
  <c r="O378"/>
  <c r="C498"/>
  <c r="G292"/>
  <c r="C41"/>
  <c r="O533"/>
  <c r="C568"/>
  <c r="O347"/>
  <c r="I351"/>
  <c r="M346"/>
  <c r="E438"/>
  <c r="M535"/>
  <c r="C443"/>
  <c r="E447"/>
  <c r="K352"/>
  <c r="E343"/>
  <c r="M295"/>
  <c r="K298"/>
  <c r="M597"/>
  <c r="E505"/>
  <c r="E282"/>
  <c r="K283"/>
  <c r="O551"/>
  <c r="I560"/>
  <c r="E507"/>
  <c r="O500"/>
  <c r="I558"/>
  <c r="I496"/>
  <c r="G407"/>
  <c r="G528"/>
  <c r="G551"/>
  <c r="I556"/>
  <c r="I581"/>
  <c r="K556"/>
  <c r="E401"/>
  <c r="M490"/>
  <c r="M495"/>
  <c r="G413"/>
  <c r="G410"/>
  <c r="I520"/>
  <c r="K585"/>
  <c r="C416"/>
  <c r="E257"/>
  <c r="M12"/>
  <c r="I132"/>
  <c r="G162"/>
  <c r="E118"/>
  <c r="E356"/>
  <c r="M287"/>
  <c r="K100"/>
  <c r="I568"/>
  <c r="M532"/>
  <c r="G86"/>
  <c r="I412"/>
  <c r="I495"/>
  <c r="C226"/>
  <c r="E413"/>
  <c r="I206"/>
  <c r="M533"/>
  <c r="E202"/>
  <c r="G328"/>
  <c r="O505"/>
  <c r="K497"/>
  <c r="G533"/>
  <c r="K535"/>
  <c r="K148"/>
  <c r="E412"/>
  <c r="I436"/>
  <c r="E372"/>
  <c r="I203"/>
  <c r="G145"/>
  <c r="O400"/>
  <c r="K597"/>
  <c r="K505"/>
  <c r="K131"/>
  <c r="I381"/>
  <c r="O491"/>
  <c r="O560"/>
  <c r="I582"/>
  <c r="I587"/>
  <c r="O411"/>
  <c r="G558"/>
  <c r="K503"/>
  <c r="I376"/>
  <c r="E528"/>
  <c r="G556"/>
  <c r="K380"/>
  <c r="I378"/>
  <c r="C557"/>
  <c r="I385"/>
  <c r="O523"/>
  <c r="C491"/>
  <c r="E496"/>
  <c r="G438"/>
  <c r="O443"/>
  <c r="M400"/>
  <c r="I492"/>
  <c r="C586"/>
  <c r="E522"/>
  <c r="O508"/>
  <c r="C53"/>
  <c r="G355"/>
  <c r="M108"/>
  <c r="K400"/>
  <c r="K410"/>
  <c r="C17"/>
  <c r="I448"/>
  <c r="O553"/>
  <c r="M521"/>
  <c r="K115"/>
  <c r="K223"/>
  <c r="I348"/>
  <c r="K501"/>
  <c r="G22"/>
  <c r="E350"/>
  <c r="C590"/>
  <c r="I525"/>
  <c r="O568"/>
  <c r="M166"/>
  <c r="K431"/>
  <c r="C558"/>
  <c r="I555"/>
  <c r="C208"/>
  <c r="I43"/>
  <c r="I310"/>
  <c r="M505"/>
  <c r="C565"/>
  <c r="M22"/>
  <c r="K288"/>
  <c r="I586"/>
  <c r="E493"/>
  <c r="G383"/>
  <c r="G553"/>
  <c r="I405"/>
  <c r="M372"/>
  <c r="C597"/>
  <c r="M445"/>
  <c r="I407"/>
  <c r="C522"/>
  <c r="C506"/>
  <c r="M561"/>
  <c r="K441"/>
  <c r="M401"/>
  <c r="K550"/>
  <c r="E550"/>
  <c r="E533"/>
  <c r="M592"/>
  <c r="I583"/>
  <c r="E536"/>
  <c r="I415"/>
  <c r="C108"/>
  <c r="M356"/>
  <c r="M310"/>
  <c r="I411"/>
  <c r="E72"/>
  <c r="E58"/>
  <c r="M431"/>
  <c r="K238"/>
  <c r="K111"/>
  <c r="I566"/>
  <c r="C86"/>
  <c r="I380"/>
  <c r="K358"/>
  <c r="K370"/>
  <c r="M433"/>
  <c r="C47"/>
  <c r="C70"/>
  <c r="C567"/>
  <c r="I340"/>
  <c r="M448"/>
  <c r="E171"/>
  <c r="G495"/>
  <c r="G596"/>
  <c r="E57"/>
  <c r="M341"/>
  <c r="C537"/>
  <c r="G585"/>
  <c r="K341"/>
  <c r="C145"/>
  <c r="K417"/>
  <c r="C563"/>
  <c r="G131"/>
  <c r="O380"/>
  <c r="E405"/>
  <c r="K438"/>
  <c r="C501"/>
  <c r="K527"/>
  <c r="G552"/>
  <c r="C500"/>
  <c r="C580"/>
  <c r="I530"/>
  <c r="K595"/>
  <c r="E530"/>
  <c r="M580"/>
  <c r="I527"/>
  <c r="M537"/>
  <c r="K555"/>
  <c r="E497"/>
  <c r="G591"/>
  <c r="G526"/>
  <c r="K562"/>
  <c r="E567"/>
  <c r="C440"/>
  <c r="O591"/>
  <c r="K538"/>
  <c r="O558"/>
  <c r="G523"/>
  <c r="M590"/>
  <c r="C382"/>
  <c r="O342" i="18"/>
  <c r="I132"/>
  <c r="I567"/>
  <c r="Q38"/>
  <c r="K261" i="28"/>
  <c r="I133"/>
  <c r="G376"/>
  <c r="K558" i="18"/>
  <c r="I342"/>
  <c r="E113"/>
  <c r="K140"/>
  <c r="I130" i="28"/>
  <c r="E112"/>
  <c r="C348"/>
  <c r="C402"/>
  <c r="I193"/>
  <c r="K285"/>
  <c r="M408"/>
  <c r="O356"/>
  <c r="O322"/>
  <c r="K266"/>
  <c r="M251"/>
  <c r="I192"/>
  <c r="C195"/>
  <c r="G310"/>
  <c r="O382"/>
  <c r="K440"/>
  <c r="M163"/>
  <c r="E20"/>
  <c r="E312"/>
  <c r="G492"/>
  <c r="M326"/>
  <c r="C140"/>
  <c r="E231"/>
  <c r="M26"/>
  <c r="I16"/>
  <c r="M447"/>
  <c r="K287"/>
  <c r="G171"/>
  <c r="K328"/>
  <c r="I288"/>
  <c r="C291"/>
  <c r="C16"/>
  <c r="G263"/>
  <c r="K342"/>
  <c r="M190"/>
  <c r="E255"/>
  <c r="O13"/>
  <c r="M296"/>
  <c r="K143"/>
  <c r="I170"/>
  <c r="G407" i="18"/>
  <c r="E560"/>
  <c r="E591"/>
  <c r="M232"/>
  <c r="G327"/>
  <c r="I370"/>
  <c r="I581"/>
  <c r="I286"/>
  <c r="M435"/>
  <c r="I582"/>
  <c r="M350"/>
  <c r="G410"/>
  <c r="M118"/>
  <c r="K503"/>
  <c r="E580"/>
  <c r="O581"/>
  <c r="E288"/>
  <c r="O351"/>
  <c r="K17"/>
  <c r="O388"/>
  <c r="E15"/>
  <c r="K490"/>
  <c r="O583"/>
  <c r="K230"/>
  <c r="K203" i="28"/>
  <c r="E86"/>
  <c r="E328"/>
  <c r="M432" i="18"/>
  <c r="C201"/>
  <c r="G136"/>
  <c r="G381"/>
  <c r="K522"/>
  <c r="E75" i="28"/>
  <c r="G46"/>
  <c r="K385"/>
  <c r="K431" i="18"/>
  <c r="M161"/>
  <c r="G233"/>
  <c r="K26" i="28"/>
  <c r="I350"/>
  <c r="C163"/>
  <c r="M530" i="18"/>
  <c r="E141"/>
  <c r="I328"/>
  <c r="E418"/>
  <c r="G263"/>
  <c r="M17" i="28"/>
  <c r="O387"/>
  <c r="C328"/>
  <c r="M267"/>
  <c r="C370"/>
  <c r="E553" i="18"/>
  <c r="G20"/>
  <c r="E373"/>
  <c r="I556"/>
  <c r="I326" i="28"/>
  <c r="I28"/>
  <c r="E18" i="18"/>
  <c r="O433"/>
  <c r="M355"/>
  <c r="I261"/>
  <c r="I410"/>
  <c r="C315" i="28"/>
  <c r="I256"/>
  <c r="C28" i="18"/>
  <c r="K170"/>
  <c r="C565"/>
  <c r="I230"/>
  <c r="C567"/>
  <c r="C312" i="28"/>
  <c r="C285"/>
  <c r="M225"/>
  <c r="C440" i="18"/>
  <c r="K415"/>
  <c r="K316"/>
  <c r="C532"/>
  <c r="C42" i="28"/>
  <c r="I45"/>
  <c r="M145"/>
  <c r="O340"/>
  <c r="G135"/>
  <c r="M383"/>
  <c r="I172"/>
  <c r="I175"/>
  <c r="G116"/>
  <c r="I101"/>
  <c r="I13"/>
  <c r="G341"/>
  <c r="C168"/>
  <c r="K402"/>
  <c r="C200"/>
  <c r="K313"/>
  <c r="E250"/>
  <c r="C376"/>
  <c r="G353"/>
  <c r="I290"/>
  <c r="G231"/>
  <c r="I386"/>
  <c r="G23"/>
  <c r="E47"/>
  <c r="C316"/>
  <c r="G146"/>
  <c r="G320"/>
  <c r="M328"/>
  <c r="E138"/>
  <c r="K140"/>
  <c r="E25"/>
  <c r="I263"/>
  <c r="K196"/>
  <c r="K317"/>
  <c r="K175"/>
  <c r="E498"/>
  <c r="K347"/>
  <c r="G583"/>
  <c r="C23"/>
  <c r="M13"/>
  <c r="G311"/>
  <c r="M103"/>
  <c r="C342"/>
  <c r="G342"/>
  <c r="M28"/>
  <c r="E353"/>
  <c r="M260"/>
  <c r="E85"/>
  <c r="C326"/>
  <c r="E295"/>
  <c r="K252"/>
  <c r="C73"/>
  <c r="K318"/>
  <c r="C441"/>
  <c r="O381"/>
  <c r="G78"/>
  <c r="M160"/>
  <c r="O318"/>
  <c r="G11"/>
  <c r="M298"/>
  <c r="K325"/>
  <c r="C251"/>
  <c r="M568"/>
  <c r="K532"/>
  <c r="K237"/>
  <c r="K406"/>
  <c r="K520"/>
  <c r="O352"/>
  <c r="K51"/>
  <c r="K173"/>
  <c r="E535"/>
  <c r="I347"/>
  <c r="C445"/>
  <c r="E490"/>
  <c r="G432"/>
  <c r="G442"/>
  <c r="E437"/>
  <c r="E585"/>
  <c r="I498"/>
  <c r="K348"/>
  <c r="K295"/>
  <c r="E406"/>
  <c r="K537"/>
  <c r="I418"/>
  <c r="E586"/>
  <c r="G502"/>
  <c r="G561"/>
  <c r="E587"/>
  <c r="O447"/>
  <c r="E582"/>
  <c r="M593"/>
  <c r="M407"/>
  <c r="C43"/>
  <c r="K12"/>
  <c r="M323"/>
  <c r="G285"/>
  <c r="E408"/>
  <c r="I372"/>
  <c r="G166"/>
  <c r="G266"/>
  <c r="I251"/>
  <c r="E192"/>
  <c r="M508"/>
  <c r="K43"/>
  <c r="E52"/>
  <c r="I82"/>
  <c r="I323"/>
  <c r="G283"/>
  <c r="M140"/>
  <c r="C232"/>
  <c r="C552"/>
  <c r="K446"/>
  <c r="G281"/>
  <c r="M370"/>
  <c r="E207"/>
  <c r="C148"/>
  <c r="O403"/>
  <c r="M230"/>
  <c r="C262"/>
  <c r="E288"/>
  <c r="I265"/>
  <c r="E22"/>
  <c r="M405"/>
  <c r="K106"/>
  <c r="G235"/>
  <c r="E53"/>
  <c r="M262"/>
  <c r="C345"/>
  <c r="M102"/>
  <c r="I137"/>
  <c r="M375"/>
  <c r="O16" i="18"/>
  <c r="Q16"/>
  <c r="G521"/>
  <c r="K383"/>
  <c r="M313"/>
  <c r="I595"/>
  <c r="M13"/>
  <c r="I10"/>
  <c r="C403"/>
  <c r="E208"/>
  <c r="I16"/>
  <c r="G47"/>
  <c r="I327"/>
  <c r="E203"/>
  <c r="K190"/>
  <c r="E81"/>
  <c r="I345"/>
  <c r="C251"/>
  <c r="O437"/>
  <c r="G375"/>
  <c r="I387"/>
  <c r="C288"/>
  <c r="G265"/>
  <c r="O387"/>
  <c r="C445"/>
  <c r="E10" i="28"/>
  <c r="G538" i="18"/>
  <c r="G401"/>
  <c r="K358"/>
  <c r="K528"/>
  <c r="G100"/>
  <c r="E73" i="28"/>
  <c r="C177"/>
  <c r="C556" i="18"/>
  <c r="G81"/>
  <c r="O503"/>
  <c r="E237"/>
  <c r="G433"/>
  <c r="O15" i="28"/>
  <c r="C171"/>
  <c r="I167"/>
  <c r="I111" i="18"/>
  <c r="K433"/>
  <c r="E410"/>
  <c r="M100"/>
  <c r="C201" i="28"/>
  <c r="M141"/>
  <c r="K202"/>
  <c r="C73" i="18"/>
  <c r="K387"/>
  <c r="C535"/>
  <c r="C352"/>
  <c r="E197"/>
  <c r="E326" i="28"/>
  <c r="E163" i="18"/>
  <c r="E340"/>
  <c r="E220"/>
  <c r="I591"/>
  <c r="M500"/>
  <c r="I23" i="28"/>
  <c r="G147"/>
  <c r="G87"/>
  <c r="E531" i="18"/>
  <c r="O506"/>
  <c r="I166"/>
  <c r="I282"/>
  <c r="C12" i="28"/>
  <c r="O438"/>
  <c r="E40" i="18"/>
  <c r="I537"/>
  <c r="I352"/>
  <c r="G356"/>
  <c r="G582"/>
  <c r="K280" i="28"/>
  <c r="C166"/>
  <c r="C355"/>
  <c r="I176"/>
  <c r="C135"/>
  <c r="E383"/>
  <c r="O416"/>
  <c r="O315"/>
  <c r="C116"/>
  <c r="E101"/>
  <c r="I441"/>
  <c r="I501"/>
  <c r="I595"/>
  <c r="C40"/>
  <c r="M358"/>
  <c r="E323"/>
  <c r="G291"/>
  <c r="G77"/>
  <c r="M551"/>
  <c r="K430"/>
  <c r="C131"/>
  <c r="E222"/>
  <c r="G207"/>
  <c r="I298"/>
  <c r="G313"/>
  <c r="C88"/>
  <c r="E262"/>
  <c r="C197"/>
  <c r="M137"/>
  <c r="E380"/>
  <c r="E115"/>
  <c r="E87"/>
  <c r="I400"/>
  <c r="G321"/>
  <c r="E76"/>
  <c r="C263"/>
  <c r="G201"/>
  <c r="G102"/>
  <c r="M228"/>
  <c r="E237"/>
  <c r="M177"/>
  <c r="C172"/>
  <c r="M112"/>
  <c r="G115"/>
  <c r="O311"/>
  <c r="E441"/>
  <c r="M345"/>
  <c r="E71"/>
  <c r="K47"/>
  <c r="K220"/>
  <c r="I161"/>
  <c r="I440"/>
  <c r="G258"/>
  <c r="I160"/>
  <c r="M136"/>
  <c r="M133"/>
  <c r="C437"/>
  <c r="G75"/>
  <c r="I438"/>
  <c r="G566"/>
  <c r="G237"/>
  <c r="I370"/>
  <c r="K383"/>
  <c r="K490"/>
  <c r="G255"/>
  <c r="E225"/>
  <c r="K226"/>
  <c r="G378"/>
  <c r="O566"/>
  <c r="C193"/>
  <c r="K443"/>
  <c r="C103"/>
  <c r="G568"/>
  <c r="E596"/>
  <c r="G25"/>
  <c r="O495"/>
  <c r="G491"/>
  <c r="G525"/>
  <c r="C432"/>
  <c r="G195"/>
  <c r="G295"/>
  <c r="O406"/>
  <c r="C282"/>
  <c r="M430"/>
  <c r="M560"/>
  <c r="G587"/>
  <c r="M558"/>
  <c r="I401"/>
  <c r="K405"/>
  <c r="E557"/>
  <c r="C503"/>
  <c r="K281"/>
  <c r="O405"/>
  <c r="E430"/>
  <c r="M432"/>
  <c r="C528"/>
  <c r="E552"/>
  <c r="O498"/>
  <c r="I580"/>
  <c r="G530"/>
  <c r="C596"/>
  <c r="C530"/>
  <c r="K580"/>
  <c r="G527"/>
  <c r="K598"/>
  <c r="O490"/>
  <c r="I563"/>
  <c r="E591"/>
  <c r="I562"/>
  <c r="K567"/>
  <c r="G445"/>
  <c r="M591"/>
  <c r="I538"/>
  <c r="G560"/>
  <c r="I588"/>
  <c r="K590"/>
  <c r="C407"/>
  <c r="G172"/>
  <c r="I252"/>
  <c r="O562"/>
  <c r="K50"/>
  <c r="K321"/>
  <c r="E136"/>
  <c r="G118"/>
  <c r="G227"/>
  <c r="I26"/>
  <c r="C260"/>
  <c r="C375"/>
  <c r="C385"/>
  <c r="E80"/>
  <c r="E495"/>
  <c r="G588"/>
  <c r="G111"/>
  <c r="I292"/>
  <c r="K206"/>
  <c r="E506"/>
  <c r="E568"/>
  <c r="G202"/>
  <c r="C371"/>
  <c r="O448"/>
  <c r="G535"/>
  <c r="K326"/>
  <c r="C418"/>
  <c r="E431"/>
  <c r="G357"/>
  <c r="I145"/>
  <c r="C147"/>
  <c r="G597"/>
  <c r="E565"/>
  <c r="M131"/>
  <c r="G133"/>
  <c r="M526"/>
  <c r="K560"/>
  <c r="G507"/>
  <c r="M438"/>
  <c r="M435"/>
  <c r="C381"/>
  <c r="C495"/>
  <c r="I551"/>
  <c r="C556"/>
  <c r="E373"/>
  <c r="K581"/>
  <c r="M556"/>
  <c r="E502"/>
  <c r="E376"/>
  <c r="M550"/>
  <c r="K357"/>
  <c r="G446"/>
  <c r="I523"/>
  <c r="G385"/>
  <c r="M351"/>
  <c r="M585"/>
  <c r="K508"/>
  <c r="M11"/>
  <c r="K102"/>
  <c r="E230"/>
  <c r="G143"/>
  <c r="K103"/>
  <c r="O341"/>
  <c r="E172"/>
  <c r="K48"/>
  <c r="E385"/>
  <c r="G137"/>
  <c r="C447"/>
  <c r="C295"/>
  <c r="G82"/>
  <c r="M220"/>
  <c r="I318"/>
  <c r="K448"/>
  <c r="I258"/>
  <c r="K160"/>
  <c r="G417"/>
  <c r="I86"/>
  <c r="M418"/>
  <c r="I146"/>
  <c r="C400"/>
  <c r="M237"/>
  <c r="K495"/>
  <c r="E226"/>
  <c r="M497"/>
  <c r="M507"/>
  <c r="G593"/>
  <c r="I532"/>
  <c r="I592"/>
  <c r="K386"/>
  <c r="G508"/>
  <c r="G531"/>
  <c r="O535"/>
  <c r="I47"/>
  <c r="I357"/>
  <c r="I201"/>
  <c r="G142"/>
  <c r="M286"/>
  <c r="K227"/>
  <c r="E348"/>
  <c r="K375"/>
  <c r="E598"/>
  <c r="C555"/>
  <c r="O521"/>
  <c r="M565"/>
  <c r="E266"/>
  <c r="K373"/>
  <c r="M501"/>
  <c r="O18"/>
  <c r="E400"/>
  <c r="E590"/>
  <c r="M322"/>
  <c r="M536"/>
  <c r="G316"/>
  <c r="I437"/>
  <c r="E558"/>
  <c r="E583"/>
  <c r="E208"/>
  <c r="I402"/>
  <c r="G322"/>
  <c r="G431"/>
  <c r="G441"/>
  <c r="K412"/>
  <c r="M288"/>
  <c r="K586"/>
  <c r="C493"/>
  <c r="G358"/>
  <c r="I553"/>
  <c r="G436"/>
  <c r="K381"/>
  <c r="C587"/>
  <c r="E597"/>
  <c r="M493"/>
  <c r="E418"/>
  <c r="C582"/>
  <c r="E521"/>
  <c r="C413"/>
  <c r="K416"/>
  <c r="O417"/>
  <c r="G550"/>
  <c r="E593"/>
  <c r="G532"/>
  <c r="G592"/>
  <c r="K507"/>
  <c r="K583"/>
  <c r="E531"/>
  <c r="G536"/>
  <c r="C531"/>
  <c r="K235"/>
  <c r="I358"/>
  <c r="K403"/>
  <c r="C237"/>
  <c r="K177"/>
  <c r="M171"/>
  <c r="K112"/>
  <c r="K372"/>
  <c r="O328"/>
  <c r="O528"/>
  <c r="E28"/>
  <c r="K231"/>
  <c r="K146"/>
  <c r="I220"/>
  <c r="G161"/>
  <c r="I447"/>
  <c r="C383"/>
  <c r="E347"/>
  <c r="G160"/>
  <c r="K136"/>
  <c r="G53"/>
  <c r="K221"/>
  <c r="M506"/>
  <c r="G72"/>
  <c r="O388"/>
  <c r="E283"/>
  <c r="C225"/>
  <c r="E381"/>
  <c r="M352"/>
  <c r="K387"/>
  <c r="M192"/>
  <c r="K522"/>
  <c r="O358"/>
  <c r="I502"/>
  <c r="I596"/>
  <c r="E167"/>
  <c r="K168"/>
  <c r="K491"/>
  <c r="K525"/>
  <c r="I108"/>
  <c r="E195"/>
  <c r="C136"/>
  <c r="C401"/>
  <c r="C411"/>
  <c r="G503"/>
  <c r="G113"/>
  <c r="E411"/>
  <c r="M552"/>
  <c r="K561"/>
  <c r="O383"/>
  <c r="C561"/>
  <c r="I552"/>
  <c r="G537"/>
  <c r="K530"/>
  <c r="O581"/>
  <c r="O580"/>
  <c r="I593"/>
  <c r="O598"/>
  <c r="G381"/>
  <c r="M563"/>
  <c r="I497"/>
  <c r="I591"/>
  <c r="I507"/>
  <c r="C593"/>
  <c r="C592"/>
  <c r="C508"/>
  <c r="O590"/>
  <c r="G412"/>
  <c r="K551"/>
  <c r="G372"/>
  <c r="K201"/>
  <c r="I315"/>
  <c r="C287"/>
  <c r="M227"/>
  <c r="M348"/>
  <c r="C13"/>
  <c r="G370"/>
  <c r="K506"/>
  <c r="O597"/>
  <c r="G228"/>
  <c r="E537"/>
  <c r="K521"/>
  <c r="G498"/>
  <c r="K132"/>
  <c r="G50"/>
  <c r="G375"/>
  <c r="M377"/>
  <c r="O401"/>
  <c r="G138"/>
  <c r="C523"/>
  <c r="O502"/>
  <c r="I536"/>
  <c r="I316"/>
  <c r="K296"/>
  <c r="O557"/>
  <c r="I168"/>
  <c r="C142"/>
  <c r="G286"/>
  <c r="C417"/>
  <c r="C436"/>
  <c r="K263"/>
  <c r="G586"/>
  <c r="E553"/>
  <c r="O561"/>
  <c r="C353"/>
  <c r="I561"/>
  <c r="M586"/>
  <c r="O596"/>
  <c r="E341"/>
  <c r="C433"/>
  <c r="M581"/>
  <c r="O520"/>
  <c r="O593"/>
  <c r="M598"/>
  <c r="K563"/>
  <c r="O497"/>
  <c r="C550"/>
  <c r="O507"/>
  <c r="O592"/>
  <c r="C532"/>
  <c r="E526"/>
  <c r="I508"/>
  <c r="O530"/>
  <c r="C536"/>
  <c r="C190"/>
  <c r="M238"/>
  <c r="K378"/>
  <c r="C566"/>
  <c r="O532"/>
  <c r="I237"/>
  <c r="I355"/>
  <c r="O555"/>
  <c r="G177"/>
  <c r="E40"/>
  <c r="I431"/>
  <c r="K566"/>
  <c r="E193"/>
  <c r="I443"/>
  <c r="E320"/>
  <c r="K437"/>
  <c r="E532"/>
  <c r="G500"/>
  <c r="K355"/>
  <c r="I442"/>
  <c r="I585"/>
  <c r="O565"/>
  <c r="I195"/>
  <c r="I295"/>
  <c r="K401"/>
  <c r="O537"/>
  <c r="M281"/>
  <c r="M411"/>
  <c r="O415"/>
  <c r="E501"/>
  <c r="K582"/>
  <c r="K587"/>
  <c r="O446"/>
  <c r="K498"/>
  <c r="E580"/>
  <c r="M406"/>
  <c r="M595"/>
  <c r="M528"/>
  <c r="K496"/>
  <c r="O588"/>
  <c r="C527"/>
  <c r="K445"/>
  <c r="G497"/>
  <c r="C520"/>
  <c r="C525"/>
  <c r="C526"/>
  <c r="E562"/>
  <c r="G567"/>
  <c r="M527"/>
  <c r="O493"/>
  <c r="E538"/>
  <c r="C560"/>
  <c r="E443"/>
  <c r="C521"/>
  <c r="O412"/>
  <c r="C507"/>
  <c r="E111"/>
  <c r="M371"/>
  <c r="G408"/>
  <c r="E142"/>
  <c r="K286"/>
  <c r="I227"/>
  <c r="E260"/>
  <c r="M378"/>
  <c r="G555"/>
  <c r="C588"/>
  <c r="I88"/>
  <c r="C266"/>
  <c r="M206"/>
  <c r="E508"/>
  <c r="O567"/>
  <c r="I202"/>
  <c r="C205"/>
  <c r="I590"/>
  <c r="E317"/>
  <c r="E316"/>
  <c r="M412"/>
  <c r="M555"/>
  <c r="M207"/>
  <c r="E13"/>
  <c r="E442"/>
  <c r="I535"/>
  <c r="O563"/>
  <c r="I71"/>
  <c r="O410"/>
  <c r="I526"/>
  <c r="G493"/>
  <c r="G557"/>
  <c r="C502"/>
  <c r="E503"/>
  <c r="M553"/>
  <c r="I430"/>
  <c r="C490"/>
  <c r="O418"/>
  <c r="E551"/>
  <c r="I432"/>
  <c r="I522"/>
  <c r="G581"/>
  <c r="C562"/>
  <c r="O430"/>
  <c r="O370"/>
  <c r="I550"/>
  <c r="E523"/>
  <c r="K533"/>
  <c r="K592"/>
  <c r="O583"/>
  <c r="R39" i="29"/>
  <c r="R44"/>
  <c r="R42"/>
  <c r="R43"/>
  <c r="R38"/>
  <c r="R40"/>
  <c r="R41"/>
  <c r="M18"/>
  <c r="M23"/>
  <c r="M21"/>
  <c r="M19"/>
  <c r="M20"/>
  <c r="M22"/>
  <c r="M17"/>
  <c r="I45"/>
  <c r="I50"/>
  <c r="I48"/>
  <c r="I49"/>
  <c r="I51"/>
  <c r="I46"/>
  <c r="I47"/>
  <c r="L27"/>
  <c r="L29"/>
  <c r="L24"/>
  <c r="L25"/>
  <c r="L28"/>
  <c r="L26"/>
  <c r="L30"/>
  <c r="C16"/>
  <c r="C11"/>
  <c r="C12"/>
  <c r="C10"/>
  <c r="C15"/>
  <c r="C13"/>
  <c r="C14"/>
  <c r="J48"/>
  <c r="J51"/>
  <c r="J45"/>
  <c r="J50"/>
  <c r="J46"/>
  <c r="J47"/>
  <c r="J49"/>
  <c r="E34"/>
  <c r="E32"/>
  <c r="E31"/>
  <c r="E33"/>
  <c r="E36"/>
  <c r="E35"/>
  <c r="E37"/>
  <c r="H35"/>
  <c r="H32"/>
  <c r="H31"/>
  <c r="H37"/>
  <c r="H36"/>
  <c r="H34"/>
  <c r="H33"/>
  <c r="G111"/>
  <c r="G109"/>
  <c r="G110"/>
  <c r="G112"/>
  <c r="G114"/>
  <c r="G108"/>
  <c r="G113"/>
  <c r="D85"/>
  <c r="D83"/>
  <c r="D86"/>
  <c r="D82"/>
  <c r="D84"/>
  <c r="D81"/>
  <c r="D80"/>
  <c r="K55"/>
  <c r="K52"/>
  <c r="K58"/>
  <c r="K57"/>
  <c r="K54"/>
  <c r="K56"/>
  <c r="K53"/>
  <c r="O17"/>
  <c r="O23"/>
  <c r="O20"/>
  <c r="O22"/>
  <c r="O19"/>
  <c r="O21"/>
  <c r="O18"/>
  <c r="L16"/>
  <c r="L12"/>
  <c r="L13"/>
  <c r="L15"/>
  <c r="L14"/>
  <c r="L10"/>
  <c r="L11"/>
  <c r="G36"/>
  <c r="G31"/>
  <c r="G33"/>
  <c r="G32"/>
  <c r="G34"/>
  <c r="G37"/>
  <c r="G35"/>
  <c r="R58"/>
  <c r="R53"/>
  <c r="R54"/>
  <c r="R52"/>
  <c r="R57"/>
  <c r="R55"/>
  <c r="R56"/>
  <c r="C85"/>
  <c r="C81"/>
  <c r="C82"/>
  <c r="C86"/>
  <c r="C83"/>
  <c r="C80"/>
  <c r="C84"/>
  <c r="D91"/>
  <c r="D88"/>
  <c r="D87"/>
  <c r="D89"/>
  <c r="D90"/>
  <c r="D92"/>
  <c r="D93"/>
  <c r="I81"/>
  <c r="I86"/>
  <c r="I84"/>
  <c r="I82"/>
  <c r="I83"/>
  <c r="I85"/>
  <c r="I80"/>
  <c r="I32"/>
  <c r="I31"/>
  <c r="I35"/>
  <c r="I33"/>
  <c r="I36"/>
  <c r="I34"/>
  <c r="I37"/>
  <c r="M24"/>
  <c r="M25"/>
  <c r="M30"/>
  <c r="M28"/>
  <c r="M26"/>
  <c r="M29"/>
  <c r="M27"/>
  <c r="Q49"/>
  <c r="Q45"/>
  <c r="Q50"/>
  <c r="Q51"/>
  <c r="Q47"/>
  <c r="Q46"/>
  <c r="Q48"/>
  <c r="K72"/>
  <c r="K69"/>
  <c r="K66"/>
  <c r="K70"/>
  <c r="K71"/>
  <c r="K67"/>
  <c r="K68"/>
  <c r="L92"/>
  <c r="L93"/>
  <c r="L90"/>
  <c r="L91"/>
  <c r="L87"/>
  <c r="L89"/>
  <c r="L88"/>
  <c r="P50"/>
  <c r="P45"/>
  <c r="P48"/>
  <c r="P51"/>
  <c r="P49"/>
  <c r="P46"/>
  <c r="P47"/>
  <c r="K109"/>
  <c r="K111"/>
  <c r="K108"/>
  <c r="K114"/>
  <c r="K112"/>
  <c r="K110"/>
  <c r="K113"/>
  <c r="L56"/>
  <c r="L57"/>
  <c r="L55"/>
  <c r="L53"/>
  <c r="L58"/>
  <c r="L52"/>
  <c r="L54"/>
  <c r="R32"/>
  <c r="R37"/>
  <c r="R31"/>
  <c r="R35"/>
  <c r="R33"/>
  <c r="R36"/>
  <c r="R34"/>
  <c r="E39"/>
  <c r="E43"/>
  <c r="E44"/>
  <c r="E42"/>
  <c r="E40"/>
  <c r="E41"/>
  <c r="E38"/>
  <c r="O60"/>
  <c r="O61"/>
  <c r="O63"/>
  <c r="O59"/>
  <c r="O62"/>
  <c r="O64"/>
  <c r="O65"/>
  <c r="H114"/>
  <c r="H108"/>
  <c r="H113"/>
  <c r="H111"/>
  <c r="H109"/>
  <c r="H110"/>
  <c r="H112"/>
  <c r="Q75"/>
  <c r="Q73"/>
  <c r="Q77"/>
  <c r="Q78"/>
  <c r="Q79"/>
  <c r="Q74"/>
  <c r="Q76"/>
  <c r="J31"/>
  <c r="J36"/>
  <c r="J34"/>
  <c r="J35"/>
  <c r="J37"/>
  <c r="J32"/>
  <c r="J33"/>
  <c r="J25"/>
  <c r="J26"/>
  <c r="J24"/>
  <c r="J29"/>
  <c r="J27"/>
  <c r="J28"/>
  <c r="J30"/>
  <c r="Q15"/>
  <c r="Q10"/>
  <c r="Q12"/>
  <c r="Q13"/>
  <c r="Q11"/>
  <c r="Q16"/>
  <c r="Q14"/>
  <c r="M82"/>
  <c r="M81"/>
  <c r="M83"/>
  <c r="M84"/>
  <c r="M80"/>
  <c r="M86"/>
  <c r="M85"/>
  <c r="F64"/>
  <c r="F59"/>
  <c r="F63"/>
  <c r="F65"/>
  <c r="F61"/>
  <c r="F60"/>
  <c r="F62"/>
  <c r="R50"/>
  <c r="R48"/>
  <c r="R47"/>
  <c r="R45"/>
  <c r="R46"/>
  <c r="R51"/>
  <c r="R49"/>
  <c r="P115"/>
  <c r="P117"/>
  <c r="P119"/>
  <c r="P120"/>
  <c r="P118"/>
  <c r="P116"/>
  <c r="P121"/>
  <c r="E84"/>
  <c r="E81"/>
  <c r="E82"/>
  <c r="E86"/>
  <c r="E83"/>
  <c r="E85"/>
  <c r="E80"/>
  <c r="D10"/>
  <c r="D13"/>
  <c r="D12"/>
  <c r="D14"/>
  <c r="D15"/>
  <c r="D11"/>
  <c r="D16"/>
  <c r="H93"/>
  <c r="H87"/>
  <c r="H89"/>
  <c r="H91"/>
  <c r="H92"/>
  <c r="H90"/>
  <c r="H88"/>
  <c r="K34"/>
  <c r="K31"/>
  <c r="K32"/>
  <c r="K37"/>
  <c r="K35"/>
  <c r="K33"/>
  <c r="K36"/>
  <c r="F30"/>
  <c r="F25"/>
  <c r="F27"/>
  <c r="F28"/>
  <c r="F26"/>
  <c r="F24"/>
  <c r="F29"/>
  <c r="P53"/>
  <c r="P54"/>
  <c r="P58"/>
  <c r="P55"/>
  <c r="P57"/>
  <c r="P52"/>
  <c r="P56"/>
  <c r="M42"/>
  <c r="M39"/>
  <c r="M40"/>
  <c r="M44"/>
  <c r="M41"/>
  <c r="M43"/>
  <c r="M38"/>
  <c r="O26"/>
  <c r="O28"/>
  <c r="O29"/>
  <c r="O27"/>
  <c r="O24"/>
  <c r="O25"/>
  <c r="O30"/>
  <c r="O42"/>
  <c r="O41"/>
  <c r="O38"/>
  <c r="O43"/>
  <c r="O39"/>
  <c r="O40"/>
  <c r="O44"/>
  <c r="J65"/>
  <c r="J62"/>
  <c r="J60"/>
  <c r="J59"/>
  <c r="J64"/>
  <c r="J63"/>
  <c r="J61"/>
  <c r="O31"/>
  <c r="O37"/>
  <c r="O36"/>
  <c r="O34"/>
  <c r="O33"/>
  <c r="O35"/>
  <c r="O32"/>
  <c r="H40"/>
  <c r="H38"/>
  <c r="H43"/>
  <c r="H44"/>
  <c r="H39"/>
  <c r="H41"/>
  <c r="H42"/>
  <c r="J73"/>
  <c r="J77"/>
  <c r="J76"/>
  <c r="J74"/>
  <c r="J79"/>
  <c r="J75"/>
  <c r="J78"/>
  <c r="H54"/>
  <c r="H55"/>
  <c r="H56"/>
  <c r="H52"/>
  <c r="H58"/>
  <c r="H57"/>
  <c r="H53"/>
  <c r="C40"/>
  <c r="C41"/>
  <c r="C39"/>
  <c r="C44"/>
  <c r="C42"/>
  <c r="C43"/>
  <c r="C38"/>
  <c r="P80"/>
  <c r="P82"/>
  <c r="P85"/>
  <c r="P81"/>
  <c r="P84"/>
  <c r="P83"/>
  <c r="P86"/>
  <c r="C50"/>
  <c r="C47"/>
  <c r="C49"/>
  <c r="C46"/>
  <c r="C45"/>
  <c r="C51"/>
  <c r="C48"/>
  <c r="K79"/>
  <c r="K73"/>
  <c r="K75"/>
  <c r="K74"/>
  <c r="K76"/>
  <c r="K78"/>
  <c r="K77"/>
  <c r="I111"/>
  <c r="I109"/>
  <c r="I114"/>
  <c r="I112"/>
  <c r="I113"/>
  <c r="I108"/>
  <c r="I110"/>
  <c r="N12"/>
  <c r="N14"/>
  <c r="N15"/>
  <c r="N13"/>
  <c r="N11"/>
  <c r="N16"/>
  <c r="N10"/>
  <c r="R69"/>
  <c r="R71"/>
  <c r="R68"/>
  <c r="R66"/>
  <c r="R72"/>
  <c r="R70"/>
  <c r="R67"/>
  <c r="F15"/>
  <c r="F12"/>
  <c r="F16"/>
  <c r="F10"/>
  <c r="F13"/>
  <c r="F14"/>
  <c r="F11"/>
  <c r="I41"/>
  <c r="I39"/>
  <c r="I40"/>
  <c r="I42"/>
  <c r="I44"/>
  <c r="I38"/>
  <c r="I43"/>
  <c r="R82"/>
  <c r="R83"/>
  <c r="R86"/>
  <c r="R80"/>
  <c r="R85"/>
  <c r="R84"/>
  <c r="R81"/>
  <c r="R13"/>
  <c r="R14"/>
  <c r="R16"/>
  <c r="R11"/>
  <c r="R12"/>
  <c r="R10"/>
  <c r="R15"/>
  <c r="R29"/>
  <c r="R27"/>
  <c r="R30"/>
  <c r="R28"/>
  <c r="R26"/>
  <c r="R25"/>
  <c r="R24"/>
  <c r="P62"/>
  <c r="P59"/>
  <c r="P65"/>
  <c r="P64"/>
  <c r="P60"/>
  <c r="P61"/>
  <c r="P63"/>
  <c r="L50"/>
  <c r="L49"/>
  <c r="L48"/>
  <c r="L51"/>
  <c r="L46"/>
  <c r="L45"/>
  <c r="L47"/>
  <c r="D54"/>
  <c r="D55"/>
  <c r="D57"/>
  <c r="D52"/>
  <c r="D53"/>
  <c r="D58"/>
  <c r="D56"/>
  <c r="N117"/>
  <c r="N118"/>
  <c r="N116"/>
  <c r="N121"/>
  <c r="N119"/>
  <c r="N120"/>
  <c r="N115"/>
  <c r="D21"/>
  <c r="D22"/>
  <c r="D20"/>
  <c r="D18"/>
  <c r="D23"/>
  <c r="D17"/>
  <c r="D19"/>
  <c r="N50"/>
  <c r="N48"/>
  <c r="N49"/>
  <c r="N51"/>
  <c r="N45"/>
  <c r="N47"/>
  <c r="N46"/>
  <c r="P10"/>
  <c r="P15"/>
  <c r="P13"/>
  <c r="P11"/>
  <c r="P16"/>
  <c r="P14"/>
  <c r="P12"/>
  <c r="D40"/>
  <c r="D39"/>
  <c r="D44"/>
  <c r="D41"/>
  <c r="D43"/>
  <c r="D38"/>
  <c r="D42"/>
  <c r="D36"/>
  <c r="D34"/>
  <c r="D31"/>
  <c r="D37"/>
  <c r="D35"/>
  <c r="D33"/>
  <c r="D32"/>
  <c r="I14"/>
  <c r="I12"/>
  <c r="I10"/>
  <c r="I15"/>
  <c r="I13"/>
  <c r="I11"/>
  <c r="I16"/>
  <c r="G55"/>
  <c r="G52"/>
  <c r="G56"/>
  <c r="G57"/>
  <c r="G53"/>
  <c r="G54"/>
  <c r="G58"/>
  <c r="M60"/>
  <c r="M62"/>
  <c r="M65"/>
  <c r="M59"/>
  <c r="M61"/>
  <c r="M63"/>
  <c r="M64"/>
  <c r="I67"/>
  <c r="I70"/>
  <c r="I69"/>
  <c r="I72"/>
  <c r="I71"/>
  <c r="I68"/>
  <c r="I66"/>
  <c r="M96"/>
  <c r="M98"/>
  <c r="M99"/>
  <c r="M97"/>
  <c r="M95"/>
  <c r="M100"/>
  <c r="M94"/>
  <c r="N21"/>
  <c r="N20"/>
  <c r="N18"/>
  <c r="N19"/>
  <c r="N17"/>
  <c r="N23"/>
  <c r="N22"/>
  <c r="F33"/>
  <c r="F31"/>
  <c r="F36"/>
  <c r="F37"/>
  <c r="F32"/>
  <c r="F34"/>
  <c r="F35"/>
  <c r="I20"/>
  <c r="I18"/>
  <c r="I23"/>
  <c r="I21"/>
  <c r="I22"/>
  <c r="I17"/>
  <c r="I19"/>
  <c r="D77"/>
  <c r="D78"/>
  <c r="D76"/>
  <c r="D74"/>
  <c r="D73"/>
  <c r="D75"/>
  <c r="D79"/>
  <c r="Q116"/>
  <c r="Q117"/>
  <c r="Q115"/>
  <c r="Q120"/>
  <c r="Q118"/>
  <c r="Q119"/>
  <c r="Q121"/>
  <c r="Q17"/>
  <c r="Q18"/>
  <c r="Q22"/>
  <c r="Q20"/>
  <c r="Q21"/>
  <c r="Q23"/>
  <c r="Q19"/>
  <c r="K23"/>
  <c r="K17"/>
  <c r="K21"/>
  <c r="K18"/>
  <c r="K19"/>
  <c r="K22"/>
  <c r="K20"/>
  <c r="N52"/>
  <c r="N54"/>
  <c r="N56"/>
  <c r="N55"/>
  <c r="N57"/>
  <c r="N53"/>
  <c r="N58"/>
  <c r="E24"/>
  <c r="E29"/>
  <c r="E30"/>
  <c r="E25"/>
  <c r="E28"/>
  <c r="E27"/>
  <c r="E26"/>
  <c r="N34"/>
  <c r="N31"/>
  <c r="N37"/>
  <c r="N32"/>
  <c r="N36"/>
  <c r="N35"/>
  <c r="N33"/>
  <c r="N40"/>
  <c r="N39"/>
  <c r="N43"/>
  <c r="N44"/>
  <c r="N41"/>
  <c r="N38"/>
  <c r="N42"/>
  <c r="Q93"/>
  <c r="Q88"/>
  <c r="Q90"/>
  <c r="Q91"/>
  <c r="Q87"/>
  <c r="Q89"/>
  <c r="Q92"/>
  <c r="G45"/>
  <c r="G51"/>
  <c r="G46"/>
  <c r="G50"/>
  <c r="G47"/>
  <c r="G49"/>
  <c r="G48"/>
  <c r="H51"/>
  <c r="H50"/>
  <c r="H45"/>
  <c r="H48"/>
  <c r="H46"/>
  <c r="H47"/>
  <c r="H49"/>
  <c r="L38"/>
  <c r="L43"/>
  <c r="L41"/>
  <c r="L40"/>
  <c r="L39"/>
  <c r="L44"/>
  <c r="L42"/>
  <c r="G18"/>
  <c r="G19"/>
  <c r="G22"/>
  <c r="G17"/>
  <c r="G20"/>
  <c r="G23"/>
  <c r="G21"/>
  <c r="F110"/>
  <c r="F112"/>
  <c r="F114"/>
  <c r="F113"/>
  <c r="F109"/>
  <c r="F108"/>
  <c r="F111"/>
  <c r="G30"/>
  <c r="G27"/>
  <c r="G26"/>
  <c r="G24"/>
  <c r="G29"/>
  <c r="G25"/>
  <c r="G28"/>
  <c r="M112"/>
  <c r="M110"/>
  <c r="M108"/>
  <c r="M113"/>
  <c r="M111"/>
  <c r="M109"/>
  <c r="M114"/>
  <c r="C21"/>
  <c r="C23"/>
  <c r="C20"/>
  <c r="C22"/>
  <c r="C19"/>
  <c r="C18"/>
  <c r="C17"/>
  <c r="L80"/>
  <c r="L82"/>
  <c r="L83"/>
  <c r="L81"/>
  <c r="L86"/>
  <c r="L84"/>
  <c r="L85"/>
  <c r="J18"/>
  <c r="J22"/>
  <c r="J20"/>
  <c r="J17"/>
  <c r="J23"/>
  <c r="J21"/>
  <c r="J19"/>
  <c r="Q43"/>
  <c r="Q44"/>
  <c r="Q39"/>
  <c r="Q41"/>
  <c r="Q42"/>
  <c r="Q40"/>
  <c r="Q38"/>
  <c r="O52"/>
  <c r="O56"/>
  <c r="O58"/>
  <c r="O57"/>
  <c r="O54"/>
  <c r="O55"/>
  <c r="O53"/>
  <c r="E21"/>
  <c r="E22"/>
  <c r="E20"/>
  <c r="E18"/>
  <c r="E23"/>
  <c r="E17"/>
  <c r="E19"/>
  <c r="G81"/>
  <c r="G83"/>
  <c r="G80"/>
  <c r="G85"/>
  <c r="G84"/>
  <c r="G86"/>
  <c r="G82"/>
  <c r="N70"/>
  <c r="N68"/>
  <c r="N66"/>
  <c r="N69"/>
  <c r="N67"/>
  <c r="N71"/>
  <c r="N72"/>
  <c r="K11"/>
  <c r="K13"/>
  <c r="K10"/>
  <c r="K16"/>
  <c r="K15"/>
  <c r="K12"/>
  <c r="K14"/>
  <c r="E15"/>
  <c r="E10"/>
  <c r="E11"/>
  <c r="E16"/>
  <c r="E14"/>
  <c r="E12"/>
  <c r="E13"/>
  <c r="Q32"/>
  <c r="Q34"/>
  <c r="Q36"/>
  <c r="Q37"/>
  <c r="Q31"/>
  <c r="Q33"/>
  <c r="Q35"/>
  <c r="L117"/>
  <c r="L119"/>
  <c r="L120"/>
  <c r="L118"/>
  <c r="L116"/>
  <c r="L121"/>
  <c r="L115"/>
  <c r="E90"/>
  <c r="E87"/>
  <c r="E93"/>
  <c r="E89"/>
  <c r="E92"/>
  <c r="E91"/>
  <c r="E88"/>
  <c r="Q98"/>
  <c r="Q96"/>
  <c r="Q94"/>
  <c r="Q95"/>
  <c r="Q97"/>
  <c r="Q99"/>
  <c r="Q100"/>
  <c r="C126"/>
  <c r="C122"/>
  <c r="C128"/>
  <c r="C127"/>
  <c r="C125"/>
  <c r="C123"/>
  <c r="C124"/>
  <c r="G124"/>
  <c r="G126"/>
  <c r="G127"/>
  <c r="G125"/>
  <c r="G123"/>
  <c r="G128"/>
  <c r="G122"/>
  <c r="L19" i="21"/>
  <c r="L20"/>
  <c r="L24"/>
  <c r="L21"/>
  <c r="L22"/>
  <c r="L18"/>
  <c r="L23"/>
  <c r="J14" i="29"/>
  <c r="J10"/>
  <c r="J15"/>
  <c r="J12"/>
  <c r="J13"/>
  <c r="J11"/>
  <c r="J16"/>
  <c r="N78"/>
  <c r="N73"/>
  <c r="N75"/>
  <c r="N76"/>
  <c r="N74"/>
  <c r="N79"/>
  <c r="N77"/>
  <c r="J108"/>
  <c r="J114"/>
  <c r="J109"/>
  <c r="J110"/>
  <c r="J113"/>
  <c r="J112"/>
  <c r="J111"/>
  <c r="H75"/>
  <c r="H74"/>
  <c r="H76"/>
  <c r="H77"/>
  <c r="H78"/>
  <c r="H73"/>
  <c r="H79"/>
  <c r="R95"/>
  <c r="R97"/>
  <c r="R94"/>
  <c r="R99"/>
  <c r="R98"/>
  <c r="R100"/>
  <c r="R96"/>
  <c r="F101"/>
  <c r="F103"/>
  <c r="F105"/>
  <c r="F106"/>
  <c r="F102"/>
  <c r="F104"/>
  <c r="F107"/>
  <c r="F21"/>
  <c r="F23"/>
  <c r="F19"/>
  <c r="F22"/>
  <c r="F20"/>
  <c r="F18"/>
  <c r="F17"/>
  <c r="C29"/>
  <c r="C26"/>
  <c r="C30"/>
  <c r="C24"/>
  <c r="C27"/>
  <c r="C28"/>
  <c r="C25"/>
  <c r="E55"/>
  <c r="E54"/>
  <c r="E58"/>
  <c r="E53"/>
  <c r="E56"/>
  <c r="E57"/>
  <c r="E52"/>
  <c r="D60"/>
  <c r="D59"/>
  <c r="D62"/>
  <c r="D65"/>
  <c r="D61"/>
  <c r="D64"/>
  <c r="D63"/>
  <c r="G11"/>
  <c r="G16"/>
  <c r="G14"/>
  <c r="G15"/>
  <c r="G13"/>
  <c r="G10"/>
  <c r="G12"/>
  <c r="I29"/>
  <c r="I27"/>
  <c r="I25"/>
  <c r="I28"/>
  <c r="I24"/>
  <c r="I30"/>
  <c r="I26"/>
  <c r="M45"/>
  <c r="M49"/>
  <c r="M51"/>
  <c r="M47"/>
  <c r="M48"/>
  <c r="M50"/>
  <c r="M46"/>
  <c r="K38"/>
  <c r="K44"/>
  <c r="K41"/>
  <c r="K43"/>
  <c r="K40"/>
  <c r="K42"/>
  <c r="K39"/>
  <c r="O81"/>
  <c r="O86"/>
  <c r="O84"/>
  <c r="O82"/>
  <c r="O83"/>
  <c r="O80"/>
  <c r="O85"/>
  <c r="K105"/>
  <c r="K107"/>
  <c r="K101"/>
  <c r="K106"/>
  <c r="K102"/>
  <c r="K104"/>
  <c r="K103"/>
  <c r="M16"/>
  <c r="M11"/>
  <c r="M12"/>
  <c r="M10"/>
  <c r="M13"/>
  <c r="M15"/>
  <c r="M14"/>
  <c r="L22"/>
  <c r="L20"/>
  <c r="L21"/>
  <c r="L23"/>
  <c r="L19"/>
  <c r="L17"/>
  <c r="L18"/>
  <c r="C106"/>
  <c r="C107"/>
  <c r="C105"/>
  <c r="C103"/>
  <c r="C102"/>
  <c r="C101"/>
  <c r="C104"/>
  <c r="F72"/>
  <c r="F66"/>
  <c r="F71"/>
  <c r="F67"/>
  <c r="F70"/>
  <c r="F69"/>
  <c r="F68"/>
  <c r="M101"/>
  <c r="M106"/>
  <c r="M107"/>
  <c r="M102"/>
  <c r="M105"/>
  <c r="M104"/>
  <c r="M103"/>
  <c r="O107"/>
  <c r="O104"/>
  <c r="O106"/>
  <c r="O103"/>
  <c r="O105"/>
  <c r="O101"/>
  <c r="O102"/>
  <c r="O81" i="21"/>
  <c r="O84"/>
  <c r="O82"/>
  <c r="O87"/>
  <c r="O86"/>
  <c r="O83"/>
  <c r="O85"/>
  <c r="D83"/>
  <c r="D82"/>
  <c r="D86"/>
  <c r="D81"/>
  <c r="D85"/>
  <c r="D87"/>
  <c r="D84"/>
  <c r="P118"/>
  <c r="P119"/>
  <c r="P121"/>
  <c r="P117"/>
  <c r="P122"/>
  <c r="P116"/>
  <c r="P120"/>
  <c r="E67"/>
  <c r="E72"/>
  <c r="E70"/>
  <c r="E68"/>
  <c r="E73"/>
  <c r="E71"/>
  <c r="E69"/>
  <c r="H22" i="29"/>
  <c r="H20"/>
  <c r="H19"/>
  <c r="H17"/>
  <c r="H18"/>
  <c r="H23"/>
  <c r="H21"/>
  <c r="P23"/>
  <c r="P20"/>
  <c r="P22"/>
  <c r="P21"/>
  <c r="P19"/>
  <c r="P18"/>
  <c r="P17"/>
  <c r="L78"/>
  <c r="L79"/>
  <c r="L73"/>
  <c r="L77"/>
  <c r="L75"/>
  <c r="L76"/>
  <c r="L74"/>
  <c r="P68"/>
  <c r="P71"/>
  <c r="P67"/>
  <c r="P70"/>
  <c r="P66"/>
  <c r="P72"/>
  <c r="P69"/>
  <c r="K121"/>
  <c r="K115"/>
  <c r="K117"/>
  <c r="K119"/>
  <c r="K120"/>
  <c r="K118"/>
  <c r="K116"/>
  <c r="Q84"/>
  <c r="Q81"/>
  <c r="Q83"/>
  <c r="Q80"/>
  <c r="Q86"/>
  <c r="Q85"/>
  <c r="Q82"/>
  <c r="F82"/>
  <c r="F80"/>
  <c r="F85"/>
  <c r="F86"/>
  <c r="F81"/>
  <c r="F83"/>
  <c r="F84"/>
  <c r="P79"/>
  <c r="P78"/>
  <c r="P75"/>
  <c r="P77"/>
  <c r="P74"/>
  <c r="P76"/>
  <c r="P73"/>
  <c r="D72"/>
  <c r="D66"/>
  <c r="D68"/>
  <c r="D70"/>
  <c r="D71"/>
  <c r="D69"/>
  <c r="D67"/>
  <c r="F125"/>
  <c r="F123"/>
  <c r="F128"/>
  <c r="F126"/>
  <c r="F124"/>
  <c r="F122"/>
  <c r="F127"/>
  <c r="L78" i="21"/>
  <c r="L75"/>
  <c r="L74"/>
  <c r="L79"/>
  <c r="L76"/>
  <c r="L77"/>
  <c r="L80"/>
  <c r="O50"/>
  <c r="O48"/>
  <c r="O52"/>
  <c r="O46"/>
  <c r="O47"/>
  <c r="O51"/>
  <c r="O49"/>
  <c r="P29" i="29"/>
  <c r="P26"/>
  <c r="P28"/>
  <c r="P27"/>
  <c r="P25"/>
  <c r="P30"/>
  <c r="P24"/>
  <c r="O74"/>
  <c r="O79"/>
  <c r="O73"/>
  <c r="O78"/>
  <c r="O76"/>
  <c r="O75"/>
  <c r="O77"/>
  <c r="K63"/>
  <c r="K62"/>
  <c r="K64"/>
  <c r="K61"/>
  <c r="K60"/>
  <c r="K59"/>
  <c r="K65"/>
  <c r="N88"/>
  <c r="N87"/>
  <c r="N93"/>
  <c r="N90"/>
  <c r="N92"/>
  <c r="N89"/>
  <c r="N91"/>
  <c r="M76"/>
  <c r="M74"/>
  <c r="M75"/>
  <c r="M77"/>
  <c r="M79"/>
  <c r="M73"/>
  <c r="M78"/>
  <c r="L114"/>
  <c r="L112"/>
  <c r="L110"/>
  <c r="L111"/>
  <c r="L113"/>
  <c r="L108"/>
  <c r="L109"/>
  <c r="R76"/>
  <c r="R78"/>
  <c r="R73"/>
  <c r="R74"/>
  <c r="R79"/>
  <c r="R77"/>
  <c r="R75"/>
  <c r="G38"/>
  <c r="G41"/>
  <c r="G44"/>
  <c r="G40"/>
  <c r="G43"/>
  <c r="G39"/>
  <c r="G42"/>
  <c r="F39"/>
  <c r="F40"/>
  <c r="F38"/>
  <c r="F43"/>
  <c r="F41"/>
  <c r="F44"/>
  <c r="F42"/>
  <c r="H15"/>
  <c r="H13"/>
  <c r="H16"/>
  <c r="H12"/>
  <c r="H14"/>
  <c r="H10"/>
  <c r="H11"/>
  <c r="C67"/>
  <c r="C69"/>
  <c r="C71"/>
  <c r="C66"/>
  <c r="C68"/>
  <c r="C70"/>
  <c r="C72"/>
  <c r="H64"/>
  <c r="H61"/>
  <c r="H63"/>
  <c r="H62"/>
  <c r="H59"/>
  <c r="H65"/>
  <c r="H60"/>
  <c r="R116"/>
  <c r="R121"/>
  <c r="R119"/>
  <c r="R117"/>
  <c r="R118"/>
  <c r="R120"/>
  <c r="R115"/>
  <c r="I74"/>
  <c r="I75"/>
  <c r="I73"/>
  <c r="I78"/>
  <c r="I76"/>
  <c r="I77"/>
  <c r="I79"/>
  <c r="H66"/>
  <c r="H68"/>
  <c r="H69"/>
  <c r="H67"/>
  <c r="H72"/>
  <c r="H70"/>
  <c r="H71"/>
  <c r="D99"/>
  <c r="D94"/>
  <c r="D95"/>
  <c r="D100"/>
  <c r="D98"/>
  <c r="D96"/>
  <c r="D97"/>
  <c r="L96"/>
  <c r="L99"/>
  <c r="L95"/>
  <c r="L100"/>
  <c r="L94"/>
  <c r="L98"/>
  <c r="L97"/>
  <c r="J30" i="21"/>
  <c r="J26"/>
  <c r="J29"/>
  <c r="J25"/>
  <c r="J28"/>
  <c r="J27"/>
  <c r="J31"/>
  <c r="C77" i="29"/>
  <c r="C73"/>
  <c r="C74"/>
  <c r="C79"/>
  <c r="C78"/>
  <c r="C75"/>
  <c r="C76"/>
  <c r="G70"/>
  <c r="G68"/>
  <c r="G66"/>
  <c r="G67"/>
  <c r="G71"/>
  <c r="G69"/>
  <c r="G72"/>
  <c r="R19"/>
  <c r="R21"/>
  <c r="R20"/>
  <c r="R18"/>
  <c r="R23"/>
  <c r="R17"/>
  <c r="R22"/>
  <c r="N106"/>
  <c r="N104"/>
  <c r="N102"/>
  <c r="N107"/>
  <c r="N101"/>
  <c r="N103"/>
  <c r="N105"/>
  <c r="J55"/>
  <c r="J56"/>
  <c r="J54"/>
  <c r="J52"/>
  <c r="J57"/>
  <c r="J58"/>
  <c r="J53"/>
  <c r="M117"/>
  <c r="M119"/>
  <c r="M121"/>
  <c r="M115"/>
  <c r="M120"/>
  <c r="M118"/>
  <c r="M116"/>
  <c r="L31"/>
  <c r="L35"/>
  <c r="L32"/>
  <c r="L36"/>
  <c r="L37"/>
  <c r="L33"/>
  <c r="L34"/>
  <c r="J68"/>
  <c r="J69"/>
  <c r="J72"/>
  <c r="J71"/>
  <c r="J70"/>
  <c r="J66"/>
  <c r="J67"/>
  <c r="O45"/>
  <c r="O51"/>
  <c r="O46"/>
  <c r="O49"/>
  <c r="O47"/>
  <c r="O50"/>
  <c r="O48"/>
  <c r="K81"/>
  <c r="K85"/>
  <c r="K86"/>
  <c r="K80"/>
  <c r="K83"/>
  <c r="K84"/>
  <c r="K82"/>
  <c r="O71"/>
  <c r="O68"/>
  <c r="O70"/>
  <c r="O67"/>
  <c r="O66"/>
  <c r="O72"/>
  <c r="O69"/>
  <c r="J104"/>
  <c r="J102"/>
  <c r="J107"/>
  <c r="J106"/>
  <c r="J103"/>
  <c r="J105"/>
  <c r="J101"/>
  <c r="D51"/>
  <c r="D49"/>
  <c r="D45"/>
  <c r="D47"/>
  <c r="D50"/>
  <c r="D48"/>
  <c r="D46"/>
  <c r="I92"/>
  <c r="I93"/>
  <c r="I88"/>
  <c r="I90"/>
  <c r="I91"/>
  <c r="I89"/>
  <c r="I87"/>
  <c r="H85"/>
  <c r="H83"/>
  <c r="H81"/>
  <c r="H86"/>
  <c r="H80"/>
  <c r="H82"/>
  <c r="H84"/>
  <c r="L45" i="21"/>
  <c r="L42"/>
  <c r="L41"/>
  <c r="L43"/>
  <c r="L40"/>
  <c r="L44"/>
  <c r="L39"/>
  <c r="M34" i="29"/>
  <c r="M31"/>
  <c r="M33"/>
  <c r="M36"/>
  <c r="M35"/>
  <c r="M37"/>
  <c r="M32"/>
  <c r="F78"/>
  <c r="F75"/>
  <c r="F74"/>
  <c r="F76"/>
  <c r="F79"/>
  <c r="F77"/>
  <c r="F73"/>
  <c r="Q28"/>
  <c r="Q25"/>
  <c r="Q27"/>
  <c r="Q24"/>
  <c r="Q30"/>
  <c r="Q29"/>
  <c r="Q26"/>
  <c r="J89"/>
  <c r="J92"/>
  <c r="J90"/>
  <c r="J93"/>
  <c r="J87"/>
  <c r="J91"/>
  <c r="J88"/>
  <c r="C114"/>
  <c r="C109"/>
  <c r="C110"/>
  <c r="C108"/>
  <c r="C113"/>
  <c r="C111"/>
  <c r="C112"/>
  <c r="I97"/>
  <c r="I98"/>
  <c r="I100"/>
  <c r="I95"/>
  <c r="I96"/>
  <c r="I94"/>
  <c r="I99"/>
  <c r="N27"/>
  <c r="N28"/>
  <c r="N30"/>
  <c r="N25"/>
  <c r="N26"/>
  <c r="N24"/>
  <c r="N29"/>
  <c r="D113"/>
  <c r="D112"/>
  <c r="D109"/>
  <c r="D114"/>
  <c r="D111"/>
  <c r="D110"/>
  <c r="D108"/>
  <c r="E123"/>
  <c r="E128"/>
  <c r="E126"/>
  <c r="E124"/>
  <c r="E125"/>
  <c r="E127"/>
  <c r="E122"/>
  <c r="E77"/>
  <c r="E75"/>
  <c r="E73"/>
  <c r="E78"/>
  <c r="E79"/>
  <c r="E74"/>
  <c r="E76"/>
  <c r="O115"/>
  <c r="O117"/>
  <c r="O118"/>
  <c r="O121"/>
  <c r="O120"/>
  <c r="O116"/>
  <c r="O119"/>
  <c r="O93"/>
  <c r="O91"/>
  <c r="O89"/>
  <c r="O90"/>
  <c r="O92"/>
  <c r="O87"/>
  <c r="O88"/>
  <c r="K90"/>
  <c r="K92"/>
  <c r="K87"/>
  <c r="K88"/>
  <c r="K93"/>
  <c r="K89"/>
  <c r="K91"/>
  <c r="Q106"/>
  <c r="Q107"/>
  <c r="Q101"/>
  <c r="Q104"/>
  <c r="Q103"/>
  <c r="Q105"/>
  <c r="Q102"/>
  <c r="G65"/>
  <c r="G59"/>
  <c r="G61"/>
  <c r="G64"/>
  <c r="G60"/>
  <c r="G63"/>
  <c r="G62"/>
  <c r="R89"/>
  <c r="R91"/>
  <c r="R92"/>
  <c r="R90"/>
  <c r="R93"/>
  <c r="R88"/>
  <c r="R87"/>
  <c r="G95"/>
  <c r="G100"/>
  <c r="G94"/>
  <c r="G96"/>
  <c r="G98"/>
  <c r="G97"/>
  <c r="G99"/>
  <c r="J23" i="21"/>
  <c r="J19"/>
  <c r="J22"/>
  <c r="J21"/>
  <c r="J20"/>
  <c r="J18"/>
  <c r="J24"/>
  <c r="O14" i="29"/>
  <c r="O10"/>
  <c r="O12"/>
  <c r="O13"/>
  <c r="O15"/>
  <c r="O11"/>
  <c r="O16"/>
  <c r="D24"/>
  <c r="D26"/>
  <c r="D28"/>
  <c r="D30"/>
  <c r="D29"/>
  <c r="D25"/>
  <c r="D27"/>
  <c r="C56"/>
  <c r="C58"/>
  <c r="C53"/>
  <c r="C54"/>
  <c r="C57"/>
  <c r="C52"/>
  <c r="C55"/>
  <c r="E112"/>
  <c r="E113"/>
  <c r="E111"/>
  <c r="E109"/>
  <c r="E114"/>
  <c r="E110"/>
  <c r="E108"/>
  <c r="J83"/>
  <c r="J84"/>
  <c r="J86"/>
  <c r="J81"/>
  <c r="J80"/>
  <c r="J82"/>
  <c r="J85"/>
  <c r="R129" i="21"/>
  <c r="R128"/>
  <c r="R124"/>
  <c r="R125"/>
  <c r="R127"/>
  <c r="R123"/>
  <c r="R126"/>
  <c r="R36"/>
  <c r="R35"/>
  <c r="R32"/>
  <c r="R38"/>
  <c r="R37"/>
  <c r="R34"/>
  <c r="R33"/>
  <c r="P35" i="29"/>
  <c r="P32"/>
  <c r="P34"/>
  <c r="P31"/>
  <c r="P37"/>
  <c r="P33"/>
  <c r="P36"/>
  <c r="Q60"/>
  <c r="Q62"/>
  <c r="Q59"/>
  <c r="Q63"/>
  <c r="Q64"/>
  <c r="Q65"/>
  <c r="Q61"/>
  <c r="J41"/>
  <c r="J39"/>
  <c r="J40"/>
  <c r="J42"/>
  <c r="J44"/>
  <c r="J38"/>
  <c r="J43"/>
  <c r="Q72"/>
  <c r="Q70"/>
  <c r="Q67"/>
  <c r="Q69"/>
  <c r="Q71"/>
  <c r="Q68"/>
  <c r="Q66"/>
  <c r="E98"/>
  <c r="E95"/>
  <c r="E94"/>
  <c r="E100"/>
  <c r="E97"/>
  <c r="E99"/>
  <c r="E96"/>
  <c r="G89"/>
  <c r="G90"/>
  <c r="G88"/>
  <c r="G93"/>
  <c r="G91"/>
  <c r="G92"/>
  <c r="G87"/>
  <c r="D68" i="21"/>
  <c r="D72"/>
  <c r="D67"/>
  <c r="D69"/>
  <c r="D70"/>
  <c r="D71"/>
  <c r="D73"/>
  <c r="E106"/>
  <c r="E107"/>
  <c r="E102"/>
  <c r="E104"/>
  <c r="E105"/>
  <c r="E103"/>
  <c r="E108"/>
  <c r="Q100"/>
  <c r="Q97"/>
  <c r="Q99"/>
  <c r="Q101"/>
  <c r="Q98"/>
  <c r="Q95"/>
  <c r="Q96"/>
  <c r="M70"/>
  <c r="M69"/>
  <c r="M72"/>
  <c r="M68"/>
  <c r="M73"/>
  <c r="M67"/>
  <c r="M71"/>
  <c r="P42" i="29"/>
  <c r="P43"/>
  <c r="P38"/>
  <c r="P40"/>
  <c r="P44"/>
  <c r="P39"/>
  <c r="P41"/>
  <c r="F90"/>
  <c r="F91"/>
  <c r="F93"/>
  <c r="F88"/>
  <c r="F87"/>
  <c r="F89"/>
  <c r="F92"/>
  <c r="M67"/>
  <c r="M72"/>
  <c r="M66"/>
  <c r="M69"/>
  <c r="M68"/>
  <c r="M71"/>
  <c r="M70"/>
  <c r="C37"/>
  <c r="C31"/>
  <c r="C33"/>
  <c r="C35"/>
  <c r="C34"/>
  <c r="C36"/>
  <c r="C32"/>
  <c r="K25"/>
  <c r="K29"/>
  <c r="K27"/>
  <c r="K26"/>
  <c r="K24"/>
  <c r="K28"/>
  <c r="K30"/>
  <c r="K51"/>
  <c r="K48"/>
  <c r="K50"/>
  <c r="K47"/>
  <c r="K49"/>
  <c r="K46"/>
  <c r="K45"/>
  <c r="D103"/>
  <c r="D105"/>
  <c r="D106"/>
  <c r="D104"/>
  <c r="D102"/>
  <c r="D107"/>
  <c r="D101"/>
  <c r="D125"/>
  <c r="D127"/>
  <c r="D124"/>
  <c r="D126"/>
  <c r="D123"/>
  <c r="D122"/>
  <c r="D128"/>
  <c r="E47"/>
  <c r="E49"/>
  <c r="E46"/>
  <c r="E45"/>
  <c r="E48"/>
  <c r="E51"/>
  <c r="E50"/>
  <c r="O96"/>
  <c r="O97"/>
  <c r="O95"/>
  <c r="O100"/>
  <c r="O98"/>
  <c r="O99"/>
  <c r="O94"/>
  <c r="E67"/>
  <c r="E72"/>
  <c r="E66"/>
  <c r="E69"/>
  <c r="E68"/>
  <c r="E71"/>
  <c r="E70"/>
  <c r="F46"/>
  <c r="F47"/>
  <c r="F51"/>
  <c r="F49"/>
  <c r="F48"/>
  <c r="F45"/>
  <c r="F50"/>
  <c r="H24"/>
  <c r="H25"/>
  <c r="H30"/>
  <c r="H28"/>
  <c r="H26"/>
  <c r="H27"/>
  <c r="H29"/>
  <c r="L64"/>
  <c r="L62"/>
  <c r="L60"/>
  <c r="L65"/>
  <c r="L59"/>
  <c r="L61"/>
  <c r="L63"/>
  <c r="I58"/>
  <c r="I55"/>
  <c r="I57"/>
  <c r="I54"/>
  <c r="I52"/>
  <c r="I56"/>
  <c r="I53"/>
  <c r="I63"/>
  <c r="I60"/>
  <c r="I61"/>
  <c r="I62"/>
  <c r="I65"/>
  <c r="I64"/>
  <c r="I59"/>
  <c r="M56"/>
  <c r="M52"/>
  <c r="M58"/>
  <c r="M54"/>
  <c r="M55"/>
  <c r="M57"/>
  <c r="M53"/>
  <c r="P91"/>
  <c r="P93"/>
  <c r="P87"/>
  <c r="P92"/>
  <c r="P90"/>
  <c r="P88"/>
  <c r="P89"/>
  <c r="F100"/>
  <c r="F99"/>
  <c r="F96"/>
  <c r="F98"/>
  <c r="F95"/>
  <c r="F97"/>
  <c r="F94"/>
  <c r="N100"/>
  <c r="N96"/>
  <c r="N97"/>
  <c r="N99"/>
  <c r="N94"/>
  <c r="N95"/>
  <c r="N98"/>
  <c r="G101" i="21"/>
  <c r="G95"/>
  <c r="G100"/>
  <c r="G98"/>
  <c r="G96"/>
  <c r="G97"/>
  <c r="G99"/>
  <c r="F107"/>
  <c r="F105"/>
  <c r="F103"/>
  <c r="F108"/>
  <c r="F106"/>
  <c r="F104"/>
  <c r="F102"/>
  <c r="N81" i="29"/>
  <c r="N86"/>
  <c r="N80"/>
  <c r="N82"/>
  <c r="N84"/>
  <c r="N85"/>
  <c r="N83"/>
  <c r="E61"/>
  <c r="E63"/>
  <c r="E65"/>
  <c r="E59"/>
  <c r="E64"/>
  <c r="E62"/>
  <c r="E60"/>
  <c r="M89"/>
  <c r="M87"/>
  <c r="M92"/>
  <c r="M90"/>
  <c r="M91"/>
  <c r="M93"/>
  <c r="M88"/>
  <c r="I105"/>
  <c r="I102"/>
  <c r="I104"/>
  <c r="I101"/>
  <c r="I107"/>
  <c r="I106"/>
  <c r="I103"/>
  <c r="G78"/>
  <c r="G75"/>
  <c r="G77"/>
  <c r="G74"/>
  <c r="G73"/>
  <c r="G79"/>
  <c r="G76"/>
  <c r="H46" i="21"/>
  <c r="H47"/>
  <c r="H52"/>
  <c r="H50"/>
  <c r="H48"/>
  <c r="H49"/>
  <c r="H51"/>
  <c r="L90"/>
  <c r="L88"/>
  <c r="L89"/>
  <c r="L91"/>
  <c r="L94"/>
  <c r="L93"/>
  <c r="L92"/>
  <c r="F75"/>
  <c r="F77"/>
  <c r="F80"/>
  <c r="F78"/>
  <c r="F74"/>
  <c r="F76"/>
  <c r="F79"/>
  <c r="R67"/>
  <c r="R69"/>
  <c r="R73"/>
  <c r="R72"/>
  <c r="R70"/>
  <c r="R68"/>
  <c r="R71"/>
  <c r="D66"/>
  <c r="D62"/>
  <c r="D65"/>
  <c r="D64"/>
  <c r="D61"/>
  <c r="D60"/>
  <c r="D63"/>
  <c r="F37"/>
  <c r="F32"/>
  <c r="F35"/>
  <c r="F33"/>
  <c r="F34"/>
  <c r="F38"/>
  <c r="F36"/>
  <c r="I113"/>
  <c r="I115"/>
  <c r="I109"/>
  <c r="I111"/>
  <c r="I112"/>
  <c r="I110"/>
  <c r="I114"/>
  <c r="L72"/>
  <c r="L68"/>
  <c r="L69"/>
  <c r="L73"/>
  <c r="L70"/>
  <c r="L71"/>
  <c r="L67"/>
  <c r="Q83"/>
  <c r="Q85"/>
  <c r="Q82"/>
  <c r="Q87"/>
  <c r="Q84"/>
  <c r="Q81"/>
  <c r="Q86"/>
  <c r="N112"/>
  <c r="N110"/>
  <c r="N113"/>
  <c r="N109"/>
  <c r="N115"/>
  <c r="N114"/>
  <c r="N111"/>
  <c r="I56"/>
  <c r="I59"/>
  <c r="I54"/>
  <c r="I58"/>
  <c r="I55"/>
  <c r="I57"/>
  <c r="I53"/>
  <c r="J102"/>
  <c r="J105"/>
  <c r="J104"/>
  <c r="J107"/>
  <c r="J108"/>
  <c r="J103"/>
  <c r="J106"/>
  <c r="N26"/>
  <c r="N29"/>
  <c r="N31"/>
  <c r="N28"/>
  <c r="N25"/>
  <c r="N27"/>
  <c r="N30"/>
  <c r="M107"/>
  <c r="M102"/>
  <c r="M104"/>
  <c r="M105"/>
  <c r="M103"/>
  <c r="M108"/>
  <c r="M106"/>
  <c r="E126"/>
  <c r="E123"/>
  <c r="E124"/>
  <c r="E127"/>
  <c r="E125"/>
  <c r="E128"/>
  <c r="E129"/>
  <c r="H97"/>
  <c r="H95"/>
  <c r="H100"/>
  <c r="H98"/>
  <c r="H96"/>
  <c r="H99"/>
  <c r="H101"/>
  <c r="H13"/>
  <c r="H15"/>
  <c r="H11"/>
  <c r="H12"/>
  <c r="H14"/>
  <c r="H16"/>
  <c r="H17"/>
  <c r="I125" i="29"/>
  <c r="I127"/>
  <c r="I124"/>
  <c r="I126"/>
  <c r="I123"/>
  <c r="I122"/>
  <c r="I128"/>
  <c r="H94"/>
  <c r="H100"/>
  <c r="H97"/>
  <c r="H99"/>
  <c r="H96"/>
  <c r="H98"/>
  <c r="H95"/>
  <c r="N110"/>
  <c r="N108"/>
  <c r="N113"/>
  <c r="N114"/>
  <c r="N109"/>
  <c r="N111"/>
  <c r="N112"/>
  <c r="O44" i="21"/>
  <c r="O39"/>
  <c r="O40"/>
  <c r="O42"/>
  <c r="O41"/>
  <c r="O43"/>
  <c r="O45"/>
  <c r="F83"/>
  <c r="F81"/>
  <c r="F82"/>
  <c r="F84"/>
  <c r="F86"/>
  <c r="F87"/>
  <c r="F85"/>
  <c r="R11"/>
  <c r="R13"/>
  <c r="R15"/>
  <c r="R17"/>
  <c r="R12"/>
  <c r="R14"/>
  <c r="R16"/>
  <c r="H23"/>
  <c r="H21"/>
  <c r="H24"/>
  <c r="H20"/>
  <c r="H18"/>
  <c r="H19"/>
  <c r="H22"/>
  <c r="H41"/>
  <c r="H45"/>
  <c r="H39"/>
  <c r="H40"/>
  <c r="H44"/>
  <c r="H42"/>
  <c r="H43"/>
  <c r="R118"/>
  <c r="R120"/>
  <c r="R117"/>
  <c r="R122"/>
  <c r="R116"/>
  <c r="R121"/>
  <c r="R119"/>
  <c r="G104"/>
  <c r="G102"/>
  <c r="G107"/>
  <c r="G106"/>
  <c r="G103"/>
  <c r="G105"/>
  <c r="G108"/>
  <c r="I120"/>
  <c r="I116"/>
  <c r="I118"/>
  <c r="I122"/>
  <c r="I121"/>
  <c r="I117"/>
  <c r="I119"/>
  <c r="C52"/>
  <c r="C50"/>
  <c r="C46"/>
  <c r="C48"/>
  <c r="C51"/>
  <c r="C47"/>
  <c r="C49"/>
  <c r="E110"/>
  <c r="E109"/>
  <c r="E111"/>
  <c r="E114"/>
  <c r="E113"/>
  <c r="E112"/>
  <c r="E115"/>
  <c r="L125" i="29"/>
  <c r="L123"/>
  <c r="L128"/>
  <c r="L127"/>
  <c r="L124"/>
  <c r="L126"/>
  <c r="L122"/>
  <c r="M29" i="21"/>
  <c r="M31"/>
  <c r="M26"/>
  <c r="M25"/>
  <c r="M30"/>
  <c r="M28"/>
  <c r="M27"/>
  <c r="N41"/>
  <c r="N44"/>
  <c r="N40"/>
  <c r="N43"/>
  <c r="N39"/>
  <c r="N45"/>
  <c r="N42"/>
  <c r="N57"/>
  <c r="N53"/>
  <c r="N56"/>
  <c r="N55"/>
  <c r="N59"/>
  <c r="N54"/>
  <c r="N58"/>
  <c r="H75"/>
  <c r="H80"/>
  <c r="H78"/>
  <c r="H77"/>
  <c r="H74"/>
  <c r="H76"/>
  <c r="H79"/>
  <c r="C31"/>
  <c r="C26"/>
  <c r="C29"/>
  <c r="C25"/>
  <c r="C28"/>
  <c r="C30"/>
  <c r="C27"/>
  <c r="Q113" i="29"/>
  <c r="Q111"/>
  <c r="Q112"/>
  <c r="Q114"/>
  <c r="Q109"/>
  <c r="Q110"/>
  <c r="Q108"/>
  <c r="E115"/>
  <c r="E120"/>
  <c r="E117"/>
  <c r="E116"/>
  <c r="E121"/>
  <c r="E119"/>
  <c r="E118"/>
  <c r="P115" i="21"/>
  <c r="P111"/>
  <c r="P109"/>
  <c r="P113"/>
  <c r="P112"/>
  <c r="P114"/>
  <c r="P110"/>
  <c r="J76"/>
  <c r="J77"/>
  <c r="J78"/>
  <c r="J80"/>
  <c r="J79"/>
  <c r="J74"/>
  <c r="J75"/>
  <c r="C80"/>
  <c r="C77"/>
  <c r="C78"/>
  <c r="C75"/>
  <c r="C76"/>
  <c r="C74"/>
  <c r="C79"/>
  <c r="J117"/>
  <c r="J119"/>
  <c r="J116"/>
  <c r="J118"/>
  <c r="J120"/>
  <c r="J121"/>
  <c r="J122"/>
  <c r="K109"/>
  <c r="K115"/>
  <c r="K112"/>
  <c r="K111"/>
  <c r="K114"/>
  <c r="K110"/>
  <c r="K113"/>
  <c r="F19"/>
  <c r="F22"/>
  <c r="F18"/>
  <c r="F21"/>
  <c r="F24"/>
  <c r="F20"/>
  <c r="F23"/>
  <c r="D15"/>
  <c r="D17"/>
  <c r="D14"/>
  <c r="D13"/>
  <c r="D11"/>
  <c r="D16"/>
  <c r="D12"/>
  <c r="N61" i="29"/>
  <c r="N64"/>
  <c r="N62"/>
  <c r="N60"/>
  <c r="N65"/>
  <c r="N59"/>
  <c r="N63"/>
  <c r="L102"/>
  <c r="L107"/>
  <c r="L105"/>
  <c r="L103"/>
  <c r="L104"/>
  <c r="L106"/>
  <c r="L101"/>
  <c r="H121"/>
  <c r="H118"/>
  <c r="H120"/>
  <c r="H117"/>
  <c r="H119"/>
  <c r="H116"/>
  <c r="H115"/>
  <c r="J120"/>
  <c r="J119"/>
  <c r="J118"/>
  <c r="J121"/>
  <c r="J116"/>
  <c r="J115"/>
  <c r="J117"/>
  <c r="I63" i="21"/>
  <c r="I62"/>
  <c r="I60"/>
  <c r="I65"/>
  <c r="I61"/>
  <c r="I64"/>
  <c r="I66"/>
  <c r="R27"/>
  <c r="R28"/>
  <c r="R30"/>
  <c r="R26"/>
  <c r="R29"/>
  <c r="R25"/>
  <c r="R31"/>
  <c r="L105"/>
  <c r="L103"/>
  <c r="L102"/>
  <c r="L108"/>
  <c r="L107"/>
  <c r="L104"/>
  <c r="L106"/>
  <c r="R76"/>
  <c r="R78"/>
  <c r="R74"/>
  <c r="R79"/>
  <c r="R75"/>
  <c r="R80"/>
  <c r="R77"/>
  <c r="L28"/>
  <c r="L26"/>
  <c r="L25"/>
  <c r="L31"/>
  <c r="L27"/>
  <c r="L29"/>
  <c r="L30"/>
  <c r="I75"/>
  <c r="I79"/>
  <c r="I78"/>
  <c r="I80"/>
  <c r="I74"/>
  <c r="I76"/>
  <c r="I77"/>
  <c r="K17"/>
  <c r="K15"/>
  <c r="K14"/>
  <c r="K16"/>
  <c r="K11"/>
  <c r="K13"/>
  <c r="K12"/>
  <c r="D52"/>
  <c r="D50"/>
  <c r="D48"/>
  <c r="D46"/>
  <c r="D51"/>
  <c r="D49"/>
  <c r="D47"/>
  <c r="I83"/>
  <c r="I84"/>
  <c r="I85"/>
  <c r="I86"/>
  <c r="I82"/>
  <c r="I81"/>
  <c r="I87"/>
  <c r="E19"/>
  <c r="E21"/>
  <c r="E18"/>
  <c r="E20"/>
  <c r="E23"/>
  <c r="E24"/>
  <c r="E22"/>
  <c r="C87" i="29"/>
  <c r="C89"/>
  <c r="C91"/>
  <c r="C92"/>
  <c r="C90"/>
  <c r="C88"/>
  <c r="C93"/>
  <c r="H105"/>
  <c r="H101"/>
  <c r="H104"/>
  <c r="H107"/>
  <c r="H106"/>
  <c r="H103"/>
  <c r="H102"/>
  <c r="L69"/>
  <c r="L71"/>
  <c r="L66"/>
  <c r="L67"/>
  <c r="L72"/>
  <c r="L70"/>
  <c r="L68"/>
  <c r="Q11" i="21"/>
  <c r="Q13"/>
  <c r="Q17"/>
  <c r="Q14"/>
  <c r="Q15"/>
  <c r="Q16"/>
  <c r="Q12"/>
  <c r="G15"/>
  <c r="G13"/>
  <c r="G16"/>
  <c r="G17"/>
  <c r="G11"/>
  <c r="G14"/>
  <c r="G12"/>
  <c r="E101"/>
  <c r="E98"/>
  <c r="E100"/>
  <c r="E99"/>
  <c r="E96"/>
  <c r="E97"/>
  <c r="E95"/>
  <c r="K68"/>
  <c r="K73"/>
  <c r="K71"/>
  <c r="K69"/>
  <c r="K67"/>
  <c r="K72"/>
  <c r="K70"/>
  <c r="N62"/>
  <c r="N66"/>
  <c r="N61"/>
  <c r="N64"/>
  <c r="N65"/>
  <c r="N60"/>
  <c r="N63"/>
  <c r="P57"/>
  <c r="P54"/>
  <c r="P55"/>
  <c r="P56"/>
  <c r="P53"/>
  <c r="P58"/>
  <c r="P59"/>
  <c r="I25"/>
  <c r="I26"/>
  <c r="I28"/>
  <c r="I31"/>
  <c r="I27"/>
  <c r="I30"/>
  <c r="I29"/>
  <c r="I108"/>
  <c r="I102"/>
  <c r="I105"/>
  <c r="I103"/>
  <c r="I106"/>
  <c r="I107"/>
  <c r="I104"/>
  <c r="O24"/>
  <c r="O23"/>
  <c r="O22"/>
  <c r="O18"/>
  <c r="O20"/>
  <c r="O19"/>
  <c r="O21"/>
  <c r="C59"/>
  <c r="C55"/>
  <c r="C58"/>
  <c r="C54"/>
  <c r="C57"/>
  <c r="C53"/>
  <c r="C56"/>
  <c r="M37"/>
  <c r="M33"/>
  <c r="M38"/>
  <c r="M34"/>
  <c r="M36"/>
  <c r="M35"/>
  <c r="M32"/>
  <c r="R102" i="29"/>
  <c r="R104"/>
  <c r="R107"/>
  <c r="R106"/>
  <c r="R105"/>
  <c r="R103"/>
  <c r="R101"/>
  <c r="Q56"/>
  <c r="Q58"/>
  <c r="Q52"/>
  <c r="Q57"/>
  <c r="Q55"/>
  <c r="Q53"/>
  <c r="Q54"/>
  <c r="M125"/>
  <c r="M123"/>
  <c r="M128"/>
  <c r="M122"/>
  <c r="M124"/>
  <c r="M126"/>
  <c r="M127"/>
  <c r="P125"/>
  <c r="P123"/>
  <c r="P127"/>
  <c r="P128"/>
  <c r="P126"/>
  <c r="P122"/>
  <c r="P124"/>
  <c r="R124"/>
  <c r="R122"/>
  <c r="R128"/>
  <c r="R127"/>
  <c r="R123"/>
  <c r="R125"/>
  <c r="R126"/>
  <c r="J41" i="21"/>
  <c r="J43"/>
  <c r="J44"/>
  <c r="J40"/>
  <c r="J45"/>
  <c r="J39"/>
  <c r="J42"/>
  <c r="P124"/>
  <c r="P125"/>
  <c r="P129"/>
  <c r="P123"/>
  <c r="P127"/>
  <c r="P126"/>
  <c r="P128"/>
  <c r="O108"/>
  <c r="O106"/>
  <c r="O105"/>
  <c r="O103"/>
  <c r="O107"/>
  <c r="O102"/>
  <c r="O104"/>
  <c r="J73"/>
  <c r="J71"/>
  <c r="J69"/>
  <c r="J67"/>
  <c r="J72"/>
  <c r="J70"/>
  <c r="J68"/>
  <c r="P98" i="29"/>
  <c r="P100"/>
  <c r="P94"/>
  <c r="P99"/>
  <c r="P97"/>
  <c r="P95"/>
  <c r="P96"/>
  <c r="C60"/>
  <c r="C59"/>
  <c r="C65"/>
  <c r="C62"/>
  <c r="C64"/>
  <c r="C61"/>
  <c r="C63"/>
  <c r="G44" i="21"/>
  <c r="G43"/>
  <c r="G39"/>
  <c r="G42"/>
  <c r="G45"/>
  <c r="G41"/>
  <c r="G40"/>
  <c r="P80"/>
  <c r="P75"/>
  <c r="P74"/>
  <c r="P77"/>
  <c r="P79"/>
  <c r="P76"/>
  <c r="P78"/>
  <c r="E64"/>
  <c r="E60"/>
  <c r="E63"/>
  <c r="E66"/>
  <c r="E62"/>
  <c r="E65"/>
  <c r="E61"/>
  <c r="P44"/>
  <c r="P40"/>
  <c r="P41"/>
  <c r="P39"/>
  <c r="P42"/>
  <c r="P45"/>
  <c r="P43"/>
  <c r="J93"/>
  <c r="J88"/>
  <c r="J94"/>
  <c r="J90"/>
  <c r="J91"/>
  <c r="J92"/>
  <c r="J89"/>
  <c r="N81"/>
  <c r="N83"/>
  <c r="N87"/>
  <c r="N85"/>
  <c r="N82"/>
  <c r="N84"/>
  <c r="N86"/>
  <c r="C23"/>
  <c r="C19"/>
  <c r="C21"/>
  <c r="C18"/>
  <c r="C22"/>
  <c r="C24"/>
  <c r="C20"/>
  <c r="L118"/>
  <c r="L120"/>
  <c r="L119"/>
  <c r="L122"/>
  <c r="L116"/>
  <c r="L121"/>
  <c r="L117"/>
  <c r="K123" i="29"/>
  <c r="K125"/>
  <c r="K126"/>
  <c r="K124"/>
  <c r="K122"/>
  <c r="K127"/>
  <c r="K128"/>
  <c r="J94"/>
  <c r="J99"/>
  <c r="J96"/>
  <c r="J95"/>
  <c r="J100"/>
  <c r="J98"/>
  <c r="J97"/>
  <c r="P71" i="21"/>
  <c r="P73"/>
  <c r="P68"/>
  <c r="P69"/>
  <c r="P67"/>
  <c r="P70"/>
  <c r="P72"/>
  <c r="D56"/>
  <c r="D59"/>
  <c r="D55"/>
  <c r="D54"/>
  <c r="D53"/>
  <c r="D58"/>
  <c r="D57"/>
  <c r="K108"/>
  <c r="K103"/>
  <c r="K102"/>
  <c r="K107"/>
  <c r="K106"/>
  <c r="K105"/>
  <c r="K104"/>
  <c r="I35"/>
  <c r="I37"/>
  <c r="I38"/>
  <c r="I34"/>
  <c r="I36"/>
  <c r="I33"/>
  <c r="I32"/>
  <c r="C36"/>
  <c r="C37"/>
  <c r="C38"/>
  <c r="C34"/>
  <c r="C35"/>
  <c r="C32"/>
  <c r="C33"/>
  <c r="M89"/>
  <c r="M92"/>
  <c r="M88"/>
  <c r="M91"/>
  <c r="M90"/>
  <c r="M93"/>
  <c r="M94"/>
  <c r="R60" i="29"/>
  <c r="R62"/>
  <c r="R59"/>
  <c r="R65"/>
  <c r="R63"/>
  <c r="R64"/>
  <c r="R61"/>
  <c r="F55"/>
  <c r="F52"/>
  <c r="F58"/>
  <c r="F57"/>
  <c r="F54"/>
  <c r="F53"/>
  <c r="F56"/>
  <c r="E57" i="21"/>
  <c r="E53"/>
  <c r="E56"/>
  <c r="E59"/>
  <c r="E58"/>
  <c r="E55"/>
  <c r="E54"/>
  <c r="N97"/>
  <c r="N100"/>
  <c r="N99"/>
  <c r="N98"/>
  <c r="N101"/>
  <c r="N96"/>
  <c r="N95"/>
  <c r="M55"/>
  <c r="M58"/>
  <c r="M56"/>
  <c r="M54"/>
  <c r="M57"/>
  <c r="M53"/>
  <c r="M59"/>
  <c r="G47"/>
  <c r="G49"/>
  <c r="G51"/>
  <c r="G52"/>
  <c r="G50"/>
  <c r="G48"/>
  <c r="G46"/>
  <c r="R89"/>
  <c r="R90"/>
  <c r="R91"/>
  <c r="R93"/>
  <c r="R88"/>
  <c r="R94"/>
  <c r="R92"/>
  <c r="J124" i="29"/>
  <c r="J123"/>
  <c r="J125"/>
  <c r="J127"/>
  <c r="J126"/>
  <c r="J122"/>
  <c r="J128"/>
  <c r="J11" i="21"/>
  <c r="J12"/>
  <c r="J14"/>
  <c r="J16"/>
  <c r="J17"/>
  <c r="J13"/>
  <c r="J15"/>
  <c r="C116" i="29"/>
  <c r="C121"/>
  <c r="C119"/>
  <c r="C117"/>
  <c r="C118"/>
  <c r="C120"/>
  <c r="C115"/>
  <c r="K34" i="21"/>
  <c r="K36"/>
  <c r="K35"/>
  <c r="K32"/>
  <c r="K38"/>
  <c r="K37"/>
  <c r="K33"/>
  <c r="P38"/>
  <c r="P36"/>
  <c r="P34"/>
  <c r="P32"/>
  <c r="P37"/>
  <c r="P35"/>
  <c r="P33"/>
  <c r="Q118"/>
  <c r="Q116"/>
  <c r="Q119"/>
  <c r="Q117"/>
  <c r="Q120"/>
  <c r="Q121"/>
  <c r="Q122"/>
  <c r="G109"/>
  <c r="G115"/>
  <c r="G113"/>
  <c r="G114"/>
  <c r="G112"/>
  <c r="G110"/>
  <c r="G111"/>
  <c r="G116"/>
  <c r="G120"/>
  <c r="G122"/>
  <c r="G117"/>
  <c r="G121"/>
  <c r="G118"/>
  <c r="G119"/>
  <c r="Q31"/>
  <c r="Q27"/>
  <c r="Q28"/>
  <c r="Q25"/>
  <c r="Q26"/>
  <c r="Q29"/>
  <c r="Q30"/>
  <c r="G83"/>
  <c r="G86"/>
  <c r="G84"/>
  <c r="G81"/>
  <c r="G85"/>
  <c r="G82"/>
  <c r="G87"/>
  <c r="K86"/>
  <c r="K82"/>
  <c r="K85"/>
  <c r="K83"/>
  <c r="K81"/>
  <c r="K84"/>
  <c r="K87"/>
  <c r="N38"/>
  <c r="N36"/>
  <c r="N34"/>
  <c r="N35"/>
  <c r="N33"/>
  <c r="N32"/>
  <c r="N37"/>
  <c r="N125" i="29"/>
  <c r="N127"/>
  <c r="N128"/>
  <c r="N126"/>
  <c r="N124"/>
  <c r="N122"/>
  <c r="N123"/>
  <c r="G118"/>
  <c r="G117"/>
  <c r="G120"/>
  <c r="G119"/>
  <c r="G116"/>
  <c r="G115"/>
  <c r="G121"/>
  <c r="I121"/>
  <c r="I117"/>
  <c r="I119"/>
  <c r="I116"/>
  <c r="I115"/>
  <c r="I118"/>
  <c r="I120"/>
  <c r="K45" i="21"/>
  <c r="K42"/>
  <c r="K40"/>
  <c r="K43"/>
  <c r="K44"/>
  <c r="K39"/>
  <c r="K41"/>
  <c r="D78"/>
  <c r="D80"/>
  <c r="D76"/>
  <c r="D74"/>
  <c r="D75"/>
  <c r="D79"/>
  <c r="D77"/>
  <c r="E43"/>
  <c r="E40"/>
  <c r="E41"/>
  <c r="E39"/>
  <c r="E45"/>
  <c r="E42"/>
  <c r="E44"/>
  <c r="H88"/>
  <c r="H94"/>
  <c r="H92"/>
  <c r="H89"/>
  <c r="H90"/>
  <c r="H91"/>
  <c r="H93"/>
  <c r="L66"/>
  <c r="L64"/>
  <c r="L61"/>
  <c r="L65"/>
  <c r="L60"/>
  <c r="L62"/>
  <c r="L63"/>
  <c r="P93"/>
  <c r="P92"/>
  <c r="P89"/>
  <c r="P91"/>
  <c r="P88"/>
  <c r="P90"/>
  <c r="P94"/>
  <c r="M49"/>
  <c r="M51"/>
  <c r="M52"/>
  <c r="M50"/>
  <c r="M48"/>
  <c r="M46"/>
  <c r="M47"/>
  <c r="F71"/>
  <c r="F69"/>
  <c r="F67"/>
  <c r="F72"/>
  <c r="F70"/>
  <c r="F68"/>
  <c r="F73"/>
  <c r="H128" i="29"/>
  <c r="H122"/>
  <c r="H124"/>
  <c r="H126"/>
  <c r="H127"/>
  <c r="H125"/>
  <c r="H123"/>
  <c r="K95"/>
  <c r="K96"/>
  <c r="K94"/>
  <c r="K99"/>
  <c r="K97"/>
  <c r="K98"/>
  <c r="K100"/>
  <c r="G106"/>
  <c r="G102"/>
  <c r="G107"/>
  <c r="G105"/>
  <c r="G101"/>
  <c r="G104"/>
  <c r="G103"/>
  <c r="C97"/>
  <c r="C94"/>
  <c r="C100"/>
  <c r="C99"/>
  <c r="C96"/>
  <c r="C98"/>
  <c r="C95"/>
  <c r="D102" i="21"/>
  <c r="D103"/>
  <c r="D105"/>
  <c r="D104"/>
  <c r="D108"/>
  <c r="D106"/>
  <c r="D107"/>
  <c r="O12"/>
  <c r="O15"/>
  <c r="O17"/>
  <c r="O13"/>
  <c r="O11"/>
  <c r="O16"/>
  <c r="O14"/>
  <c r="E50"/>
  <c r="E51"/>
  <c r="E46"/>
  <c r="E48"/>
  <c r="E49"/>
  <c r="E47"/>
  <c r="E52"/>
  <c r="H103"/>
  <c r="H106"/>
  <c r="H105"/>
  <c r="H102"/>
  <c r="H108"/>
  <c r="H107"/>
  <c r="H104"/>
  <c r="F50"/>
  <c r="F46"/>
  <c r="F49"/>
  <c r="F51"/>
  <c r="F48"/>
  <c r="F47"/>
  <c r="F52"/>
  <c r="P105" i="29"/>
  <c r="P107"/>
  <c r="P102"/>
  <c r="P103"/>
  <c r="P101"/>
  <c r="P106"/>
  <c r="P104"/>
  <c r="O122"/>
  <c r="O125"/>
  <c r="O128"/>
  <c r="O126"/>
  <c r="O127"/>
  <c r="O124"/>
  <c r="O123"/>
  <c r="Q123"/>
  <c r="Q126"/>
  <c r="Q124"/>
  <c r="Q128"/>
  <c r="Q122"/>
  <c r="Q127"/>
  <c r="Q125"/>
  <c r="R58" i="21"/>
  <c r="R54"/>
  <c r="R55"/>
  <c r="R59"/>
  <c r="R56"/>
  <c r="R57"/>
  <c r="R53"/>
  <c r="H81"/>
  <c r="H84"/>
  <c r="H83"/>
  <c r="H82"/>
  <c r="H85"/>
  <c r="H87"/>
  <c r="H86"/>
  <c r="L81"/>
  <c r="L86"/>
  <c r="L84"/>
  <c r="L82"/>
  <c r="L87"/>
  <c r="L83"/>
  <c r="L85"/>
  <c r="H38"/>
  <c r="H34"/>
  <c r="H36"/>
  <c r="H32"/>
  <c r="H37"/>
  <c r="H35"/>
  <c r="H33"/>
  <c r="F115"/>
  <c r="F111"/>
  <c r="F110"/>
  <c r="F113"/>
  <c r="F109"/>
  <c r="F114"/>
  <c r="F112"/>
  <c r="P102"/>
  <c r="P105"/>
  <c r="P103"/>
  <c r="P107"/>
  <c r="P108"/>
  <c r="P106"/>
  <c r="P104"/>
  <c r="P111" i="29"/>
  <c r="P113"/>
  <c r="P112"/>
  <c r="P110"/>
  <c r="P109"/>
  <c r="P108"/>
  <c r="P114"/>
  <c r="R109"/>
  <c r="R110"/>
  <c r="R108"/>
  <c r="R113"/>
  <c r="R111"/>
  <c r="R112"/>
  <c r="R114"/>
  <c r="F121"/>
  <c r="F116"/>
  <c r="F118"/>
  <c r="F119"/>
  <c r="F117"/>
  <c r="F115"/>
  <c r="F120"/>
  <c r="L127" i="21"/>
  <c r="L124"/>
  <c r="L126"/>
  <c r="L129"/>
  <c r="L128"/>
  <c r="L125"/>
  <c r="L123"/>
  <c r="L33"/>
  <c r="L38"/>
  <c r="L34"/>
  <c r="L36"/>
  <c r="L35"/>
  <c r="L37"/>
  <c r="L32"/>
  <c r="E106" i="29"/>
  <c r="E104"/>
  <c r="E102"/>
  <c r="E103"/>
  <c r="E107"/>
  <c r="E105"/>
  <c r="E101"/>
  <c r="O112"/>
  <c r="O110"/>
  <c r="O108"/>
  <c r="O109"/>
  <c r="O113"/>
  <c r="O111"/>
  <c r="O114"/>
  <c r="L111" i="21"/>
  <c r="L109"/>
  <c r="L114"/>
  <c r="L113"/>
  <c r="L110"/>
  <c r="L115"/>
  <c r="L112"/>
  <c r="D117" i="29"/>
  <c r="D118"/>
  <c r="D120"/>
  <c r="D115"/>
  <c r="D116"/>
  <c r="D121"/>
  <c r="D119"/>
  <c r="E31" i="21"/>
  <c r="E26"/>
  <c r="E30"/>
  <c r="E28"/>
  <c r="E25"/>
  <c r="E29"/>
  <c r="E27"/>
  <c r="N116"/>
  <c r="N120"/>
  <c r="N118"/>
  <c r="N122"/>
  <c r="N119"/>
  <c r="N121"/>
  <c r="N117"/>
  <c r="I17"/>
  <c r="I12"/>
  <c r="I11"/>
  <c r="I13"/>
  <c r="I14"/>
  <c r="I16"/>
  <c r="I15"/>
  <c r="J114"/>
  <c r="J115"/>
  <c r="J112"/>
  <c r="J110"/>
  <c r="J109"/>
  <c r="J111"/>
  <c r="J113"/>
  <c r="K58"/>
  <c r="K55"/>
  <c r="K54"/>
  <c r="K56"/>
  <c r="K59"/>
  <c r="K57"/>
  <c r="K53"/>
  <c r="G19"/>
  <c r="G18"/>
  <c r="G24"/>
  <c r="G21"/>
  <c r="G23"/>
  <c r="G20"/>
  <c r="G22"/>
  <c r="Q34"/>
  <c r="Q36"/>
  <c r="Q37"/>
  <c r="Q33"/>
  <c r="Q35"/>
  <c r="Q38"/>
  <c r="Q32"/>
  <c r="R65"/>
  <c r="R61"/>
  <c r="R62"/>
  <c r="R66"/>
  <c r="R63"/>
  <c r="R64"/>
  <c r="R60"/>
  <c r="F62"/>
  <c r="F66"/>
  <c r="F60"/>
  <c r="F64"/>
  <c r="F65"/>
  <c r="F63"/>
  <c r="F61"/>
  <c r="D30"/>
  <c r="D26"/>
  <c r="D31"/>
  <c r="D27"/>
  <c r="D28"/>
  <c r="D25"/>
  <c r="D29"/>
  <c r="C90"/>
  <c r="C91"/>
  <c r="C93"/>
  <c r="C89"/>
  <c r="C94"/>
  <c r="C92"/>
  <c r="C88"/>
  <c r="C101"/>
  <c r="C98"/>
  <c r="C96"/>
  <c r="C97"/>
  <c r="C100"/>
  <c r="C99"/>
  <c r="C95"/>
  <c r="C17"/>
  <c r="C15"/>
  <c r="C13"/>
  <c r="C12"/>
  <c r="C16"/>
  <c r="C11"/>
  <c r="C14"/>
  <c r="O124"/>
  <c r="O128"/>
  <c r="O123"/>
  <c r="O129"/>
  <c r="O126"/>
  <c r="O127"/>
  <c r="O125"/>
  <c r="I47"/>
  <c r="I51"/>
  <c r="I52"/>
  <c r="I48"/>
  <c r="I50"/>
  <c r="I46"/>
  <c r="I49"/>
  <c r="F88"/>
  <c r="F92"/>
  <c r="F94"/>
  <c r="F90"/>
  <c r="F89"/>
  <c r="F91"/>
  <c r="F93"/>
  <c r="M80"/>
  <c r="M77"/>
  <c r="M75"/>
  <c r="M76"/>
  <c r="M79"/>
  <c r="M74"/>
  <c r="M78"/>
  <c r="G73"/>
  <c r="G70"/>
  <c r="G71"/>
  <c r="G69"/>
  <c r="G68"/>
  <c r="G72"/>
  <c r="G67"/>
  <c r="M16"/>
  <c r="M11"/>
  <c r="M13"/>
  <c r="M15"/>
  <c r="M14"/>
  <c r="M12"/>
  <c r="M17"/>
  <c r="O100"/>
  <c r="O95"/>
  <c r="O99"/>
  <c r="O96"/>
  <c r="O97"/>
  <c r="O98"/>
  <c r="O101"/>
  <c r="H110"/>
  <c r="H112"/>
  <c r="H114"/>
  <c r="H113"/>
  <c r="H111"/>
  <c r="H109"/>
  <c r="H115"/>
  <c r="F54"/>
  <c r="F57"/>
  <c r="F59"/>
  <c r="F56"/>
  <c r="F53"/>
  <c r="F55"/>
  <c r="F58"/>
  <c r="R42"/>
  <c r="R43"/>
  <c r="R39"/>
  <c r="R44"/>
  <c r="R40"/>
  <c r="R45"/>
  <c r="R41"/>
  <c r="K23"/>
  <c r="K24"/>
  <c r="K20"/>
  <c r="K22"/>
  <c r="K21"/>
  <c r="K18"/>
  <c r="K19"/>
  <c r="H127"/>
  <c r="H125"/>
  <c r="H126"/>
  <c r="H128"/>
  <c r="H129"/>
  <c r="H123"/>
  <c r="H124"/>
  <c r="C65"/>
  <c r="C62"/>
  <c r="C66"/>
  <c r="C64"/>
  <c r="C60"/>
  <c r="C61"/>
  <c r="C63"/>
  <c r="M18"/>
  <c r="M20"/>
  <c r="M19"/>
  <c r="M23"/>
  <c r="M24"/>
  <c r="M21"/>
  <c r="M22"/>
  <c r="Q78"/>
  <c r="Q80"/>
  <c r="Q74"/>
  <c r="Q76"/>
  <c r="Q79"/>
  <c r="Q77"/>
  <c r="Q75"/>
  <c r="P87"/>
  <c r="P82"/>
  <c r="P84"/>
  <c r="P86"/>
  <c r="P85"/>
  <c r="P83"/>
  <c r="P81"/>
  <c r="O65"/>
  <c r="O64"/>
  <c r="O60"/>
  <c r="O63"/>
  <c r="O62"/>
  <c r="O61"/>
  <c r="O66"/>
  <c r="F41"/>
  <c r="F39"/>
  <c r="F43"/>
  <c r="F42"/>
  <c r="F45"/>
  <c r="F40"/>
  <c r="F44"/>
  <c r="K25"/>
  <c r="K30"/>
  <c r="K31"/>
  <c r="K27"/>
  <c r="K26"/>
  <c r="K29"/>
  <c r="K28"/>
  <c r="J60"/>
  <c r="J65"/>
  <c r="J61"/>
  <c r="J62"/>
  <c r="J66"/>
  <c r="J63"/>
  <c r="J64"/>
  <c r="G58"/>
  <c r="G54"/>
  <c r="G59"/>
  <c r="G55"/>
  <c r="G56"/>
  <c r="G57"/>
  <c r="G53"/>
  <c r="G35"/>
  <c r="G33"/>
  <c r="G37"/>
  <c r="G34"/>
  <c r="G36"/>
  <c r="G38"/>
  <c r="G32"/>
  <c r="I94"/>
  <c r="I92"/>
  <c r="I88"/>
  <c r="I90"/>
  <c r="I93"/>
  <c r="I91"/>
  <c r="I89"/>
  <c r="E117"/>
  <c r="E118"/>
  <c r="E122"/>
  <c r="E121"/>
  <c r="E116"/>
  <c r="E120"/>
  <c r="E119"/>
  <c r="I123"/>
  <c r="I125"/>
  <c r="I126"/>
  <c r="I127"/>
  <c r="I129"/>
  <c r="I128"/>
  <c r="I124"/>
  <c r="P17"/>
  <c r="P13"/>
  <c r="P16"/>
  <c r="P11"/>
  <c r="P15"/>
  <c r="P14"/>
  <c r="P12"/>
  <c r="N71"/>
  <c r="N69"/>
  <c r="N70"/>
  <c r="N73"/>
  <c r="N67"/>
  <c r="N68"/>
  <c r="N72"/>
  <c r="D18"/>
  <c r="D22"/>
  <c r="D19"/>
  <c r="D21"/>
  <c r="D24"/>
  <c r="D20"/>
  <c r="D23"/>
  <c r="I69"/>
  <c r="I73"/>
  <c r="I71"/>
  <c r="I68"/>
  <c r="I67"/>
  <c r="I72"/>
  <c r="I70"/>
  <c r="G30"/>
  <c r="G26"/>
  <c r="G25"/>
  <c r="G29"/>
  <c r="G31"/>
  <c r="G28"/>
  <c r="G27"/>
  <c r="G123"/>
  <c r="G126"/>
  <c r="G125"/>
  <c r="G128"/>
  <c r="G127"/>
  <c r="G124"/>
  <c r="G129"/>
  <c r="H63"/>
  <c r="H61"/>
  <c r="H62"/>
  <c r="H66"/>
  <c r="H60"/>
  <c r="H64"/>
  <c r="H65"/>
  <c r="C102"/>
  <c r="C105"/>
  <c r="C106"/>
  <c r="C104"/>
  <c r="C108"/>
  <c r="C103"/>
  <c r="C107"/>
  <c r="D97"/>
  <c r="D95"/>
  <c r="D96"/>
  <c r="D98"/>
  <c r="D99"/>
  <c r="D101"/>
  <c r="D100"/>
  <c r="J46"/>
  <c r="J48"/>
  <c r="J51"/>
  <c r="J52"/>
  <c r="J49"/>
  <c r="J47"/>
  <c r="J50"/>
  <c r="Q18"/>
  <c r="Q19"/>
  <c r="Q20"/>
  <c r="Q24"/>
  <c r="Q22"/>
  <c r="Q21"/>
  <c r="Q23"/>
  <c r="R24"/>
  <c r="R21"/>
  <c r="R23"/>
  <c r="R18"/>
  <c r="R19"/>
  <c r="R22"/>
  <c r="R20"/>
  <c r="I24"/>
  <c r="I22"/>
  <c r="I20"/>
  <c r="I18"/>
  <c r="I21"/>
  <c r="I23"/>
  <c r="I19"/>
  <c r="Q52"/>
  <c r="Q47"/>
  <c r="Q49"/>
  <c r="Q51"/>
  <c r="Q46"/>
  <c r="Q50"/>
  <c r="Q48"/>
  <c r="O31"/>
  <c r="O27"/>
  <c r="O29"/>
  <c r="O26"/>
  <c r="O25"/>
  <c r="O30"/>
  <c r="O28"/>
  <c r="F16"/>
  <c r="F11"/>
  <c r="F15"/>
  <c r="F17"/>
  <c r="F12"/>
  <c r="F14"/>
  <c r="F13"/>
  <c r="K101"/>
  <c r="K97"/>
  <c r="K99"/>
  <c r="K98"/>
  <c r="K100"/>
  <c r="K95"/>
  <c r="K96"/>
  <c r="O68"/>
  <c r="O69"/>
  <c r="O72"/>
  <c r="O67"/>
  <c r="O71"/>
  <c r="O73"/>
  <c r="O70"/>
  <c r="D41"/>
  <c r="D44"/>
  <c r="D45"/>
  <c r="D42"/>
  <c r="D39"/>
  <c r="D40"/>
  <c r="D43"/>
  <c r="R112"/>
  <c r="R114"/>
  <c r="R113"/>
  <c r="R115"/>
  <c r="R110"/>
  <c r="R109"/>
  <c r="R111"/>
  <c r="P100"/>
  <c r="P96"/>
  <c r="P98"/>
  <c r="P95"/>
  <c r="P99"/>
  <c r="P101"/>
  <c r="P97"/>
  <c r="J37"/>
  <c r="J34"/>
  <c r="J32"/>
  <c r="J36"/>
  <c r="J33"/>
  <c r="J35"/>
  <c r="J38"/>
  <c r="E16"/>
  <c r="E12"/>
  <c r="E17"/>
  <c r="E13"/>
  <c r="E14"/>
  <c r="E15"/>
  <c r="E11"/>
  <c r="R50"/>
  <c r="R52"/>
  <c r="R47"/>
  <c r="R49"/>
  <c r="R51"/>
  <c r="R48"/>
  <c r="R46"/>
  <c r="M43"/>
  <c r="M44"/>
  <c r="M40"/>
  <c r="M39"/>
  <c r="M42"/>
  <c r="M45"/>
  <c r="M41"/>
  <c r="R81"/>
  <c r="R83"/>
  <c r="R86"/>
  <c r="R85"/>
  <c r="R87"/>
  <c r="R84"/>
  <c r="R82"/>
  <c r="D37"/>
  <c r="D35"/>
  <c r="D38"/>
  <c r="D36"/>
  <c r="D34"/>
  <c r="D32"/>
  <c r="D33"/>
  <c r="L52"/>
  <c r="L47"/>
  <c r="L51"/>
  <c r="L46"/>
  <c r="L50"/>
  <c r="L49"/>
  <c r="L48"/>
  <c r="J129"/>
  <c r="J124"/>
  <c r="J126"/>
  <c r="J125"/>
  <c r="J128"/>
  <c r="J123"/>
  <c r="J127"/>
  <c r="I45"/>
  <c r="I41"/>
  <c r="I44"/>
  <c r="I39"/>
  <c r="I40"/>
  <c r="I43"/>
  <c r="I42"/>
  <c r="O89"/>
  <c r="O93"/>
  <c r="O90"/>
  <c r="O91"/>
  <c r="O92"/>
  <c r="O88"/>
  <c r="O94"/>
  <c r="K89"/>
  <c r="K93"/>
  <c r="K88"/>
  <c r="K90"/>
  <c r="K92"/>
  <c r="K91"/>
  <c r="K94"/>
  <c r="H27"/>
  <c r="H28"/>
  <c r="H25"/>
  <c r="H30"/>
  <c r="H31"/>
  <c r="H29"/>
  <c r="H26"/>
  <c r="D119"/>
  <c r="D122"/>
  <c r="D121"/>
  <c r="D120"/>
  <c r="D116"/>
  <c r="D118"/>
  <c r="D117"/>
  <c r="L101"/>
  <c r="L95"/>
  <c r="L99"/>
  <c r="L100"/>
  <c r="L98"/>
  <c r="L96"/>
  <c r="L97"/>
  <c r="M83"/>
  <c r="M84"/>
  <c r="M82"/>
  <c r="M81"/>
  <c r="M86"/>
  <c r="M85"/>
  <c r="M87"/>
  <c r="I97"/>
  <c r="I95"/>
  <c r="I96"/>
  <c r="I101"/>
  <c r="I100"/>
  <c r="I98"/>
  <c r="I99"/>
  <c r="D124"/>
  <c r="D126"/>
  <c r="D123"/>
  <c r="D128"/>
  <c r="D127"/>
  <c r="D125"/>
  <c r="D129"/>
  <c r="F122"/>
  <c r="F116"/>
  <c r="F121"/>
  <c r="F119"/>
  <c r="F120"/>
  <c r="F117"/>
  <c r="F118"/>
  <c r="E86"/>
  <c r="E83"/>
  <c r="E84"/>
  <c r="E87"/>
  <c r="E85"/>
  <c r="E81"/>
  <c r="E82"/>
  <c r="M116"/>
  <c r="M118"/>
  <c r="M122"/>
  <c r="M117"/>
  <c r="M120"/>
  <c r="M119"/>
  <c r="M121"/>
  <c r="P62"/>
  <c r="P66"/>
  <c r="P63"/>
  <c r="P64"/>
  <c r="P60"/>
  <c r="P65"/>
  <c r="P61"/>
  <c r="K64"/>
  <c r="K60"/>
  <c r="K63"/>
  <c r="K61"/>
  <c r="K62"/>
  <c r="K66"/>
  <c r="K65"/>
  <c r="Q109"/>
  <c r="Q115"/>
  <c r="Q113"/>
  <c r="Q111"/>
  <c r="Q114"/>
  <c r="Q110"/>
  <c r="Q112"/>
  <c r="H70"/>
  <c r="H71"/>
  <c r="H67"/>
  <c r="H73"/>
  <c r="H68"/>
  <c r="H69"/>
  <c r="H72"/>
  <c r="D115"/>
  <c r="D112"/>
  <c r="D111"/>
  <c r="D113"/>
  <c r="D110"/>
  <c r="D114"/>
  <c r="D109"/>
  <c r="N93"/>
  <c r="N89"/>
  <c r="N91"/>
  <c r="N94"/>
  <c r="N90"/>
  <c r="N92"/>
  <c r="N88"/>
  <c r="G90"/>
  <c r="G94"/>
  <c r="G93"/>
  <c r="G88"/>
  <c r="G89"/>
  <c r="G92"/>
  <c r="G91"/>
  <c r="O58"/>
  <c r="O57"/>
  <c r="O59"/>
  <c r="O56"/>
  <c r="O54"/>
  <c r="O53"/>
  <c r="O55"/>
  <c r="F124"/>
  <c r="F129"/>
  <c r="F126"/>
  <c r="F125"/>
  <c r="F123"/>
  <c r="F127"/>
  <c r="F128"/>
  <c r="H121"/>
  <c r="H118"/>
  <c r="H117"/>
  <c r="H122"/>
  <c r="H119"/>
  <c r="H120"/>
  <c r="H116"/>
  <c r="N51"/>
  <c r="N47"/>
  <c r="N52"/>
  <c r="N49"/>
  <c r="N48"/>
  <c r="N46"/>
  <c r="N50"/>
  <c r="N127"/>
  <c r="N125"/>
  <c r="N123"/>
  <c r="N126"/>
  <c r="N128"/>
  <c r="N129"/>
  <c r="N124"/>
  <c r="C112"/>
  <c r="C109"/>
  <c r="C110"/>
  <c r="C115"/>
  <c r="C113"/>
  <c r="C111"/>
  <c r="C114"/>
  <c r="J58"/>
  <c r="J54"/>
  <c r="J57"/>
  <c r="J55"/>
  <c r="J56"/>
  <c r="J59"/>
  <c r="J53"/>
  <c r="P23"/>
  <c r="P24"/>
  <c r="P20"/>
  <c r="P19"/>
  <c r="P22"/>
  <c r="P18"/>
  <c r="P21"/>
  <c r="C84"/>
  <c r="C81"/>
  <c r="C82"/>
  <c r="C85"/>
  <c r="C83"/>
  <c r="C86"/>
  <c r="C87"/>
  <c r="Q62"/>
  <c r="Q65"/>
  <c r="Q61"/>
  <c r="Q60"/>
  <c r="Q66"/>
  <c r="Q64"/>
  <c r="Q63"/>
  <c r="N79"/>
  <c r="N80"/>
  <c r="N75"/>
  <c r="N76"/>
  <c r="N77"/>
  <c r="N74"/>
  <c r="N78"/>
  <c r="G77"/>
  <c r="G79"/>
  <c r="G76"/>
  <c r="G78"/>
  <c r="G74"/>
  <c r="G75"/>
  <c r="G80"/>
  <c r="P27"/>
  <c r="P28"/>
  <c r="P26"/>
  <c r="P25"/>
  <c r="P30"/>
  <c r="P31"/>
  <c r="P29"/>
  <c r="N11"/>
  <c r="N13"/>
  <c r="N14"/>
  <c r="N15"/>
  <c r="N17"/>
  <c r="N12"/>
  <c r="N16"/>
  <c r="M124"/>
  <c r="M129"/>
  <c r="M128"/>
  <c r="M127"/>
  <c r="M123"/>
  <c r="M125"/>
  <c r="M126"/>
  <c r="R107"/>
  <c r="R102"/>
  <c r="R106"/>
  <c r="R108"/>
  <c r="R103"/>
  <c r="R104"/>
  <c r="R105"/>
  <c r="E80"/>
  <c r="E78"/>
  <c r="E79"/>
  <c r="E75"/>
  <c r="E76"/>
  <c r="E74"/>
  <c r="E77"/>
  <c r="K48"/>
  <c r="K50"/>
  <c r="K46"/>
  <c r="K52"/>
  <c r="K49"/>
  <c r="K47"/>
  <c r="K51"/>
  <c r="Q126"/>
  <c r="Q123"/>
  <c r="Q124"/>
  <c r="Q127"/>
  <c r="Q125"/>
  <c r="Q128"/>
  <c r="Q129"/>
  <c r="C67"/>
  <c r="C71"/>
  <c r="C73"/>
  <c r="C68"/>
  <c r="C72"/>
  <c r="C70"/>
  <c r="C69"/>
  <c r="D91"/>
  <c r="D90"/>
  <c r="D94"/>
  <c r="D89"/>
  <c r="D88"/>
  <c r="D92"/>
  <c r="D93"/>
  <c r="M96"/>
  <c r="M97"/>
  <c r="M98"/>
  <c r="M101"/>
  <c r="M100"/>
  <c r="M95"/>
  <c r="M99"/>
  <c r="M60"/>
  <c r="M63"/>
  <c r="M65"/>
  <c r="M62"/>
  <c r="M66"/>
  <c r="M61"/>
  <c r="M64"/>
  <c r="E90"/>
  <c r="E89"/>
  <c r="E91"/>
  <c r="E94"/>
  <c r="E93"/>
  <c r="E88"/>
  <c r="E92"/>
  <c r="M113"/>
  <c r="M115"/>
  <c r="M110"/>
  <c r="M112"/>
  <c r="M111"/>
  <c r="M109"/>
  <c r="M114"/>
  <c r="K127"/>
  <c r="K126"/>
  <c r="K128"/>
  <c r="K125"/>
  <c r="K123"/>
  <c r="K129"/>
  <c r="K124"/>
  <c r="Q91"/>
  <c r="Q93"/>
  <c r="Q88"/>
  <c r="Q94"/>
  <c r="Q92"/>
  <c r="Q90"/>
  <c r="Q89"/>
  <c r="N20"/>
  <c r="N24"/>
  <c r="N21"/>
  <c r="N22"/>
  <c r="N19"/>
  <c r="N23"/>
  <c r="N18"/>
  <c r="Q56"/>
  <c r="Q57"/>
  <c r="Q55"/>
  <c r="Q59"/>
  <c r="Q58"/>
  <c r="Q54"/>
  <c r="Q53"/>
  <c r="Q106"/>
  <c r="Q103"/>
  <c r="Q104"/>
  <c r="Q102"/>
  <c r="Q108"/>
  <c r="Q107"/>
  <c r="Q105"/>
  <c r="G63"/>
  <c r="G64"/>
  <c r="G65"/>
  <c r="G66"/>
  <c r="G62"/>
  <c r="G60"/>
  <c r="G61"/>
  <c r="O78"/>
  <c r="O79"/>
  <c r="O74"/>
  <c r="O75"/>
  <c r="O76"/>
  <c r="O80"/>
  <c r="O77"/>
  <c r="E34"/>
  <c r="E32"/>
  <c r="E37"/>
  <c r="E33"/>
  <c r="E38"/>
  <c r="E36"/>
  <c r="E35"/>
  <c r="L59"/>
  <c r="L56"/>
  <c r="L55"/>
  <c r="L54"/>
  <c r="L58"/>
  <c r="L57"/>
  <c r="L53"/>
  <c r="O33"/>
  <c r="O38"/>
  <c r="O37"/>
  <c r="O34"/>
  <c r="O32"/>
  <c r="O36"/>
  <c r="O35"/>
  <c r="J87"/>
  <c r="J85"/>
  <c r="J84"/>
  <c r="J82"/>
  <c r="J86"/>
  <c r="J81"/>
  <c r="J83"/>
  <c r="K122"/>
  <c r="K117"/>
  <c r="K119"/>
  <c r="K116"/>
  <c r="K121"/>
  <c r="K120"/>
  <c r="K118"/>
  <c r="C124"/>
  <c r="C123"/>
  <c r="C129"/>
  <c r="C126"/>
  <c r="C127"/>
  <c r="C125"/>
  <c r="C128"/>
  <c r="F31"/>
  <c r="F27"/>
  <c r="F28"/>
  <c r="F26"/>
  <c r="F29"/>
  <c r="F25"/>
  <c r="F30"/>
  <c r="N102"/>
  <c r="N107"/>
  <c r="N104"/>
  <c r="N103"/>
  <c r="N108"/>
  <c r="N106"/>
  <c r="N105"/>
  <c r="O116"/>
  <c r="O119"/>
  <c r="O120"/>
  <c r="O118"/>
  <c r="O117"/>
  <c r="O121"/>
  <c r="O122"/>
  <c r="C116"/>
  <c r="C120"/>
  <c r="C118"/>
  <c r="C121"/>
  <c r="C122"/>
  <c r="C119"/>
  <c r="C117"/>
  <c r="R97"/>
  <c r="R101"/>
  <c r="R99"/>
  <c r="R98"/>
  <c r="R96"/>
  <c r="R95"/>
  <c r="R100"/>
  <c r="O112"/>
  <c r="O109"/>
  <c r="O113"/>
  <c r="O114"/>
  <c r="O110"/>
  <c r="O115"/>
  <c r="O111"/>
  <c r="L11"/>
  <c r="L13"/>
  <c r="L15"/>
  <c r="L17"/>
  <c r="L12"/>
  <c r="L14"/>
  <c r="L16"/>
  <c r="C42"/>
  <c r="C45"/>
  <c r="C41"/>
  <c r="C40"/>
  <c r="C39"/>
  <c r="C44"/>
  <c r="C43"/>
  <c r="J95"/>
  <c r="J100"/>
  <c r="J96"/>
  <c r="J97"/>
  <c r="J101"/>
  <c r="J98"/>
  <c r="J99"/>
  <c r="Q69"/>
  <c r="Q70"/>
  <c r="Q68"/>
  <c r="Q71"/>
  <c r="Q67"/>
  <c r="Q73"/>
  <c r="Q72"/>
  <c r="K77"/>
  <c r="K75"/>
  <c r="K76"/>
  <c r="K78"/>
  <c r="K80"/>
  <c r="K79"/>
  <c r="K74"/>
  <c r="F97"/>
  <c r="F96"/>
  <c r="F100"/>
  <c r="F95"/>
  <c r="F98"/>
  <c r="F101"/>
  <c r="F99"/>
  <c r="H58"/>
  <c r="H54"/>
  <c r="H55"/>
  <c r="H57"/>
  <c r="H56"/>
  <c r="H59"/>
  <c r="H53"/>
  <c r="P51"/>
  <c r="P47"/>
  <c r="P50"/>
  <c r="P52"/>
  <c r="P46"/>
  <c r="P48"/>
  <c r="P49"/>
  <c r="Q42"/>
  <c r="Q40"/>
  <c r="Q41"/>
  <c r="Q44"/>
  <c r="Q45"/>
  <c r="Q43"/>
  <c r="Q39"/>
</calcChain>
</file>

<file path=xl/comments1.xml><?xml version="1.0" encoding="utf-8"?>
<comments xmlns="http://schemas.openxmlformats.org/spreadsheetml/2006/main">
  <authors>
    <author>jmarks</author>
    <author>Alicia A. Diaz</author>
    <author>Lee, Cynthia M.</author>
    <author>adiaz</author>
  </authors>
  <commentList>
    <comment ref="B162" authorId="0">
      <text>
        <r>
          <rPr>
            <b/>
            <sz val="10"/>
            <color indexed="10"/>
            <rFont val="Tahoma"/>
            <family val="2"/>
          </rPr>
          <t>jmarks:</t>
        </r>
        <r>
          <rPr>
            <sz val="10"/>
            <color indexed="10"/>
            <rFont val="Tahoma"/>
            <family val="2"/>
          </rPr>
          <t xml:space="preserve">
</t>
        </r>
        <r>
          <rPr>
            <b/>
            <sz val="10"/>
            <color indexed="10"/>
            <rFont val="Tahoma"/>
            <family val="2"/>
          </rPr>
          <t>Now includes former Appalachian Technical College and North Metro Technical College.</t>
        </r>
      </text>
    </comment>
    <comment ref="B165" authorId="0">
      <text>
        <r>
          <rPr>
            <b/>
            <sz val="10"/>
            <color indexed="10"/>
            <rFont val="Tahoma"/>
            <family val="2"/>
          </rPr>
          <t>jmarks:</t>
        </r>
        <r>
          <rPr>
            <sz val="10"/>
            <color indexed="10"/>
            <rFont val="Tahoma"/>
            <family val="2"/>
          </rPr>
          <t xml:space="preserve">
</t>
        </r>
        <r>
          <rPr>
            <b/>
            <sz val="10"/>
            <color indexed="10"/>
            <rFont val="Tahoma"/>
            <family val="2"/>
          </rPr>
          <t>Is the merger of Coosa Valley Technical College and Northwestern Technical College.</t>
        </r>
      </text>
    </comment>
    <comment ref="B176" authorId="1">
      <text>
        <r>
          <rPr>
            <b/>
            <sz val="10"/>
            <color indexed="10"/>
            <rFont val="Tahoma"/>
            <family val="2"/>
          </rPr>
          <t>Reclassified: Meets the criteria for a Technical Institute or College 1, and Now includes former Swainsboro Technical College.</t>
        </r>
      </text>
    </comment>
    <comment ref="B179" authorId="0">
      <text>
        <r>
          <rPr>
            <b/>
            <sz val="10"/>
            <color indexed="10"/>
            <rFont val="Tahoma"/>
            <family val="2"/>
          </rPr>
          <t>jmarks:
Is the merger of West Georgia Technical College and West Central Technical College.</t>
        </r>
      </text>
    </comment>
    <comment ref="AJ180" authorId="2">
      <text>
        <r>
          <rPr>
            <b/>
            <sz val="8"/>
            <color indexed="81"/>
            <rFont val="Tahoma"/>
            <family val="2"/>
          </rPr>
          <t>Lee, Cynthia M.:</t>
        </r>
        <r>
          <rPr>
            <sz val="8"/>
            <color indexed="81"/>
            <rFont val="Tahoma"/>
            <family val="2"/>
          </rPr>
          <t xml:space="preserve">
East Central figures copied from above</t>
        </r>
      </text>
    </comment>
    <comment ref="BU180" authorId="2">
      <text>
        <r>
          <rPr>
            <b/>
            <sz val="8"/>
            <color indexed="81"/>
            <rFont val="Tahoma"/>
            <family val="2"/>
          </rPr>
          <t>jmarks:
Weighted Average: Look in cell for formula. Southern Crescent and Wiregrass</t>
        </r>
        <r>
          <rPr>
            <sz val="8"/>
            <color indexed="81"/>
            <rFont val="Tahoma"/>
            <family val="2"/>
          </rPr>
          <t xml:space="preserve">
</t>
        </r>
      </text>
    </comment>
    <comment ref="B238" authorId="0">
      <text>
        <r>
          <rPr>
            <b/>
            <sz val="10"/>
            <color indexed="81"/>
            <rFont val="Tahoma"/>
            <family val="2"/>
          </rPr>
          <t>jmarks:</t>
        </r>
        <r>
          <rPr>
            <sz val="10"/>
            <color indexed="81"/>
            <rFont val="Tahoma"/>
            <family val="2"/>
          </rPr>
          <t xml:space="preserve">
Met the criteria for Technical Institute or College 1 in 2009-10.</t>
        </r>
      </text>
    </comment>
    <comment ref="A305" author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AJ305" authorId="3">
      <text>
        <r>
          <rPr>
            <b/>
            <sz val="8"/>
            <color indexed="81"/>
            <rFont val="Tahoma"/>
            <family val="2"/>
          </rPr>
          <t>Faculty Salary:  Three colleges had very large increases.  I checked with these colleges and they restructured their faculty salary plan and moved everyone from 11-12 month contracts to 9 month contracts and kept their salaries the same.  The colleges were determined to increase their average closer to the national average.  The figures are legitimate.  Those colleges were Catawba Valley CC, Martin CC, and McDowell CC.</t>
        </r>
      </text>
    </comment>
  </commentList>
</comments>
</file>

<file path=xl/sharedStrings.xml><?xml version="1.0" encoding="utf-8"?>
<sst xmlns="http://schemas.openxmlformats.org/spreadsheetml/2006/main" count="4919" uniqueCount="1169">
  <si>
    <t>Northwest Florida State College</t>
  </si>
  <si>
    <t xml:space="preserve">Edison State College </t>
  </si>
  <si>
    <t xml:space="preserve">College of Coastal Georgia </t>
  </si>
  <si>
    <t>North Carolina A&amp;T State University</t>
  </si>
  <si>
    <t xml:space="preserve">Longwood University </t>
  </si>
  <si>
    <t>West Liberty University</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</si>
  <si>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</si>
  <si>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</si>
  <si>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</si>
  <si>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</si>
  <si>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</si>
  <si>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</si>
  <si>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</si>
  <si>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</si>
  <si>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</si>
  <si>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</si>
  <si>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</si>
  <si>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</si>
  <si>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</si>
  <si>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</si>
  <si>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</si>
  <si>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</si>
  <si>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</si>
  <si>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</si>
  <si>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</si>
  <si>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</si>
  <si>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</si>
  <si>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</si>
  <si>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</si>
  <si>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</si>
  <si>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</si>
  <si>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</si>
  <si>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</si>
  <si>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</si>
  <si>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</si>
  <si>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</si>
  <si>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</si>
  <si>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</si>
  <si>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</si>
  <si>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</si>
  <si>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</si>
  <si>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</si>
  <si>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</si>
  <si>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</si>
  <si>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</si>
  <si>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</si>
  <si>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</si>
  <si>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</si>
  <si>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</si>
  <si>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</si>
  <si>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</si>
  <si>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</si>
  <si>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</si>
  <si>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</si>
  <si>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</si>
  <si>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</si>
  <si>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</si>
  <si>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</si>
  <si>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</si>
  <si>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</si>
  <si>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</si>
  <si>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</si>
  <si>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</si>
  <si>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</si>
  <si>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Midwestern State University</t>
  </si>
  <si>
    <t xml:space="preserve">Sam Houston State University </t>
  </si>
  <si>
    <t>Stephen F. Austin State University</t>
  </si>
  <si>
    <t xml:space="preserve">Sul Ross State University </t>
  </si>
  <si>
    <t>Tarleton State University</t>
  </si>
  <si>
    <t xml:space="preserve">Texas Southern University </t>
  </si>
  <si>
    <t xml:space="preserve">University of Houston-Clear Lake </t>
  </si>
  <si>
    <t>University of Texas at El Paso</t>
  </si>
  <si>
    <t>University of Texas at San Antonio</t>
  </si>
  <si>
    <t>University of Texas at Tyler</t>
  </si>
  <si>
    <t>University of Texas-Pan American</t>
  </si>
  <si>
    <t>University of Texas at Brownsville</t>
  </si>
  <si>
    <t>University of Texas of the Permian Basin</t>
  </si>
  <si>
    <t>Sul Ross State University-Rio Grande College</t>
  </si>
  <si>
    <t>University of Houston-Downtown</t>
  </si>
  <si>
    <t>University of Houston-Victoria</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</si>
  <si>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</si>
  <si>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</si>
  <si>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</si>
  <si>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</si>
  <si>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</si>
  <si>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</si>
  <si>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</si>
  <si>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</si>
  <si>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</si>
  <si>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 xml:space="preserve">McLennan Community College </t>
  </si>
  <si>
    <t>Northwest Vista College (ACCD)</t>
  </si>
  <si>
    <t>Palo Alto College (ACCD)</t>
  </si>
  <si>
    <t>San Antonio College (ACCD)</t>
  </si>
  <si>
    <t xml:space="preserve">South Plains College </t>
  </si>
  <si>
    <t>South Texas College</t>
  </si>
  <si>
    <t xml:space="preserve">Texas Southmost College </t>
  </si>
  <si>
    <t xml:space="preserve">Tyler Junior College </t>
  </si>
  <si>
    <t xml:space="preserve">Alvin Community College </t>
  </si>
  <si>
    <t xml:space="preserve">Angelina College </t>
  </si>
  <si>
    <t xml:space="preserve">Brazosport College </t>
  </si>
  <si>
    <t xml:space="preserve">Cisco Junior College </t>
  </si>
  <si>
    <t>Coastal Bend College</t>
  </si>
  <si>
    <t>NOT A Review Table</t>
  </si>
  <si>
    <t>College of the Mainland</t>
  </si>
  <si>
    <t>El Centro College  (DCCCD)</t>
  </si>
  <si>
    <t xml:space="preserve">Grayson County College </t>
  </si>
  <si>
    <t>Hill College</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</si>
  <si>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</si>
  <si>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</si>
  <si>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</si>
  <si>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</si>
  <si>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</si>
  <si>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</si>
  <si>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</si>
  <si>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</si>
  <si>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</si>
  <si>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</si>
  <si>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</si>
  <si>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</si>
  <si>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</si>
  <si>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</si>
  <si>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</si>
  <si>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</si>
  <si>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</si>
  <si>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</si>
  <si>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</si>
  <si>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</si>
  <si>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</si>
  <si>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</si>
  <si>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</si>
  <si>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University of Arkansas at Fort Smith</t>
  </si>
  <si>
    <t xml:space="preserve">Moore Norman Technology Center                    </t>
  </si>
  <si>
    <t xml:space="preserve">Canadian Valley Technology Center                 </t>
  </si>
  <si>
    <t>Northeast Lakeview College (ACCD)</t>
  </si>
  <si>
    <t>Fairmont State University</t>
  </si>
  <si>
    <t>Potomac State College of West Virginia University</t>
  </si>
  <si>
    <t xml:space="preserve">Southern West Virginia Community &amp; Technical College </t>
  </si>
  <si>
    <t>Lamar State College-Orange</t>
  </si>
  <si>
    <t xml:space="preserve">Northeast Texas Community College </t>
  </si>
  <si>
    <t>Panola College</t>
  </si>
  <si>
    <t xml:space="preserve">Ranger College </t>
  </si>
  <si>
    <t>Texas State Technical College-Marshall</t>
  </si>
  <si>
    <t>Texas State Technical College-West Texas</t>
  </si>
  <si>
    <t xml:space="preserve">Western Texas College </t>
  </si>
  <si>
    <t>Section I:  9-10 Month or 9-month-equivalent (explain factors for 9-month-equivalent if used)</t>
  </si>
  <si>
    <t>9-10 month</t>
  </si>
  <si>
    <t>11-12 month</t>
  </si>
  <si>
    <t xml:space="preserve">Brevard Community College </t>
  </si>
  <si>
    <t xml:space="preserve">Chipola College </t>
  </si>
  <si>
    <t xml:space="preserve">Florida Keys Community College </t>
  </si>
  <si>
    <t xml:space="preserve">Gulf Coast Community College </t>
  </si>
  <si>
    <t xml:space="preserve">Hillsborough Community College </t>
  </si>
  <si>
    <t xml:space="preserve">Lake City Community College </t>
  </si>
  <si>
    <t xml:space="preserve">Lake-Sumter Community College </t>
  </si>
  <si>
    <t xml:space="preserve">Miami Dade College </t>
  </si>
  <si>
    <t xml:space="preserve">North Florida Community College </t>
  </si>
  <si>
    <t xml:space="preserve">Pasco-Hernando Community College </t>
  </si>
  <si>
    <t xml:space="preserve">St. Johns River Community College </t>
  </si>
  <si>
    <t xml:space="preserve">St. Petersburg College </t>
  </si>
  <si>
    <t xml:space="preserve">South Florida Community College </t>
  </si>
  <si>
    <t xml:space="preserve">Tallahassee Community College </t>
  </si>
  <si>
    <t xml:space="preserve">Valencia Community College </t>
  </si>
  <si>
    <t xml:space="preserve">North Carolina State University </t>
  </si>
  <si>
    <t xml:space="preserve">University of North Carolina at Chapel Hill </t>
  </si>
  <si>
    <t>University of North Carolina at Greensboro</t>
  </si>
  <si>
    <t xml:space="preserve">Appalachian State University </t>
  </si>
  <si>
    <t xml:space="preserve">East Carolina University </t>
  </si>
  <si>
    <t xml:space="preserve">North Carolina Central University </t>
  </si>
  <si>
    <t>University of North Carolina at Charlotte</t>
  </si>
  <si>
    <t>University of North Carolina at Wilmington</t>
  </si>
  <si>
    <t xml:space="preserve">Western Carolina University </t>
  </si>
  <si>
    <t xml:space="preserve">Fayetteville State University </t>
  </si>
  <si>
    <t>University of North Carolina at Pembroke</t>
  </si>
  <si>
    <t xml:space="preserve">Elizabeth City State University </t>
  </si>
  <si>
    <t>University of North Carolina at Asheville</t>
  </si>
  <si>
    <t xml:space="preserve">Winston-Salem State University </t>
  </si>
  <si>
    <t>Asheville-Buncombe Technical Community College</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</si>
  <si>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</si>
  <si>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</si>
  <si>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</si>
  <si>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</si>
  <si>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</si>
  <si>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</si>
  <si>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</si>
  <si>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</si>
  <si>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</si>
  <si>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Alamance Community College</t>
  </si>
  <si>
    <t xml:space="preserve">Beaufort County Community College </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</si>
  <si>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</si>
  <si>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</si>
  <si>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</si>
  <si>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</si>
  <si>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</si>
  <si>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</si>
  <si>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</si>
  <si>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</si>
  <si>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</si>
  <si>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 xml:space="preserve">Gaston College </t>
  </si>
  <si>
    <t>Haywood Community College</t>
  </si>
  <si>
    <t xml:space="preserve">Isothermal Community College </t>
  </si>
  <si>
    <t>Johnston Community College</t>
  </si>
  <si>
    <t xml:space="preserve">Lenoir Community College </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</si>
  <si>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</si>
  <si>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</si>
  <si>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</si>
  <si>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</si>
  <si>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</si>
  <si>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</si>
  <si>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</si>
  <si>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Rowan-Cabarrus Community College</t>
  </si>
  <si>
    <t xml:space="preserve">Sandhills Community College </t>
  </si>
  <si>
    <t>South Piedmont Community College</t>
  </si>
  <si>
    <t>Unranked/Other</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</si>
  <si>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</si>
  <si>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</si>
  <si>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</si>
  <si>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</si>
  <si>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</si>
  <si>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</si>
  <si>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</si>
  <si>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</si>
  <si>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</si>
  <si>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Bladen Community College</t>
  </si>
  <si>
    <t>Brunswick Community College</t>
  </si>
  <si>
    <t>Carteret Community College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</si>
  <si>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</si>
  <si>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</si>
  <si>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</si>
  <si>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</si>
  <si>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</si>
  <si>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</si>
  <si>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</si>
  <si>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Roanoke-Chowan Community College</t>
  </si>
  <si>
    <t>Sampson Community College</t>
  </si>
  <si>
    <t xml:space="preserve">Tri-County Community College </t>
  </si>
  <si>
    <t>Georgia*</t>
  </si>
  <si>
    <t>Old All Ranks</t>
  </si>
  <si>
    <t>% change</t>
  </si>
  <si>
    <t>Sub-total</t>
  </si>
  <si>
    <t>Technical Institute or College 1</t>
  </si>
  <si>
    <t>Technical Institute or College 2</t>
  </si>
  <si>
    <t>Technical Institute or College Size Unknown</t>
  </si>
  <si>
    <t>All Technical Institutes or Colleges</t>
  </si>
  <si>
    <t>Grand Total</t>
  </si>
  <si>
    <t>Data</t>
  </si>
  <si>
    <t xml:space="preserve"> Tot # Asc. Prof New</t>
  </si>
  <si>
    <t xml:space="preserve"> Old Prof avg</t>
  </si>
  <si>
    <t>Total  Old Prof avg</t>
  </si>
  <si>
    <t xml:space="preserve"> New Prof avg</t>
  </si>
  <si>
    <t>Total  New Prof avg</t>
  </si>
  <si>
    <t xml:space="preserve"> % change Prof</t>
  </si>
  <si>
    <t>Total  % change Prof</t>
  </si>
  <si>
    <t xml:space="preserve"> Old Asc. avg</t>
  </si>
  <si>
    <t>Total  Old Asc. avg</t>
  </si>
  <si>
    <t xml:space="preserve"> New Asc. avg</t>
  </si>
  <si>
    <t>Total  New Asc. avg</t>
  </si>
  <si>
    <t xml:space="preserve"> % change Asc. Prof</t>
  </si>
  <si>
    <t>Total  % change Asc. Prof</t>
  </si>
  <si>
    <t xml:space="preserve"> Old Ast. avg</t>
  </si>
  <si>
    <t>Total  Old Ast. avg</t>
  </si>
  <si>
    <t xml:space="preserve"> New Ast. avg</t>
  </si>
  <si>
    <t>Total  New Ast. avg</t>
  </si>
  <si>
    <t xml:space="preserve"> % change Ast. Prof</t>
  </si>
  <si>
    <t>Total  % change Ast. Prof</t>
  </si>
  <si>
    <t xml:space="preserve"> Old Inst. avg</t>
  </si>
  <si>
    <t>Total  Old Inst. avg</t>
  </si>
  <si>
    <t xml:space="preserve"> New Inst. avg</t>
  </si>
  <si>
    <t>Total  New Inst. avg</t>
  </si>
  <si>
    <t xml:space="preserve"> % change Instr avg</t>
  </si>
  <si>
    <t>Total  % change Instr avg</t>
  </si>
  <si>
    <t xml:space="preserve"> Old Undesg. avg</t>
  </si>
  <si>
    <t>Total  Old Undesg. avg</t>
  </si>
  <si>
    <t xml:space="preserve"> New Undesg. avg</t>
  </si>
  <si>
    <t>Total  New Undesg. avg</t>
  </si>
  <si>
    <t xml:space="preserve"> % change Undesg avg</t>
  </si>
  <si>
    <t>Total  % change Undesg avg</t>
  </si>
  <si>
    <t xml:space="preserve"> Old Single Rnk avg</t>
  </si>
  <si>
    <t>Total  Old Single Rnk avg</t>
  </si>
  <si>
    <t xml:space="preserve"> New Single Rnk avg</t>
  </si>
  <si>
    <t>Total  New Single Rnk avg</t>
  </si>
  <si>
    <t xml:space="preserve"> % change Single Rnk avg</t>
  </si>
  <si>
    <t>Total  % change Single Rnk avg</t>
  </si>
  <si>
    <t xml:space="preserve"> Old All Ranks avg</t>
  </si>
  <si>
    <t>Total  Old All Ranks avg</t>
  </si>
  <si>
    <t xml:space="preserve"> New All Ranks avg</t>
  </si>
  <si>
    <t>Total  New All Ranks avg</t>
  </si>
  <si>
    <t xml:space="preserve"> % change All Ranks avg</t>
  </si>
  <si>
    <t>Total  % change All Ranks avg</t>
  </si>
  <si>
    <t>Category2</t>
  </si>
  <si>
    <t>Technical Institutes</t>
  </si>
  <si>
    <t xml:space="preserve"> Total # Prof New</t>
  </si>
  <si>
    <t>Total  Total # Prof New</t>
  </si>
  <si>
    <t>Total  Tot # Asc. Prof New</t>
  </si>
  <si>
    <t xml:space="preserve"> Tot # Ast. Prof New</t>
  </si>
  <si>
    <t>Total  Tot # Ast. Prof New</t>
  </si>
  <si>
    <t xml:space="preserve"> Tot # Instr. New</t>
  </si>
  <si>
    <t>Total  Tot # Instr. New</t>
  </si>
  <si>
    <t xml:space="preserve"> Tot # Undes. New</t>
  </si>
  <si>
    <t>Total  Tot # Undes. New</t>
  </si>
  <si>
    <t xml:space="preserve"> Tot # Single Rnk New</t>
  </si>
  <si>
    <t>Total  Tot # Single Rnk New</t>
  </si>
  <si>
    <t xml:space="preserve"> All Ranks # New</t>
  </si>
  <si>
    <t>Total  All Ranks # New</t>
  </si>
  <si>
    <t>with Bach- elor's</t>
  </si>
  <si>
    <t>size un- known</t>
  </si>
  <si>
    <t>Two-Year with Bachelor's</t>
  </si>
  <si>
    <t>Two-Year 3</t>
  </si>
  <si>
    <t>All Two-Year</t>
  </si>
  <si>
    <t>LA</t>
  </si>
  <si>
    <t>TX</t>
  </si>
  <si>
    <t>TN</t>
  </si>
  <si>
    <t>OK</t>
  </si>
  <si>
    <t>[combined 9/10-month and 11/12-month contract groups]</t>
  </si>
  <si>
    <t>Percent</t>
  </si>
  <si>
    <t>Single Rank</t>
  </si>
  <si>
    <t>Other</t>
  </si>
  <si>
    <t>All Ranks</t>
  </si>
  <si>
    <t>SREB</t>
  </si>
  <si>
    <t>Four-Year</t>
  </si>
  <si>
    <t>Two-Year</t>
  </si>
  <si>
    <t>All 4-Yr</t>
  </si>
  <si>
    <t>Undesignated/</t>
  </si>
  <si>
    <t>Product</t>
  </si>
  <si>
    <t>Notes: Salaries reported as 11-12 month appointments have been converted to 9-10 month equivalence by reducing the reported amounts by 2/11. States with distinct 10, 11 and 12 month appointments have been converted by reducing the amounts by 1/10, 2/11 and 3/12 respectively.</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</si>
  <si>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</si>
  <si>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Institution</t>
  </si>
  <si>
    <t>ID #</t>
  </si>
  <si>
    <t>Category</t>
  </si>
  <si>
    <t>Number</t>
  </si>
  <si>
    <t>AL</t>
  </si>
  <si>
    <t>State</t>
  </si>
  <si>
    <t>Section II:  11-12 Month</t>
  </si>
  <si>
    <t>Professor</t>
  </si>
  <si>
    <t>Associate Professor</t>
  </si>
  <si>
    <t>Assistant Professor</t>
  </si>
  <si>
    <t>Instructor</t>
  </si>
  <si>
    <t>Average</t>
  </si>
  <si>
    <t>Salary</t>
  </si>
  <si>
    <t>AR</t>
  </si>
  <si>
    <t>DE</t>
  </si>
  <si>
    <t>MD</t>
  </si>
  <si>
    <t>MS</t>
  </si>
  <si>
    <t>NC</t>
  </si>
  <si>
    <t>WV</t>
  </si>
  <si>
    <t>VA</t>
  </si>
  <si>
    <t>GA</t>
  </si>
  <si>
    <t>SC</t>
  </si>
  <si>
    <t>FL</t>
  </si>
  <si>
    <t>KY</t>
  </si>
  <si>
    <t>Old # Prof9</t>
  </si>
  <si>
    <t>Old Sal Prof9</t>
  </si>
  <si>
    <t>New # Prof9</t>
  </si>
  <si>
    <t>New Sal Prof9</t>
  </si>
  <si>
    <t>Old # Asc9</t>
  </si>
  <si>
    <t>Old Sal Asc9</t>
  </si>
  <si>
    <t>New # Asc9</t>
  </si>
  <si>
    <t>New Sal Asc9</t>
  </si>
  <si>
    <t>Old # Ast9</t>
  </si>
  <si>
    <t>Old Sal Ast9</t>
  </si>
  <si>
    <t>New # Ast9</t>
  </si>
  <si>
    <t>New Sal Ast9</t>
  </si>
  <si>
    <t>Old # Inst9</t>
  </si>
  <si>
    <t>Old Sal Inst9</t>
  </si>
  <si>
    <t>New # Inst9</t>
  </si>
  <si>
    <t>New Sal Inst9</t>
  </si>
  <si>
    <t>Old # Undsg9</t>
  </si>
  <si>
    <t>Old Sal Undsg9</t>
  </si>
  <si>
    <t>New # Undsg9</t>
  </si>
  <si>
    <t>New Sal Undsg9</t>
  </si>
  <si>
    <t>Old # SR9</t>
  </si>
  <si>
    <t>Old Sal SR9</t>
  </si>
  <si>
    <t>New # SR9</t>
  </si>
  <si>
    <t>New Sal SR9</t>
  </si>
  <si>
    <t>Old * Prof9</t>
  </si>
  <si>
    <t>New*Prof9</t>
  </si>
  <si>
    <t>Old*Asc9</t>
  </si>
  <si>
    <t>New*Asc9</t>
  </si>
  <si>
    <t>Old*Ast9</t>
  </si>
  <si>
    <t>New*Ast9</t>
  </si>
  <si>
    <t>Old*Inst9</t>
  </si>
  <si>
    <t>New*Inst9</t>
  </si>
  <si>
    <t>Old*Undsg9</t>
  </si>
  <si>
    <t>Nrw*Undsg9</t>
  </si>
  <si>
    <t>Old*SR9</t>
  </si>
  <si>
    <t>New*SR9</t>
  </si>
  <si>
    <t>Old Sal Prof11</t>
  </si>
  <si>
    <t>Old * Prof11</t>
  </si>
  <si>
    <t>New # Prof11</t>
  </si>
  <si>
    <t>New Sal Prof11</t>
  </si>
  <si>
    <t>New*Prof11</t>
  </si>
  <si>
    <t>Old # Asc11</t>
  </si>
  <si>
    <t>Old Sal Asc11</t>
  </si>
  <si>
    <t>Old*Asc11</t>
  </si>
  <si>
    <t>New # Asc11</t>
  </si>
  <si>
    <t>New Sal Asc11</t>
  </si>
  <si>
    <t>New*Asc11</t>
  </si>
  <si>
    <t>Old # Ast11</t>
  </si>
  <si>
    <t>Old Sal Ast11</t>
  </si>
  <si>
    <t>Old*Ast11</t>
  </si>
  <si>
    <t>New # Ast11</t>
  </si>
  <si>
    <t>New Sal Ast11</t>
  </si>
  <si>
    <t>New*Ast11</t>
  </si>
  <si>
    <t>Old # Inst11</t>
  </si>
  <si>
    <t>Old Sal Inst11</t>
  </si>
  <si>
    <t>Old*Inst11</t>
  </si>
  <si>
    <t>New # Inst11</t>
  </si>
  <si>
    <t>New Sal Inst11</t>
  </si>
  <si>
    <t>New*Inst11</t>
  </si>
  <si>
    <t>Old # Undsg11</t>
  </si>
  <si>
    <t>Old Sal Undsg11</t>
  </si>
  <si>
    <t>Old*Undsg11</t>
  </si>
  <si>
    <t>New # Undsg11</t>
  </si>
  <si>
    <t>New Sal Undsg11</t>
  </si>
  <si>
    <t>Nrw*Undsg11</t>
  </si>
  <si>
    <t>Old # SR11</t>
  </si>
  <si>
    <t>Old Sal SR11</t>
  </si>
  <si>
    <t>Old*SR11</t>
  </si>
  <si>
    <t>New # SR11</t>
  </si>
  <si>
    <t>New Sal SR11</t>
  </si>
  <si>
    <t>New*SR11</t>
  </si>
  <si>
    <t>Old # Prof11</t>
  </si>
  <si>
    <t xml:space="preserve">Number </t>
  </si>
  <si>
    <t>Weighted Average Full-Time Faculty Salaries</t>
  </si>
  <si>
    <t>Associate</t>
  </si>
  <si>
    <t>Assistant</t>
  </si>
  <si>
    <t>Single</t>
  </si>
  <si>
    <t>All</t>
  </si>
  <si>
    <t>Rank</t>
  </si>
  <si>
    <t>Ranks</t>
  </si>
  <si>
    <t>Four-Year 1</t>
  </si>
  <si>
    <t>Four-Year 2</t>
  </si>
  <si>
    <t>Four-Year 3</t>
  </si>
  <si>
    <t>Four-Year 4</t>
  </si>
  <si>
    <t>Four-Year 5</t>
  </si>
  <si>
    <t>Four-Year 6</t>
  </si>
  <si>
    <t>All Four-Year</t>
  </si>
  <si>
    <t>Two-Year 1</t>
  </si>
  <si>
    <t>Two-Year 2</t>
  </si>
  <si>
    <t>Weighted Average Salaries of Full-Time Faculty</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</si>
  <si>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</si>
  <si>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</si>
  <si>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</si>
  <si>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</si>
  <si>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</si>
  <si>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</si>
  <si>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</si>
  <si>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</si>
  <si>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</si>
  <si>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</si>
  <si>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</si>
  <si>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</si>
  <si>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</si>
  <si>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</si>
  <si>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</si>
  <si>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Weighted Average Salaries and Salary Rankings of Full-Time Faculty</t>
  </si>
  <si>
    <t>Delaware</t>
  </si>
  <si>
    <t>SREB states</t>
  </si>
  <si>
    <t xml:space="preserve"> </t>
  </si>
  <si>
    <t>All 
4-Yr</t>
  </si>
  <si>
    <t>All 
2-Yr</t>
  </si>
  <si>
    <t>Size Un-
known</t>
  </si>
  <si>
    <t>Undesignated/ Other</t>
  </si>
  <si>
    <t>Technical     Institute or    College 1</t>
  </si>
  <si>
    <t xml:space="preserve">Tulsa County Area Voc Tech School Dist 18-Peoria  </t>
  </si>
  <si>
    <t xml:space="preserve">Tulsa Technology Center-Lemley Campus             </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</si>
  <si>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</si>
  <si>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</si>
  <si>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</si>
  <si>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</si>
  <si>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</si>
  <si>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</si>
  <si>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</si>
  <si>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</si>
  <si>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</si>
  <si>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</si>
  <si>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</si>
  <si>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</si>
  <si>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</si>
  <si>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</si>
  <si>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</si>
  <si>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</si>
  <si>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</si>
  <si>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</si>
  <si>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</si>
  <si>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</si>
  <si>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</si>
  <si>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</si>
  <si>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</si>
  <si>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New River Community &amp; Technical College</t>
  </si>
  <si>
    <t>West Virginia Northern Community College</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</si>
  <si>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</si>
  <si>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</si>
  <si>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</si>
  <si>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</si>
  <si>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</si>
  <si>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</si>
  <si>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</si>
  <si>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</si>
  <si>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</si>
  <si>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</si>
  <si>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</si>
  <si>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</si>
  <si>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</si>
  <si>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</si>
  <si>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</si>
  <si>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</si>
  <si>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</si>
  <si>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</si>
  <si>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</si>
  <si>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</si>
  <si>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</si>
  <si>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</si>
  <si>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</si>
  <si>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</si>
  <si>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</si>
  <si>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</si>
  <si>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</si>
  <si>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</si>
  <si>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</si>
  <si>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</si>
  <si>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University of Virginia</t>
  </si>
  <si>
    <t xml:space="preserve">Virginia Tech </t>
  </si>
  <si>
    <t>College of William &amp; Mary</t>
  </si>
  <si>
    <t xml:space="preserve">George Mason University </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</si>
  <si>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</si>
  <si>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</si>
  <si>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</si>
  <si>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</si>
  <si>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</si>
  <si>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</si>
  <si>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</si>
  <si>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</si>
  <si>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</si>
  <si>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</si>
  <si>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</si>
  <si>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</si>
  <si>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</si>
  <si>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</si>
  <si>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</si>
  <si>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</si>
  <si>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</si>
  <si>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</si>
  <si>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</si>
  <si>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</si>
  <si>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</si>
  <si>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</si>
  <si>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</si>
  <si>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</si>
  <si>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</si>
  <si>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</si>
  <si>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</si>
  <si>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</si>
  <si>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</si>
  <si>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</si>
  <si>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</si>
  <si>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</si>
  <si>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</si>
  <si>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</si>
  <si>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</si>
  <si>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</si>
  <si>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</si>
  <si>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</si>
  <si>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</si>
  <si>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</si>
  <si>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</si>
  <si>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</si>
  <si>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</si>
  <si>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</si>
  <si>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</si>
  <si>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</si>
  <si>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</si>
  <si>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</si>
  <si>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</si>
  <si>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</si>
  <si>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</si>
  <si>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</si>
  <si>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</si>
  <si>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</si>
  <si>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</si>
  <si>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</si>
  <si>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</si>
  <si>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</si>
  <si>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</si>
  <si>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</si>
  <si>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</si>
  <si>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</si>
  <si>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</si>
  <si>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</si>
  <si>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</si>
  <si>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</si>
  <si>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</si>
  <si>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</si>
  <si>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</si>
  <si>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</si>
  <si>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</si>
  <si>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</si>
  <si>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</si>
  <si>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</si>
  <si>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</si>
  <si>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</si>
  <si>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</si>
  <si>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</si>
  <si>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</si>
  <si>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</si>
  <si>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</si>
  <si>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</si>
  <si>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</si>
  <si>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</si>
  <si>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</si>
  <si>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</si>
  <si>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</si>
  <si>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</si>
  <si>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</si>
  <si>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</si>
  <si>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</si>
  <si>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</si>
  <si>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</si>
  <si>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</si>
  <si>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</si>
  <si>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</si>
  <si>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</si>
  <si>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</si>
  <si>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</si>
  <si>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</si>
  <si>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</si>
  <si>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</si>
  <si>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</si>
  <si>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</si>
  <si>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</si>
  <si>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</si>
  <si>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</si>
  <si>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</si>
  <si>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</si>
  <si>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</si>
  <si>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</si>
  <si>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</si>
  <si>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</si>
  <si>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</si>
  <si>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</si>
  <si>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</si>
  <si>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</si>
  <si>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</si>
  <si>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</si>
  <si>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</si>
  <si>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</si>
  <si>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</si>
  <si>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</si>
  <si>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</si>
  <si>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</si>
  <si>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</si>
  <si>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</si>
  <si>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</si>
  <si>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</si>
  <si>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</si>
  <si>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</si>
  <si>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</si>
  <si>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</si>
  <si>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</si>
  <si>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</si>
  <si>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</si>
  <si>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</si>
  <si>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</si>
  <si>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</si>
  <si>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</si>
  <si>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</si>
  <si>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</si>
  <si>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</si>
  <si>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</si>
  <si>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</si>
  <si>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</si>
  <si>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</si>
  <si>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</si>
  <si>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</si>
  <si>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</si>
  <si>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</si>
  <si>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Southwest Georgia Technical College</t>
  </si>
  <si>
    <t>West Georgia Technical College</t>
  </si>
  <si>
    <t>Sandersville Technical College</t>
  </si>
  <si>
    <t>Distribution of Full-Time Instructional Faculty</t>
  </si>
  <si>
    <t>2009-10</t>
  </si>
  <si>
    <t>George C. Wallace State Community College - Dothan</t>
  </si>
  <si>
    <t>Enterprise-Ozark Community College</t>
  </si>
  <si>
    <t>State College of Florida, Manatee-Sarasota</t>
  </si>
  <si>
    <t>Georgia Highlands College</t>
  </si>
  <si>
    <t>Georgia Gwinnett College</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</si>
  <si>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</si>
  <si>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</si>
  <si>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</si>
  <si>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</si>
  <si>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</si>
  <si>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</si>
  <si>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</si>
  <si>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</si>
  <si>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</si>
  <si>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</si>
  <si>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</si>
  <si>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</si>
  <si>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</si>
  <si>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</si>
  <si>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</si>
  <si>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</si>
  <si>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</si>
  <si>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</si>
  <si>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</si>
  <si>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</si>
  <si>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</si>
  <si>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</si>
  <si>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</si>
  <si>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</si>
  <si>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</si>
  <si>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</si>
  <si>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</si>
  <si>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</si>
  <si>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</si>
  <si>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</si>
  <si>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</si>
  <si>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</si>
  <si>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</si>
  <si>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</si>
  <si>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</si>
  <si>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</si>
  <si>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</si>
  <si>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</si>
  <si>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</si>
  <si>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</si>
  <si>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Technology Center-Riverside Campus          </t>
  </si>
  <si>
    <t xml:space="preserve">Wes Watkins Technology Center                     </t>
  </si>
  <si>
    <t xml:space="preserve">Western Technology Center                         </t>
  </si>
  <si>
    <t xml:space="preserve">Spartanburg Community College </t>
  </si>
  <si>
    <t xml:space="preserve">Northeastern Technical College </t>
  </si>
  <si>
    <t>Tennessee Technology Center at Hohenwald</t>
  </si>
  <si>
    <t xml:space="preserve">Texas A&amp;M University </t>
  </si>
  <si>
    <t>Prairie View A&amp;M University</t>
  </si>
  <si>
    <t>Texas A&amp;M University-Commerce</t>
  </si>
  <si>
    <t xml:space="preserve">Texas A&amp;M University-Corpus Christi </t>
  </si>
  <si>
    <t>Texas A&amp;M University-Kingsville</t>
  </si>
  <si>
    <t>Texas State University-San Marcos</t>
  </si>
  <si>
    <t>West Texas A&amp;M University</t>
  </si>
  <si>
    <t>Texas A&amp;M -Texarkana</t>
  </si>
  <si>
    <t>228501B</t>
  </si>
  <si>
    <t>Texas A&amp;M University at Galveston</t>
  </si>
  <si>
    <t>Brookhaven College (DCCCD)</t>
  </si>
  <si>
    <t>Eastfield College (DCCCD)</t>
  </si>
  <si>
    <t>Lone Star College System District</t>
  </si>
  <si>
    <t>North Lake College (DCCCD)</t>
  </si>
  <si>
    <t>Richland College (DCCCD)</t>
  </si>
  <si>
    <t>San Jacinto College</t>
  </si>
  <si>
    <t>St. Philip's College (ACCD)</t>
  </si>
  <si>
    <t>Tarrant County College</t>
  </si>
  <si>
    <t>Cedar Valley College (DCCCD)</t>
  </si>
  <si>
    <t>Howard College (HCJCD)</t>
  </si>
  <si>
    <t>Southwest Collegiate Institute for the Deaf (HCJCD)</t>
  </si>
  <si>
    <t>Bridgemont Community &amp; Technical College</t>
  </si>
  <si>
    <t>Kanawha Valley Community &amp; Technical College</t>
  </si>
  <si>
    <t>Georgia Northwestern Technical College</t>
  </si>
  <si>
    <t>Public Institutions, SREB States, 2009-10</t>
  </si>
  <si>
    <t>Public Four-Year Institutions, 2009-10</t>
  </si>
  <si>
    <t>Public Two-Year Institutions, 2009-10</t>
  </si>
  <si>
    <t>Public Technical Institutes or Colleges, 2009-10</t>
  </si>
  <si>
    <t>Public Four-Year 1 Institutions, 2009-10</t>
  </si>
  <si>
    <t>Public Four-Year 2 Institutions, 2009-10</t>
  </si>
  <si>
    <t>Public Four-Year 3 Institutions, 2009-10</t>
  </si>
  <si>
    <t>Public Four-Year 4 Institutions, 2009-10</t>
  </si>
  <si>
    <t>Public Four-Year 5 Institutions, 2009-10</t>
  </si>
  <si>
    <t>Public Four-Year 6 Institutions, 2009-10</t>
  </si>
  <si>
    <t>Public Two-Year, 2009-10</t>
  </si>
  <si>
    <t>Public Two-Year with Bachelor's, 2009-10</t>
  </si>
  <si>
    <t>Public Two-Year 1, 2009-10</t>
  </si>
  <si>
    <t>Public Two-Year 2, 2009-10</t>
  </si>
  <si>
    <t>Public Two-Year 3, 2009-10</t>
  </si>
  <si>
    <t>Public Two-Year Size Unknown, 2009-10</t>
  </si>
  <si>
    <t>Public Technical Institute or College 1, 2009-10</t>
  </si>
  <si>
    <t>Public Technical Institute or College 2, 2009-10</t>
  </si>
  <si>
    <t>Public Technical Institute or College Size Unknown, 2009-10</t>
  </si>
  <si>
    <t>Public Universities, Colleges and Technical Institutes, 2009-10</t>
  </si>
  <si>
    <t>Virginia Commonwealth University</t>
  </si>
  <si>
    <t>Table 143</t>
  </si>
  <si>
    <t>Table 144</t>
  </si>
  <si>
    <t>Table 145</t>
  </si>
  <si>
    <t>Table 146</t>
  </si>
  <si>
    <t>Table 147</t>
  </si>
  <si>
    <t>Table 148</t>
  </si>
  <si>
    <t>Table 149</t>
  </si>
  <si>
    <t>Table 150</t>
  </si>
  <si>
    <t>Table 151</t>
  </si>
  <si>
    <t>Table 152</t>
  </si>
  <si>
    <t>Table 153</t>
  </si>
  <si>
    <t>Table 154</t>
  </si>
  <si>
    <t>Table 155</t>
  </si>
  <si>
    <t>Table 156</t>
  </si>
  <si>
    <t>Table 157</t>
  </si>
  <si>
    <t>Table 158</t>
  </si>
  <si>
    <t>Table 159</t>
  </si>
  <si>
    <t>Table 160</t>
  </si>
  <si>
    <t>Table 161</t>
  </si>
  <si>
    <t>Table 162</t>
  </si>
  <si>
    <t>Table 163</t>
  </si>
  <si>
    <t xml:space="preserve"> Total # Prof Old</t>
  </si>
  <si>
    <t>Total  Total # Prof Old</t>
  </si>
  <si>
    <t xml:space="preserve"> Tot # Asc. Prof Old</t>
  </si>
  <si>
    <t>Total  Tot # Asc. Prof Old</t>
  </si>
  <si>
    <t xml:space="preserve"> Tot # Ast. Prof Old</t>
  </si>
  <si>
    <t>Total  Tot # Ast. Prof Old</t>
  </si>
  <si>
    <t xml:space="preserve"> Tot # Instr. Old</t>
  </si>
  <si>
    <t>Total  Tot # Instr. Old</t>
  </si>
  <si>
    <t xml:space="preserve"> Tot # Undes. Old</t>
  </si>
  <si>
    <t>Total  Tot # Undes. Old</t>
  </si>
  <si>
    <t xml:space="preserve"> Tot # Single Rnk Old</t>
  </si>
  <si>
    <t>Total  Tot # Single Rnk Old</t>
  </si>
  <si>
    <t xml:space="preserve"> All Ranks # Old</t>
  </si>
  <si>
    <t>Total  All Ranks # Old</t>
  </si>
  <si>
    <t>University of Delaware</t>
  </si>
  <si>
    <t>Delaware State University</t>
  </si>
  <si>
    <t>Delaware Technical and Community College--Owens</t>
  </si>
  <si>
    <t>Delaware Technical and Community College--Stanton-Wilmington</t>
  </si>
  <si>
    <t>Delaware Technical and Community College--Terry</t>
  </si>
  <si>
    <t>Calculated Field</t>
  </si>
  <si>
    <t>Solve Order</t>
  </si>
  <si>
    <t>Field</t>
  </si>
  <si>
    <t>Formula</t>
  </si>
  <si>
    <t>Calculated Item</t>
  </si>
  <si>
    <t>Item</t>
  </si>
  <si>
    <t>Tot # Single Rnk New</t>
  </si>
  <si>
    <t>='New # SR9'+'New # SR11'</t>
  </si>
  <si>
    <t>All Ranks # New</t>
  </si>
  <si>
    <t>='Total # Prof New'+'Tot # Asc. Prof New'+'Tot # Ast. Prof New'+'Tot # Instr. New'+'Tot # Undes. New'+'Tot # Single Rnk New'</t>
  </si>
  <si>
    <t>All Ranks # Old</t>
  </si>
  <si>
    <t>= ('Old # Prof9'+'Old # Prof11'+'Old # Asc9'+'Old # Asc11'+'Old # Ast9'+'Old # Ast11'+'Old # Inst9'+'Old # Inst11'+'Old # Undsg9'+'Old # Undsg11'+'Old # SR9'+'Old # SR11')</t>
  </si>
  <si>
    <t>New Prof avg</t>
  </si>
  <si>
    <t>=IF(('New # Prof11'+'New # Prof9')&gt;0, ('New*Prof9'+'New*Prof11')/('New # Prof11'+'New # Prof9'),0)</t>
  </si>
  <si>
    <t>Old Prof avg</t>
  </si>
  <si>
    <t>=IF(('Old # Prof11'+'Old # Prof9')&gt;0,('Old * Prof9'+'Old * Prof11')/('Old # Prof11'+'Old # Prof9'),0)</t>
  </si>
  <si>
    <t>Old Asc. avg</t>
  </si>
  <si>
    <t>=IF(('Old # Asc11'+'Old # Asc9')&gt;0,('Old*Asc9'+'Old*Asc11')/('Old # Asc11'+'Old # Asc9'),0)</t>
  </si>
  <si>
    <t>New Asc. avg</t>
  </si>
  <si>
    <t>=IF(('New # Asc9'+'New # Asc11')&gt;0,('New*Asc9'+'New*Asc11')/('New # Asc11'+'New # Asc9'),0)</t>
  </si>
  <si>
    <t>Old Ast. avg</t>
  </si>
  <si>
    <t>=IF(('Old # Ast11'+'Old # Ast9')&gt;0,('Old*Ast9'+'Old*Ast11')/('Old # Ast11'+'Old # Ast9'),0)</t>
  </si>
  <si>
    <t>New Ast. avg</t>
  </si>
  <si>
    <t>=IF(('New # Ast11'+'New # Ast9')&gt;0,('New*Ast9'+'New*Ast11')/('New # Ast11'+'New # Ast9'),0)</t>
  </si>
  <si>
    <t>Old Inst. avg</t>
  </si>
  <si>
    <t>=IF(('Old # Inst11'+'Old # Inst9')&gt;0,('Old*Inst9'+'Old*Inst11')/('Old # Inst11'+'Old # Inst9'),0)</t>
  </si>
  <si>
    <t>New Inst. avg</t>
  </si>
  <si>
    <t>=IF(('New # Inst11'+'New # Inst9')&gt;0,('New*Inst9'+'New*Inst11')/('New # Inst11'+'New # Inst9'),0)</t>
  </si>
  <si>
    <t>Old Undesg. avg</t>
  </si>
  <si>
    <t>=IF(('Old # Undsg11'+'Old # Undsg9')&gt;0,('Old*Undsg9'+'Old*Undsg11')/('Old # Undsg11'+'Old # Undsg9'),0)</t>
  </si>
  <si>
    <t>New Undesg. avg</t>
  </si>
  <si>
    <t>=IF(('New # Undsg11'+'New # Undsg9')&gt;0,('Nrw*Undsg9'+'Nrw*Undsg11')/('New # Undsg11'+'New # Undsg9'),0)</t>
  </si>
  <si>
    <t>Old Single Rnk avg</t>
  </si>
  <si>
    <t>=IF(('Old # SR11'+'Old # SR9')&gt;0,('Old*SR9'+'Old*SR11')/('Old # SR11'+'Old # SR9'),0)</t>
  </si>
  <si>
    <t>New Single Rnk avg</t>
  </si>
  <si>
    <t>=IF(('New # SR11'+'New # SR9')&gt;0,('New*SR9'+'New*SR11')/('New # SR11'+'New # SR9'),0)</t>
  </si>
  <si>
    <t>Old All Ranks *</t>
  </si>
  <si>
    <t>= ('Old * Prof9'+'Old*Asc9'+'Old*Ast9'+'Old*Inst9'+'Old*Undsg9'+'Old*SR9')+('Old * Prof11'+'Old*Asc11'+'Old*Ast11'+'Old*Inst11'+'Old*Undsg11'+'Old*SR11')</t>
  </si>
  <si>
    <t>Old All Ranks avg</t>
  </si>
  <si>
    <t>=IF('All Ranks # Old'&gt;0,('Old All Ranks *'/'All Ranks # Old'),0)</t>
  </si>
  <si>
    <t>New All Ranks *</t>
  </si>
  <si>
    <t>=('New*Prof9'+'New*Asc9'+'New*Ast9'+'New*Inst9'+'Nrw*Undsg9'+'New*SR9'+'New*Prof11'+'New*Asc11'+'New*Ast11'+'New*Inst11'+'Nrw*Undsg11'+'New*SR11')</t>
  </si>
  <si>
    <t>New All Ranks avg</t>
  </si>
  <si>
    <t>=IF('All Ranks # New'&gt;0,('New All Ranks *'/'All Ranks # New'),0)</t>
  </si>
  <si>
    <t>% change Prof</t>
  </si>
  <si>
    <t>=IF('Old Prof avg'&gt;0,((('New Prof avg'-'Old Prof avg')/'Old Prof avg')*100),0)</t>
  </si>
  <si>
    <t>% change Asc. Prof</t>
  </si>
  <si>
    <t>=IF('Old Asc. avg'&gt;0,((('New Asc. avg'-'Old Asc. avg')/'Old Asc. avg')*100),0)</t>
  </si>
  <si>
    <t>% change Ast. Prof</t>
  </si>
  <si>
    <t>=IF('Old Ast. avg'&gt;0,((('New Ast. avg'-'Old Ast. avg')/'Old Ast. avg')*100),0)</t>
  </si>
  <si>
    <t>% change Instr avg</t>
  </si>
  <si>
    <t>=IF('Old Inst. avg'&gt;0,((('New Inst. avg'-'Old Inst. avg')/'Old Inst. avg')*100),0)</t>
  </si>
  <si>
    <t>% change Undesg avg</t>
  </si>
  <si>
    <t>=IF('Old Undesg. avg'&gt;0,((('New Undesg. avg'-'Old Undesg. avg')/'Old Undesg. avg')*100),0)</t>
  </si>
  <si>
    <t>% change Single Rnk avg</t>
  </si>
  <si>
    <t>=IF('Old Single Rnk avg'&gt;0,((('New Single Rnk avg'-'Old Single Rnk avg')/'Old Single Rnk avg')*100),0)</t>
  </si>
  <si>
    <t>% change All Ranks avg</t>
  </si>
  <si>
    <t>=IF('Old All Ranks avg'&gt;0,((('New All Ranks avg'-'Old All Ranks avg')/'Old All Ranks avg')*100),0)</t>
  </si>
  <si>
    <t>Tot # Undes. New</t>
  </si>
  <si>
    <t>='New # Undsg9'+'New # Undsg11'</t>
  </si>
  <si>
    <t>Tot # Instr. New</t>
  </si>
  <si>
    <t>='New # Inst9'+'New # Inst11'</t>
  </si>
  <si>
    <t>Tot # Ast. Prof New</t>
  </si>
  <si>
    <t>='New # Ast9'+'New # Ast11'</t>
  </si>
  <si>
    <t>Tot # Asc. Prof New</t>
  </si>
  <si>
    <t>='New # Asc9'+'New # Asc11'</t>
  </si>
  <si>
    <t>Total # Prof New</t>
  </si>
  <si>
    <t>='New # Prof9'+'New # Prof11'</t>
  </si>
  <si>
    <t>Tot # Single Rnk Old</t>
  </si>
  <si>
    <t>='Old # SR9'+'Old # SR11'</t>
  </si>
  <si>
    <t>Tot # Undes. Old</t>
  </si>
  <si>
    <t>='Old # Undsg9'+'Old # Undsg11'</t>
  </si>
  <si>
    <t>Tot # Instr. Old</t>
  </si>
  <si>
    <t>='Old # Inst9'+'Old # Inst11'</t>
  </si>
  <si>
    <t>Tot # Ast. Prof Old</t>
  </si>
  <si>
    <t>='Old # Ast9'+'Old # Ast11'</t>
  </si>
  <si>
    <t>Tot # Asc. Prof Old</t>
  </si>
  <si>
    <t>='Old # Asc9'+'Old # Asc11'</t>
  </si>
  <si>
    <t>Total # Prof Old</t>
  </si>
  <si>
    <t>='Old # Prof9'+'Old # Prof11'</t>
  </si>
  <si>
    <t>Note:</t>
  </si>
  <si>
    <t>When a cell is updated by more than one formula,</t>
  </si>
  <si>
    <t>the value is set by the formula with the last solve order.</t>
  </si>
  <si>
    <t>To change the solve order for multiple calculated items or fields,</t>
  </si>
  <si>
    <t>on the Options tab, in the Tools group, click Formulas, and then click Solve Order.</t>
  </si>
  <si>
    <t>SREB-State Data Exchange, 2010-2011 Survey Legend &amp; Information</t>
  </si>
  <si>
    <t>Section 9:  Faculty Salary</t>
  </si>
  <si>
    <t>Single Rank [for two-year collleges only]</t>
  </si>
  <si>
    <r>
      <t xml:space="preserve">Data Columns:  </t>
    </r>
    <r>
      <rPr>
        <sz val="10"/>
        <rFont val="Arial"/>
        <family val="2"/>
      </rPr>
      <t>White = New Data, Peach = Old Data, Purple/Grey = Calculated Data</t>
    </r>
  </si>
  <si>
    <r>
      <t xml:space="preserve">Text Color:  </t>
    </r>
    <r>
      <rPr>
        <sz val="10"/>
        <rFont val="Arial"/>
        <family val="2"/>
      </rPr>
      <t>Red = More/Less Than 10%(#) or 5%($) Change Since Last Year, Blue = Calculated</t>
    </r>
  </si>
  <si>
    <r>
      <t xml:space="preserve">Review Phase:  </t>
    </r>
    <r>
      <rPr>
        <sz val="10"/>
        <rFont val="Arial"/>
        <family val="2"/>
      </rPr>
      <t>Please</t>
    </r>
    <r>
      <rPr>
        <b/>
        <sz val="10"/>
        <rFont val="Arial"/>
        <family val="2"/>
      </rPr>
      <t xml:space="preserve"> c</t>
    </r>
    <r>
      <rPr>
        <sz val="10"/>
        <rFont val="Arial"/>
        <family val="2"/>
      </rPr>
      <t>heck cells highlighted in RED; highlight changes in YELLOW</t>
    </r>
  </si>
  <si>
    <r>
      <t xml:space="preserve">Comments: </t>
    </r>
    <r>
      <rPr>
        <sz val="10"/>
        <rFont val="Arial"/>
        <family val="2"/>
      </rPr>
      <t xml:space="preserve"> Please look for comments and answer questions; add comments as needed</t>
    </r>
  </si>
  <si>
    <t>IPEDS #</t>
  </si>
  <si>
    <t>2010-11</t>
  </si>
  <si>
    <t>Southern Crescent Technical College</t>
  </si>
  <si>
    <t>Texas A &amp; M University - Central Texas</t>
  </si>
  <si>
    <t>Texas A &amp; M University - San Antonio</t>
  </si>
  <si>
    <t>University of North Texas at Dallas</t>
  </si>
  <si>
    <t>All CC x Bland</t>
  </si>
  <si>
    <t xml:space="preserve">Daytona State College </t>
  </si>
  <si>
    <t xml:space="preserve">Broward College </t>
  </si>
  <si>
    <t>Florida State College at Jacksonville</t>
  </si>
  <si>
    <t xml:space="preserve">Indian River State College </t>
  </si>
  <si>
    <t xml:space="preserve">Palm Beach State College </t>
  </si>
  <si>
    <t xml:space="preserve">Pensacola State College </t>
  </si>
  <si>
    <t xml:space="preserve">Polk State College </t>
  </si>
  <si>
    <t xml:space="preserve">Santa Fe College </t>
  </si>
  <si>
    <t>Seminole State College of Florida</t>
  </si>
  <si>
    <t>College of Central Florida</t>
  </si>
  <si>
    <t>Mountwest Community &amp; Technical College</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</si>
  <si>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</si>
  <si>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</si>
  <si>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</si>
  <si>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</si>
  <si>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</si>
  <si>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</si>
  <si>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</si>
  <si>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</si>
  <si>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</si>
  <si>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</si>
  <si>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</si>
  <si>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</si>
  <si>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</si>
  <si>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</si>
  <si>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</si>
  <si>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</si>
  <si>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</si>
  <si>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</si>
  <si>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</si>
  <si>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</si>
  <si>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</si>
  <si>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 xml:space="preserve">Hopkinsville Community College </t>
  </si>
  <si>
    <t>Bowling Green Technical College</t>
  </si>
  <si>
    <t>Gateway Community and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</si>
  <si>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</si>
  <si>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</si>
  <si>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</si>
  <si>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</si>
  <si>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</si>
  <si>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</si>
  <si>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</si>
  <si>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</si>
  <si>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</si>
  <si>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</si>
  <si>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</si>
  <si>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</si>
  <si>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</si>
  <si>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</si>
  <si>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</si>
  <si>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</si>
  <si>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</si>
  <si>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</si>
  <si>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</si>
  <si>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</si>
  <si>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</si>
  <si>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</si>
  <si>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</si>
  <si>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</si>
  <si>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</si>
  <si>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All Technical Colleges</t>
  </si>
  <si>
    <t>All Tech Col</t>
  </si>
  <si>
    <t>Acadiana Technical College</t>
  </si>
  <si>
    <t>Capital Area Technical College</t>
  </si>
  <si>
    <t>Central LA Technical College</t>
  </si>
  <si>
    <t>Northeast Technical College</t>
  </si>
  <si>
    <t>Northshore Technical College</t>
  </si>
  <si>
    <t>Northwest LA Technical College</t>
  </si>
  <si>
    <t>South Central LA Technical College</t>
  </si>
  <si>
    <t>University of Maryland College Park</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</si>
  <si>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</si>
  <si>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</si>
  <si>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</si>
  <si>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</si>
  <si>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</si>
  <si>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</si>
  <si>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</si>
  <si>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</si>
  <si>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</si>
  <si>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</si>
  <si>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</si>
  <si>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 (all campuses)</t>
  </si>
  <si>
    <t>Montgomery College (all campuses)</t>
  </si>
  <si>
    <t xml:space="preserve">Prince George's Community College </t>
  </si>
  <si>
    <t>Allegany College of Maryland</t>
  </si>
  <si>
    <t>Baltimore City Community College</t>
  </si>
  <si>
    <t>College of Southern Maryland</t>
  </si>
  <si>
    <t xml:space="preserve">Frederick Community College </t>
  </si>
  <si>
    <t xml:space="preserve">Hagerstown Community College </t>
  </si>
  <si>
    <t xml:space="preserve">Harford Community College </t>
  </si>
  <si>
    <t xml:space="preserve">Howard Community College </t>
  </si>
  <si>
    <t>Carroll Community College</t>
  </si>
  <si>
    <t xml:space="preserve">Cecil Community College </t>
  </si>
  <si>
    <t xml:space="preserve">Chesapeake College </t>
  </si>
  <si>
    <t xml:space="preserve">Garrett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</si>
  <si>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</si>
  <si>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</si>
  <si>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</si>
  <si>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</si>
  <si>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</si>
  <si>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</si>
  <si>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</si>
  <si>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</si>
  <si>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</si>
  <si>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</si>
  <si>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</si>
  <si>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</si>
  <si>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</si>
  <si>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</si>
  <si>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</si>
  <si>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</si>
  <si>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</si>
  <si>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</si>
  <si>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</si>
  <si>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</si>
  <si>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</si>
  <si>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</si>
  <si>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</si>
  <si>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</si>
  <si>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</si>
  <si>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</si>
  <si>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</si>
  <si>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</si>
  <si>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</si>
  <si>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</si>
  <si>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</si>
  <si>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</si>
  <si>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</si>
  <si>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</si>
  <si>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</si>
  <si>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</si>
  <si>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</si>
  <si>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</si>
  <si>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</si>
  <si>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</si>
  <si>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</si>
  <si>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</si>
  <si>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</si>
  <si>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</si>
  <si>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</si>
  <si>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</si>
  <si>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</si>
  <si>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</si>
  <si>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</si>
  <si>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</si>
  <si>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</si>
  <si>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Texas A&amp;M International University</t>
  </si>
  <si>
    <t>Note</t>
  </si>
  <si>
    <t>Met the criteria for Four-Year 2 in 2010-11.</t>
  </si>
  <si>
    <t>Met the criteria for Four-Year 3 in 2010-11.</t>
  </si>
  <si>
    <t>Met criteria for Two-Year 1 in 2009-10 and 2010-11.</t>
  </si>
  <si>
    <t>Reclassified: met the criteria for Two-Year 2 in 2008-09, 2009-10 and 2010-11.</t>
  </si>
  <si>
    <t>Met the criteria for Two-Year 1 in 2010-11.</t>
  </si>
  <si>
    <t>Met criteria for Two-Year 2 in 2009-10 and 2010-11.</t>
  </si>
  <si>
    <t>Met the criteria for Two-Year 2 in 2010-11.</t>
  </si>
  <si>
    <t>Met the criteria for Technical Institute 1 in 2010-11.</t>
  </si>
  <si>
    <t>Met the criteria for Four-Year 4 in 2009-10 and 2010-11.</t>
  </si>
  <si>
    <t>Met the criteria for Four-Year 5 in 2010-11.</t>
  </si>
  <si>
    <t>Reclassifed: met the criteria for Two-Year 2 in 2008-09, 2009-10 and 2010-11.</t>
  </si>
  <si>
    <t>Met the criteria for Two-Year 1 in 2009-10 and 2010-11.</t>
  </si>
  <si>
    <t>Met the criteria for Two-Year 1 in 2009-10 and in 2010-11.</t>
  </si>
  <si>
    <t>Formerly Daytona Beacah Community College.</t>
  </si>
  <si>
    <t>Reclassified: met the criteria for Two-Year with Bachelor's in 2008-09, 2009-10 and 2010-11</t>
  </si>
  <si>
    <t>Formerly Broward Community College.</t>
  </si>
  <si>
    <t xml:space="preserve">Reclassified: met the criteria for Two-Year 1 in 2008-09, 2009-10 and 2010-11. Formerly Central Florida Community College. </t>
  </si>
  <si>
    <t>Formerly Florida Community College at Jacksonville. Met the criteria for Two-Year with Bachelor's in 2009-10 and 2010-11.</t>
  </si>
  <si>
    <t>Formerly Indian River Community College. Met the criteria for Two-Year with Bachelor's in 2009-10 and 2010-11.</t>
  </si>
  <si>
    <t>Formerly Palm Beach Community College.</t>
  </si>
  <si>
    <t>Formerly Pensacola Junior College.</t>
  </si>
  <si>
    <t>Formerly Polk Community College.</t>
  </si>
  <si>
    <t>Formerly Santa Fe Community College.</t>
  </si>
  <si>
    <t>Formerly Seminole Community College.</t>
  </si>
  <si>
    <t>Met the criteria for Two-Year 1 in  2010-11.</t>
  </si>
  <si>
    <t>Met the criteria for Four-Year 4 in 2010-11.</t>
  </si>
  <si>
    <t>Met the criteria for Four-Year 5 in 2009-10 and 2010-11.</t>
  </si>
  <si>
    <t>Reclassified: met the criteria for Two-Year with Bachelors in 2008-09, 2009-10 and 2010-11.</t>
  </si>
  <si>
    <t>Met the criteria for Two-Year with Bachelor's in 2009-10. Did not award any bachelor's for 2010-11 analysis, looses flag.</t>
  </si>
  <si>
    <t>Met the criteria for Two-Year with Bachelor's in 2009-10.</t>
  </si>
  <si>
    <t>Met the criteria for Two-Year 2 in 2009-10 and 2010-11.</t>
  </si>
  <si>
    <t>In start up phase.</t>
  </si>
  <si>
    <t>Reclassified: met criteria for Technical Institute or College 1 in 2008-09, 2009-10 and 2010-11.</t>
  </si>
  <si>
    <t>Is the merger of Flint River Tech. Col. and Griffin Tech.l Col.</t>
  </si>
  <si>
    <t>Wiregrass Georgia Technical College</t>
  </si>
  <si>
    <t>Is the merger of East Central Tech. Col. and Valdosta Tech. Col.</t>
  </si>
  <si>
    <t>Reclassified: met the criteria for Four-Year 3 in 2008-09, 2009-10 and 2010-11.</t>
  </si>
  <si>
    <t>Reclassified: met the criteria for Four-Year 4 in 2008-09, 2009-10 and 2010-11.</t>
  </si>
  <si>
    <t>Met the criteria for classification as a Two-Year 2 in 2010-11.</t>
  </si>
  <si>
    <t>Met the criteria for Four-year 5 in 2010-11.</t>
  </si>
  <si>
    <t>Met the criteria for Four-Year 6 in 2009-10 and 2010-11.</t>
  </si>
  <si>
    <t>Reclassified: Met criteria for Two-Year 1 in 2008-09, 2009-10 and 2010-11.</t>
  </si>
  <si>
    <t>Now includes LTC-Jefferson Campus and LTC-W.Jefferson Campus</t>
  </si>
  <si>
    <t>Reclassified: Met criteria for Two-Year 2 in 2008-09, 2009-10 and 2010-11.</t>
  </si>
  <si>
    <t>Now includes LTC Tallulah Campus</t>
  </si>
  <si>
    <t>Now includes LTC Ascension Campus</t>
  </si>
  <si>
    <t>Includes LTC Acadian, C.B. Coreil, Evangaline, Gulf Area, Lafayette, T.H. Harris and Teche Area Campuses</t>
  </si>
  <si>
    <t>Includes LTC Baton Rouge, Folkes, Jumonville Memorial and Westside Campuses</t>
  </si>
  <si>
    <t>Includes LTC Alexandria, Avoyelles, Huey P. Long, Lamar-Salter, Morgan Smith, Oakdale and Shelby M. Jackson campuses</t>
  </si>
  <si>
    <t>Includes LTC Bastrop, Delta/Ouachita, North Central, Northeast Louisiana and Ruston Campuses</t>
  </si>
  <si>
    <t>Includes LTC Florida Parishes, Hammond Area and Sullivan Campuses</t>
  </si>
  <si>
    <t>Includes LTC Mansfield, Nachitoches, Northwest Louisiana, Sabine Valley and Shreveport/Bossier campuses.</t>
  </si>
  <si>
    <t>Includes LTC Laforuche, Rivers Parishes and Young Memorial Campuses</t>
  </si>
  <si>
    <t>Met the criteria for  Four-Year 2 in 2009-10 and 2010-11.</t>
  </si>
  <si>
    <t>Reclassified: Met the criteria for Two-Year 2 in 2008-09, 2009-10 and 2010-11.</t>
  </si>
  <si>
    <t>Reclassified: Met criteria for Two-Year 1 2008-09, 2009-10 and 2010-11.</t>
  </si>
  <si>
    <t>Met the criteria for Four-Year 1 in 2009-10 and 2010-11.</t>
  </si>
  <si>
    <t>Reclassified, meets the criteria for Two-Year 1.</t>
  </si>
  <si>
    <t>Reclassified, meets the criteria for Two-Year 2.</t>
  </si>
  <si>
    <t>Reclassified, meets the criteria for Two-Year 3.</t>
  </si>
  <si>
    <t>Met criteria for Two-Year with Bachelor's in 2009-10 and 2010-11.</t>
  </si>
  <si>
    <t>Met the criteria for Two-Year 1 institution in 2009-10 and 2010-11.</t>
  </si>
  <si>
    <t>Met the criteria for Two-Year 2 institution in 2010-11.</t>
  </si>
  <si>
    <t>Met criteria for Technical Institute or College 2 in 2009-10 and 2010-11.</t>
  </si>
  <si>
    <t>New institution in start up phase. (Met the criteria for Technical Institute 2 but they'd like it in "start up" for one more year.)</t>
  </si>
  <si>
    <t>Met the criteria for Two-year 1 in 2010-11.</t>
  </si>
  <si>
    <t>Met the criteria for Two-year 1 in 2009-10 and 2010-11.</t>
  </si>
  <si>
    <t>Met the criteria for Four-Year 2 in 2009-10 and 2010-11.</t>
  </si>
  <si>
    <t>Met the criteria for Technical Institute or College 1 in 2010-11.</t>
  </si>
  <si>
    <t>Met the criteria for Four-Year 1 in 2010-11.</t>
  </si>
  <si>
    <t>Reclassified: Met the criteria for Four-Year 3 in 2008-09, 2009-10 and 2010-11.</t>
  </si>
  <si>
    <t>Met the criteria for Four-Year 3 in 2009-10 and 2010-11.</t>
  </si>
  <si>
    <t>New fall 2009. Met the criteria for Four-Year 4 in 2010-11.</t>
  </si>
  <si>
    <t>New fall 2009. Met the criteria for Four-Year 5 in 2010-11.</t>
  </si>
  <si>
    <t>New fall 2009. No degrees yet granted.</t>
  </si>
  <si>
    <t>Reclassified: met criteria for SREB Four-Year 4 in 2008-09, 2009-10 and 2010-11.</t>
  </si>
  <si>
    <t>Reclassified: met the criteria for Four-Year 5 in 2008-09, 2009-10 and 2010-11.</t>
  </si>
  <si>
    <t>Formerly Marshall Community &amp; Technical College</t>
  </si>
  <si>
    <t>Met criteria for Two-Year 2 in 2010-11.</t>
  </si>
  <si>
    <t>Met the critieria for Two-Year 2 in 2009-10 and 2010-11.</t>
  </si>
  <si>
    <t>Public Universities, Colleges and Technical Institutes, 2010-11</t>
  </si>
  <si>
    <t>Public Technical Institute or College Size Unknown, 2010-11</t>
  </si>
  <si>
    <t>Public Technical Institute or College 2, 2010-11</t>
  </si>
  <si>
    <t>Public Technical Institute or College 1, 2010-11</t>
  </si>
  <si>
    <t>Public Technical Institutes or Colleges, 2010-11</t>
  </si>
  <si>
    <t>Public Two-Year Size Unknown, 2010-11</t>
  </si>
  <si>
    <t>Public Two-Year 3, 2010-11</t>
  </si>
  <si>
    <t>Public Two-Year 2, 2010-11</t>
  </si>
  <si>
    <t>Public Two-Year 1, 2010-11</t>
  </si>
  <si>
    <t>Public Two-Year with Bachelor's, 2010-11</t>
  </si>
  <si>
    <t>Public Two-Year, 2010-11</t>
  </si>
  <si>
    <t>Public Four-Year 6 Institutions, 2010-11</t>
  </si>
  <si>
    <t>Public Four-Year 5 Institutions, 2010-11</t>
  </si>
  <si>
    <t>Public Four-Year 4 Institutions, 2010-11</t>
  </si>
  <si>
    <t>Public Four-Year 3 Institutions, 2010-11</t>
  </si>
  <si>
    <t>Public Four-Year 2 Institutions, 2010-11</t>
  </si>
  <si>
    <t>Public Four-Year 1 Institutions, 2010-11</t>
  </si>
  <si>
    <t>Public Four-Year Institutions, 2010-11</t>
  </si>
  <si>
    <t>Public Two-Year Institutions, 2010-11</t>
  </si>
  <si>
    <t>Public Institutions, SREB States, 2010-11</t>
  </si>
  <si>
    <t>NA</t>
  </si>
  <si>
    <t>11</t>
  </si>
  <si>
    <t>Group2</t>
  </si>
  <si>
    <t xml:space="preserve"> January 2012</t>
  </si>
  <si>
    <t>Table 142</t>
  </si>
  <si>
    <t>Size Un-kown</t>
  </si>
</sst>
</file>

<file path=xl/styles.xml><?xml version="1.0" encoding="utf-8"?>
<styleSheet xmlns="http://schemas.openxmlformats.org/spreadsheetml/2006/main">
  <numFmts count="12">
    <numFmt numFmtId="5" formatCode="&quot;$&quot;#,##0_);\(&quot;$&quot;#,##0\)"/>
    <numFmt numFmtId="43" formatCode="_(* #,##0.00_);_(* \(#,##0.00\);_(* &quot;-&quot;??_);_(@_)"/>
    <numFmt numFmtId="164" formatCode="0_)"/>
    <numFmt numFmtId="165" formatCode=";;;"/>
    <numFmt numFmtId="166" formatCode="_(* #,##0_);_(* \(#,##0\);_(* &quot;-&quot;??_);_(@_)"/>
    <numFmt numFmtId="167" formatCode="&quot;$&quot;#,##0"/>
    <numFmt numFmtId="168" formatCode="0.0%"/>
    <numFmt numFmtId="169" formatCode="#,##0.000_);\(#,##0.000\)"/>
    <numFmt numFmtId="170" formatCode="0.0_)"/>
    <numFmt numFmtId="171" formatCode="####0"/>
    <numFmt numFmtId="172" formatCode="###,##0"/>
    <numFmt numFmtId="173" formatCode="######0"/>
  </numFmts>
  <fonts count="43">
    <font>
      <sz val="12"/>
      <name val="AGaramond"/>
    </font>
    <font>
      <sz val="12"/>
      <name val="AGaramond"/>
      <family val="1"/>
    </font>
    <font>
      <sz val="12"/>
      <name val="AGaramond"/>
      <family val="1"/>
    </font>
    <font>
      <sz val="8"/>
      <name val="Arial"/>
      <family val="2"/>
    </font>
    <font>
      <b/>
      <sz val="14"/>
      <name val="Arial"/>
      <family val="2"/>
    </font>
    <font>
      <b/>
      <sz val="10"/>
      <name val="Arial"/>
      <family val="2"/>
    </font>
    <font>
      <b/>
      <sz val="12"/>
      <name val="Arial"/>
      <family val="2"/>
    </font>
    <font>
      <sz val="10"/>
      <name val="Arial"/>
      <family val="2"/>
    </font>
    <font>
      <b/>
      <sz val="9"/>
      <name val="Arial"/>
      <family val="2"/>
    </font>
    <font>
      <sz val="9"/>
      <name val="Arial"/>
      <family val="2"/>
    </font>
    <font>
      <sz val="12"/>
      <name val="Arial"/>
      <family val="2"/>
    </font>
    <font>
      <i/>
      <sz val="14"/>
      <name val="Arial"/>
      <family val="2"/>
    </font>
    <font>
      <b/>
      <i/>
      <sz val="12"/>
      <name val="Arial"/>
      <family val="2"/>
    </font>
    <font>
      <b/>
      <sz val="9"/>
      <color indexed="8"/>
      <name val="Arial"/>
      <family val="2"/>
    </font>
    <font>
      <sz val="10"/>
      <color indexed="8"/>
      <name val="Arial"/>
      <family val="2"/>
    </font>
    <font>
      <sz val="8"/>
      <name val="AGaramond"/>
      <family val="1"/>
    </font>
    <font>
      <sz val="14"/>
      <name val="Arial"/>
      <family val="2"/>
    </font>
    <font>
      <b/>
      <sz val="10"/>
      <color indexed="43"/>
      <name val="Arial"/>
      <family val="2"/>
    </font>
    <font>
      <b/>
      <sz val="10"/>
      <color indexed="12"/>
      <name val="Arial"/>
      <family val="2"/>
    </font>
    <font>
      <b/>
      <sz val="10"/>
      <color indexed="10"/>
      <name val="ARIAL"/>
      <family val="2"/>
    </font>
    <font>
      <i/>
      <sz val="12"/>
      <name val="Arial"/>
      <family val="2"/>
    </font>
    <font>
      <b/>
      <sz val="8"/>
      <color indexed="81"/>
      <name val="Tahoma"/>
      <family val="2"/>
    </font>
    <font>
      <b/>
      <i/>
      <sz val="14"/>
      <color indexed="8"/>
      <name val="Arial"/>
      <family val="2"/>
    </font>
    <font>
      <sz val="10"/>
      <color indexed="12"/>
      <name val="Arial"/>
      <family val="2"/>
    </font>
    <font>
      <sz val="8"/>
      <color indexed="81"/>
      <name val="Tahoma"/>
      <family val="2"/>
    </font>
    <font>
      <b/>
      <sz val="10"/>
      <color indexed="81"/>
      <name val="Tahoma"/>
      <family val="2"/>
    </font>
    <font>
      <sz val="10"/>
      <color indexed="81"/>
      <name val="Tahoma"/>
      <family val="2"/>
    </font>
    <font>
      <sz val="12"/>
      <name val="AGaramond"/>
      <family val="3"/>
    </font>
    <font>
      <i/>
      <sz val="10"/>
      <name val="Arial"/>
      <family val="2"/>
    </font>
    <font>
      <b/>
      <i/>
      <sz val="12"/>
      <name val="AGaramond"/>
      <family val="1"/>
    </font>
    <font>
      <b/>
      <sz val="12"/>
      <name val="AGaramond"/>
      <family val="1"/>
    </font>
    <font>
      <b/>
      <sz val="10"/>
      <color theme="0"/>
      <name val="Arial"/>
      <family val="2"/>
    </font>
    <font>
      <b/>
      <sz val="10"/>
      <color rgb="FF0000FF"/>
      <name val="Arial"/>
      <family val="2"/>
    </font>
    <font>
      <sz val="10"/>
      <color rgb="FF0000FF"/>
      <name val="Arial"/>
      <family val="2"/>
    </font>
    <font>
      <b/>
      <sz val="10"/>
      <color indexed="10"/>
      <name val="Tahoma"/>
      <family val="2"/>
    </font>
    <font>
      <sz val="11"/>
      <color theme="1"/>
      <name val="Calibri"/>
      <family val="2"/>
      <scheme val="minor"/>
    </font>
    <font>
      <sz val="10"/>
      <color indexed="10"/>
      <name val="Tahoma"/>
      <family val="2"/>
    </font>
    <font>
      <b/>
      <sz val="10"/>
      <color rgb="FFC00000"/>
      <name val="Arial"/>
      <family val="2"/>
    </font>
    <font>
      <b/>
      <sz val="10"/>
      <name val="AGaramond"/>
      <family val="1"/>
    </font>
    <font>
      <b/>
      <i/>
      <sz val="10"/>
      <name val="Times New Roman"/>
      <family val="1"/>
    </font>
    <font>
      <b/>
      <i/>
      <sz val="10"/>
      <name val="Arial"/>
      <family val="2"/>
    </font>
    <font>
      <b/>
      <i/>
      <sz val="10"/>
      <color rgb="FFC00000"/>
      <name val="Arial"/>
      <family val="2"/>
    </font>
    <font>
      <b/>
      <i/>
      <sz val="10"/>
      <color rgb="FFC00000"/>
      <name val="Times New Roman"/>
      <family val="1"/>
    </font>
  </fonts>
  <fills count="30">
    <fill>
      <patternFill patternType="none"/>
    </fill>
    <fill>
      <patternFill patternType="gray125"/>
    </fill>
    <fill>
      <patternFill patternType="solid">
        <fgColor indexed="16"/>
        <bgColor indexed="64"/>
      </patternFill>
    </fill>
    <fill>
      <patternFill patternType="solid">
        <fgColor indexed="47"/>
        <bgColor indexed="64"/>
      </patternFill>
    </fill>
    <fill>
      <patternFill patternType="solid">
        <fgColor indexed="46"/>
        <bgColor indexed="64"/>
      </patternFill>
    </fill>
    <fill>
      <patternFill patternType="solid">
        <fgColor indexed="13"/>
        <bgColor indexed="64"/>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indexed="45"/>
        <bgColor indexed="64"/>
      </patternFill>
    </fill>
    <fill>
      <patternFill patternType="solid">
        <fgColor indexed="43"/>
        <bgColor indexed="64"/>
      </patternFill>
    </fill>
    <fill>
      <patternFill patternType="solid">
        <fgColor indexed="51"/>
        <bgColor indexed="64"/>
      </patternFill>
    </fill>
    <fill>
      <patternFill patternType="solid">
        <fgColor indexed="42"/>
        <bgColor indexed="64"/>
      </patternFill>
    </fill>
    <fill>
      <patternFill patternType="solid">
        <fgColor indexed="42"/>
        <bgColor indexed="42"/>
      </patternFill>
    </fill>
    <fill>
      <patternFill patternType="solid">
        <fgColor indexed="15"/>
        <bgColor indexed="64"/>
      </patternFill>
    </fill>
    <fill>
      <patternFill patternType="solid">
        <fgColor indexed="15"/>
        <bgColor indexed="42"/>
      </patternFill>
    </fill>
    <fill>
      <patternFill patternType="solid">
        <fgColor indexed="47"/>
        <bgColor indexed="42"/>
      </patternFill>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99CC"/>
        <bgColor indexed="64"/>
      </patternFill>
    </fill>
    <fill>
      <patternFill patternType="solid">
        <fgColor rgb="FFFFCC00"/>
        <bgColor indexed="64"/>
      </patternFill>
    </fill>
    <fill>
      <patternFill patternType="solid">
        <fgColor indexed="51"/>
        <bgColor indexed="42"/>
      </patternFill>
    </fill>
    <fill>
      <patternFill patternType="solid">
        <fgColor indexed="43"/>
        <bgColor indexed="42"/>
      </patternFill>
    </fill>
    <fill>
      <patternFill patternType="solid">
        <fgColor indexed="42"/>
      </patternFill>
    </fill>
    <fill>
      <patternFill patternType="solid">
        <fgColor rgb="FF00FF00"/>
        <bgColor indexed="64"/>
      </patternFill>
    </fill>
    <fill>
      <patternFill patternType="solid">
        <fgColor rgb="FFC0E399"/>
        <bgColor indexed="64"/>
      </patternFill>
    </fill>
  </fills>
  <borders count="52">
    <border>
      <left/>
      <right/>
      <top/>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8"/>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style="thin">
        <color indexed="64"/>
      </bottom>
      <diagonal/>
    </border>
    <border>
      <left/>
      <right style="thin">
        <color indexed="8"/>
      </right>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diagonal/>
    </border>
    <border>
      <left/>
      <right/>
      <top/>
      <bottom style="double">
        <color indexed="64"/>
      </bottom>
      <diagonal/>
    </border>
    <border>
      <left style="medium">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8"/>
      </top>
      <bottom/>
      <diagonal/>
    </border>
    <border>
      <left style="thin">
        <color indexed="8"/>
      </left>
      <right style="thin">
        <color indexed="8"/>
      </right>
      <top style="thin">
        <color indexed="8"/>
      </top>
      <bottom style="thin">
        <color indexed="64"/>
      </bottom>
      <diagonal/>
    </border>
  </borders>
  <cellStyleXfs count="38">
    <xf numFmtId="164" fontId="0" fillId="0" borderId="0"/>
    <xf numFmtId="43" fontId="2" fillId="0" borderId="0" applyFont="0" applyFill="0" applyBorder="0" applyAlignment="0" applyProtection="0"/>
    <xf numFmtId="169" fontId="1" fillId="0" borderId="0"/>
    <xf numFmtId="164" fontId="1" fillId="0" borderId="0"/>
    <xf numFmtId="164" fontId="1" fillId="0" borderId="0"/>
    <xf numFmtId="169" fontId="1" fillId="0" borderId="0"/>
    <xf numFmtId="3" fontId="3" fillId="0" borderId="0"/>
    <xf numFmtId="3" fontId="3" fillId="0" borderId="0"/>
    <xf numFmtId="164" fontId="1" fillId="0" borderId="0"/>
    <xf numFmtId="9" fontId="2" fillId="0" borderId="0" applyFont="0" applyFill="0" applyBorder="0" applyAlignment="0" applyProtection="0"/>
    <xf numFmtId="43" fontId="1" fillId="0" borderId="0" applyFont="0" applyFill="0" applyBorder="0" applyAlignment="0" applyProtection="0"/>
    <xf numFmtId="164" fontId="1" fillId="0" borderId="0"/>
    <xf numFmtId="43" fontId="27" fillId="0" borderId="0" applyFont="0" applyFill="0" applyBorder="0" applyAlignment="0" applyProtection="0"/>
    <xf numFmtId="164"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 fillId="0" borderId="0"/>
    <xf numFmtId="0" fontId="7" fillId="0" borderId="0"/>
    <xf numFmtId="164" fontId="27" fillId="0" borderId="0"/>
    <xf numFmtId="169" fontId="1" fillId="0" borderId="0"/>
    <xf numFmtId="0" fontId="35" fillId="0" borderId="0"/>
    <xf numFmtId="169" fontId="1" fillId="0" borderId="0"/>
    <xf numFmtId="43" fontId="7" fillId="0" borderId="0" applyFont="0" applyFill="0" applyBorder="0" applyAlignment="0" applyProtection="0"/>
    <xf numFmtId="164" fontId="1" fillId="0" borderId="0"/>
  </cellStyleXfs>
  <cellXfs count="665">
    <xf numFmtId="164" fontId="0" fillId="0" borderId="0" xfId="0"/>
    <xf numFmtId="164" fontId="3" fillId="0" borderId="0" xfId="0" applyFont="1"/>
    <xf numFmtId="165" fontId="5" fillId="0" borderId="0" xfId="0" applyNumberFormat="1" applyFont="1" applyAlignment="1" applyProtection="1">
      <alignment horizontal="centerContinuous"/>
    </xf>
    <xf numFmtId="164" fontId="5" fillId="0" borderId="0" xfId="0" applyFont="1" applyAlignment="1" applyProtection="1">
      <alignment horizontal="centerContinuous"/>
    </xf>
    <xf numFmtId="164" fontId="6" fillId="0" borderId="0" xfId="0" applyFont="1" applyAlignment="1" applyProtection="1">
      <alignment horizontal="centerContinuous"/>
    </xf>
    <xf numFmtId="164" fontId="7" fillId="0" borderId="0" xfId="0" applyFont="1" applyAlignment="1" applyProtection="1">
      <alignment horizontal="centerContinuous"/>
    </xf>
    <xf numFmtId="37" fontId="8" fillId="0" borderId="1" xfId="0" applyNumberFormat="1" applyFont="1" applyBorder="1" applyAlignment="1" applyProtection="1">
      <alignment horizontal="center"/>
    </xf>
    <xf numFmtId="164" fontId="8" fillId="0" borderId="1" xfId="0" applyFont="1" applyBorder="1" applyAlignment="1" applyProtection="1">
      <alignment horizontal="center"/>
    </xf>
    <xf numFmtId="37" fontId="7" fillId="0" borderId="0" xfId="0" applyNumberFormat="1" applyFont="1" applyAlignment="1" applyProtection="1">
      <alignment horizontal="left"/>
    </xf>
    <xf numFmtId="167" fontId="7" fillId="0" borderId="0" xfId="0" applyNumberFormat="1" applyFont="1" applyAlignment="1" applyProtection="1">
      <alignment horizontal="right"/>
    </xf>
    <xf numFmtId="37" fontId="7" fillId="0" borderId="0" xfId="0" applyNumberFormat="1" applyFont="1" applyAlignment="1" applyProtection="1">
      <alignment horizontal="right"/>
    </xf>
    <xf numFmtId="37" fontId="7" fillId="0" borderId="1" xfId="0" applyNumberFormat="1" applyFont="1" applyBorder="1" applyAlignment="1" applyProtection="1">
      <alignment horizontal="left"/>
    </xf>
    <xf numFmtId="164" fontId="7" fillId="0" borderId="0" xfId="0" applyFont="1" applyAlignment="1" applyProtection="1">
      <alignment horizontal="left"/>
    </xf>
    <xf numFmtId="164" fontId="4" fillId="0" borderId="0" xfId="0" applyFont="1" applyAlignment="1" applyProtection="1">
      <alignment horizontal="centerContinuous"/>
    </xf>
    <xf numFmtId="37" fontId="7" fillId="0" borderId="0" xfId="0" applyNumberFormat="1" applyFont="1" applyAlignment="1" applyProtection="1">
      <alignment horizontal="centerContinuous"/>
    </xf>
    <xf numFmtId="164" fontId="7" fillId="0" borderId="2" xfId="0" applyFont="1" applyBorder="1" applyAlignment="1" applyProtection="1">
      <alignment horizontal="left"/>
    </xf>
    <xf numFmtId="164" fontId="7" fillId="0" borderId="1" xfId="0" applyFont="1" applyBorder="1" applyAlignment="1" applyProtection="1">
      <alignment horizontal="left"/>
    </xf>
    <xf numFmtId="164" fontId="7" fillId="0" borderId="0" xfId="0" applyFont="1" applyAlignment="1" applyProtection="1">
      <alignment horizontal="right"/>
    </xf>
    <xf numFmtId="37" fontId="8" fillId="0" borderId="3" xfId="0" applyNumberFormat="1" applyFont="1" applyBorder="1" applyAlignment="1" applyProtection="1">
      <alignment horizontal="centerContinuous"/>
    </xf>
    <xf numFmtId="164" fontId="8" fillId="0" borderId="3" xfId="0" applyFont="1" applyBorder="1" applyAlignment="1" applyProtection="1">
      <alignment horizontal="centerContinuous"/>
    </xf>
    <xf numFmtId="5" fontId="7" fillId="0" borderId="0" xfId="0" applyNumberFormat="1" applyFont="1" applyAlignment="1" applyProtection="1">
      <alignment horizontal="left"/>
    </xf>
    <xf numFmtId="37" fontId="8" fillId="0" borderId="2" xfId="0" applyNumberFormat="1" applyFont="1" applyBorder="1" applyAlignment="1" applyProtection="1">
      <alignment horizontal="centerContinuous"/>
    </xf>
    <xf numFmtId="164" fontId="8" fillId="0" borderId="2" xfId="0" applyFont="1" applyBorder="1" applyAlignment="1" applyProtection="1">
      <alignment horizontal="centerContinuous"/>
    </xf>
    <xf numFmtId="164" fontId="7" fillId="0" borderId="0" xfId="0" applyFont="1" applyAlignment="1" applyProtection="1"/>
    <xf numFmtId="37" fontId="7" fillId="0" borderId="1" xfId="0" applyNumberFormat="1" applyFont="1" applyFill="1" applyBorder="1" applyAlignment="1" applyProtection="1">
      <alignment horizontal="left"/>
    </xf>
    <xf numFmtId="164" fontId="7" fillId="0" borderId="1" xfId="0" applyFont="1" applyBorder="1" applyAlignment="1" applyProtection="1">
      <alignment horizontal="centerContinuous"/>
    </xf>
    <xf numFmtId="37" fontId="7" fillId="0" borderId="4" xfId="0" applyNumberFormat="1" applyFont="1" applyBorder="1" applyAlignment="1" applyProtection="1">
      <alignment horizontal="left"/>
    </xf>
    <xf numFmtId="164" fontId="10" fillId="0" borderId="0" xfId="0" applyFont="1"/>
    <xf numFmtId="164" fontId="12" fillId="0" borderId="0" xfId="0" applyFont="1" applyBorder="1"/>
    <xf numFmtId="164" fontId="12" fillId="0" borderId="5" xfId="0" applyFont="1" applyBorder="1"/>
    <xf numFmtId="37" fontId="14" fillId="0" borderId="0" xfId="0" applyNumberFormat="1" applyFont="1" applyAlignment="1" applyProtection="1">
      <alignment vertical="center"/>
    </xf>
    <xf numFmtId="9" fontId="14" fillId="0" borderId="4" xfId="0" applyNumberFormat="1" applyFont="1" applyBorder="1" applyAlignment="1">
      <alignment vertical="center"/>
    </xf>
    <xf numFmtId="9" fontId="14" fillId="0" borderId="6" xfId="0" applyNumberFormat="1" applyFont="1" applyBorder="1" applyAlignment="1">
      <alignment vertical="center"/>
    </xf>
    <xf numFmtId="9" fontId="14" fillId="0" borderId="7" xfId="0" applyNumberFormat="1" applyFont="1" applyBorder="1" applyAlignment="1">
      <alignment vertical="center"/>
    </xf>
    <xf numFmtId="9" fontId="14" fillId="0" borderId="0" xfId="0" applyNumberFormat="1" applyFont="1" applyBorder="1" applyAlignment="1">
      <alignment vertical="center"/>
    </xf>
    <xf numFmtId="37" fontId="14" fillId="0" borderId="5" xfId="0" applyNumberFormat="1" applyFont="1" applyBorder="1" applyAlignment="1" applyProtection="1">
      <alignment vertical="center"/>
    </xf>
    <xf numFmtId="9" fontId="14" fillId="0" borderId="8" xfId="0" applyNumberFormat="1" applyFont="1" applyBorder="1" applyAlignment="1">
      <alignment vertical="center"/>
    </xf>
    <xf numFmtId="9" fontId="14" fillId="0" borderId="5" xfId="0" applyNumberFormat="1" applyFont="1" applyBorder="1" applyAlignment="1">
      <alignment vertical="center"/>
    </xf>
    <xf numFmtId="37" fontId="14" fillId="0" borderId="0" xfId="0" applyNumberFormat="1" applyFont="1" applyBorder="1" applyAlignment="1" applyProtection="1">
      <alignment vertical="center"/>
    </xf>
    <xf numFmtId="164" fontId="10" fillId="0" borderId="0" xfId="0" applyFont="1" applyBorder="1"/>
    <xf numFmtId="37" fontId="4" fillId="0" borderId="0" xfId="0" applyNumberFormat="1" applyFont="1" applyBorder="1" applyAlignment="1" applyProtection="1">
      <alignment horizontal="centerContinuous"/>
    </xf>
    <xf numFmtId="37" fontId="11" fillId="0" borderId="0" xfId="0" applyNumberFormat="1" applyFont="1" applyBorder="1" applyAlignment="1" applyProtection="1">
      <alignment horizontal="centerContinuous"/>
    </xf>
    <xf numFmtId="164" fontId="8" fillId="0" borderId="2" xfId="0" applyFont="1" applyBorder="1" applyAlignment="1" applyProtection="1">
      <alignment horizontal="left" vertical="center"/>
    </xf>
    <xf numFmtId="37" fontId="8" fillId="0" borderId="2" xfId="0" applyNumberFormat="1" applyFont="1" applyBorder="1" applyAlignment="1" applyProtection="1">
      <alignment horizontal="center" vertical="center"/>
    </xf>
    <xf numFmtId="164" fontId="8" fillId="0" borderId="1" xfId="0" applyFont="1" applyBorder="1" applyAlignment="1" applyProtection="1">
      <alignment horizontal="left" vertical="center"/>
    </xf>
    <xf numFmtId="37" fontId="8" fillId="0" borderId="1" xfId="0" applyNumberFormat="1" applyFont="1" applyBorder="1" applyAlignment="1" applyProtection="1">
      <alignment horizontal="center" vertical="center"/>
    </xf>
    <xf numFmtId="164" fontId="16" fillId="0" borderId="0" xfId="0" applyFont="1" applyBorder="1" applyAlignment="1">
      <alignment horizontal="centerContinuous"/>
    </xf>
    <xf numFmtId="164" fontId="16" fillId="0" borderId="0" xfId="0" applyFont="1" applyAlignment="1">
      <alignment horizontal="centerContinuous"/>
    </xf>
    <xf numFmtId="164" fontId="11" fillId="0" borderId="0" xfId="0" applyFont="1" applyBorder="1" applyAlignment="1">
      <alignment horizontal="centerContinuous"/>
    </xf>
    <xf numFmtId="164" fontId="11" fillId="0" borderId="0" xfId="0" applyFont="1" applyAlignment="1">
      <alignment horizontal="centerContinuous"/>
    </xf>
    <xf numFmtId="164" fontId="10" fillId="0" borderId="5" xfId="0" applyFont="1" applyBorder="1"/>
    <xf numFmtId="164" fontId="9" fillId="0" borderId="9" xfId="0" applyFont="1" applyBorder="1" applyAlignment="1">
      <alignment horizontal="centerContinuous"/>
    </xf>
    <xf numFmtId="164" fontId="10" fillId="0" borderId="4" xfId="0" applyFont="1" applyBorder="1"/>
    <xf numFmtId="164" fontId="8" fillId="0" borderId="9" xfId="0" applyFont="1" applyBorder="1" applyAlignment="1">
      <alignment horizontal="center"/>
    </xf>
    <xf numFmtId="164" fontId="10" fillId="0" borderId="0" xfId="0" applyFont="1" applyAlignment="1">
      <alignment vertical="top"/>
    </xf>
    <xf numFmtId="164" fontId="8" fillId="0" borderId="10" xfId="0" applyFont="1" applyBorder="1" applyAlignment="1">
      <alignment horizontal="centerContinuous"/>
    </xf>
    <xf numFmtId="164" fontId="9" fillId="0" borderId="4" xfId="0" applyFont="1" applyBorder="1" applyAlignment="1">
      <alignment horizontal="centerContinuous"/>
    </xf>
    <xf numFmtId="166" fontId="13" fillId="0" borderId="10" xfId="1" applyNumberFormat="1" applyFont="1" applyBorder="1" applyAlignment="1" applyProtection="1">
      <alignment horizontal="centerContinuous"/>
    </xf>
    <xf numFmtId="166" fontId="13" fillId="0" borderId="7" xfId="1" applyNumberFormat="1" applyFont="1" applyBorder="1" applyAlignment="1" applyProtection="1">
      <alignment horizontal="centerContinuous"/>
    </xf>
    <xf numFmtId="164" fontId="8" fillId="0" borderId="9" xfId="0" applyFont="1" applyBorder="1" applyAlignment="1">
      <alignment horizontal="center" wrapText="1"/>
    </xf>
    <xf numFmtId="164" fontId="8" fillId="0" borderId="1" xfId="0" applyFont="1" applyBorder="1" applyAlignment="1" applyProtection="1">
      <alignment horizontal="right"/>
    </xf>
    <xf numFmtId="37" fontId="8" fillId="0" borderId="1" xfId="0" applyNumberFormat="1" applyFont="1" applyBorder="1" applyAlignment="1" applyProtection="1">
      <alignment horizontal="right"/>
    </xf>
    <xf numFmtId="3" fontId="7" fillId="0" borderId="0" xfId="0" applyNumberFormat="1" applyFont="1" applyAlignment="1" applyProtection="1">
      <alignment horizontal="right"/>
    </xf>
    <xf numFmtId="0" fontId="7" fillId="0" borderId="0" xfId="0" applyNumberFormat="1" applyFont="1" applyAlignment="1" applyProtection="1">
      <alignment horizontal="right"/>
    </xf>
    <xf numFmtId="3" fontId="7" fillId="0" borderId="4" xfId="0" applyNumberFormat="1" applyFont="1" applyBorder="1" applyAlignment="1" applyProtection="1">
      <alignment horizontal="right"/>
    </xf>
    <xf numFmtId="0" fontId="7" fillId="0" borderId="4" xfId="0" applyNumberFormat="1" applyFont="1" applyBorder="1" applyAlignment="1" applyProtection="1">
      <alignment horizontal="right"/>
    </xf>
    <xf numFmtId="37" fontId="7" fillId="0" borderId="4" xfId="0" applyNumberFormat="1" applyFont="1" applyBorder="1" applyAlignment="1" applyProtection="1">
      <alignment horizontal="right"/>
    </xf>
    <xf numFmtId="9" fontId="14" fillId="0" borderId="11" xfId="0" applyNumberFormat="1" applyFont="1" applyBorder="1" applyAlignment="1">
      <alignment vertical="center"/>
    </xf>
    <xf numFmtId="9" fontId="14" fillId="0" borderId="12" xfId="0" applyNumberFormat="1" applyFont="1" applyBorder="1" applyAlignment="1">
      <alignment vertical="center"/>
    </xf>
    <xf numFmtId="9" fontId="14" fillId="0" borderId="13" xfId="0" applyNumberFormat="1" applyFont="1" applyBorder="1" applyAlignment="1">
      <alignment vertical="center"/>
    </xf>
    <xf numFmtId="164" fontId="12" fillId="0" borderId="4" xfId="0" applyFont="1" applyBorder="1"/>
    <xf numFmtId="164" fontId="10" fillId="0" borderId="9" xfId="0" applyFont="1" applyBorder="1"/>
    <xf numFmtId="164" fontId="12" fillId="0" borderId="9" xfId="0" applyFont="1" applyBorder="1"/>
    <xf numFmtId="164" fontId="8" fillId="0" borderId="10" xfId="0" applyFont="1" applyBorder="1" applyAlignment="1">
      <alignment horizontal="center"/>
    </xf>
    <xf numFmtId="164" fontId="7" fillId="0" borderId="0" xfId="0" applyFont="1"/>
    <xf numFmtId="164" fontId="0" fillId="0" borderId="14" xfId="0" applyBorder="1"/>
    <xf numFmtId="166" fontId="10" fillId="0" borderId="0" xfId="1" applyNumberFormat="1" applyFont="1"/>
    <xf numFmtId="164" fontId="7" fillId="0" borderId="14" xfId="0" applyFont="1" applyBorder="1"/>
    <xf numFmtId="166" fontId="7" fillId="0" borderId="0" xfId="1" applyNumberFormat="1" applyFont="1"/>
    <xf numFmtId="164" fontId="8" fillId="0" borderId="4" xfId="0" applyFont="1" applyBorder="1" applyAlignment="1">
      <alignment horizontal="centerContinuous"/>
    </xf>
    <xf numFmtId="164" fontId="8" fillId="0" borderId="20" xfId="0" applyFont="1" applyBorder="1" applyAlignment="1">
      <alignment horizontal="centerContinuous"/>
    </xf>
    <xf numFmtId="164" fontId="8" fillId="0" borderId="21" xfId="0" applyFont="1" applyBorder="1" applyAlignment="1">
      <alignment horizontal="center" wrapText="1"/>
    </xf>
    <xf numFmtId="164" fontId="16" fillId="2" borderId="0" xfId="0" applyFont="1" applyFill="1" applyAlignment="1">
      <alignment horizontal="centerContinuous"/>
    </xf>
    <xf numFmtId="164" fontId="11" fillId="2" borderId="0" xfId="0" applyFont="1" applyFill="1" applyAlignment="1">
      <alignment horizontal="centerContinuous"/>
    </xf>
    <xf numFmtId="164" fontId="10" fillId="2" borderId="0" xfId="0" applyFont="1" applyFill="1"/>
    <xf numFmtId="164" fontId="9" fillId="2" borderId="9" xfId="0" applyFont="1" applyFill="1" applyBorder="1" applyAlignment="1">
      <alignment horizontal="centerContinuous"/>
    </xf>
    <xf numFmtId="164" fontId="8" fillId="2" borderId="9" xfId="0" applyFont="1" applyFill="1" applyBorder="1" applyAlignment="1">
      <alignment horizontal="center"/>
    </xf>
    <xf numFmtId="9" fontId="14" fillId="2" borderId="0" xfId="0" applyNumberFormat="1" applyFont="1" applyFill="1" applyBorder="1" applyAlignment="1">
      <alignment vertical="center"/>
    </xf>
    <xf numFmtId="9" fontId="14" fillId="2" borderId="4" xfId="0" applyNumberFormat="1" applyFont="1" applyFill="1" applyBorder="1" applyAlignment="1">
      <alignment vertical="center"/>
    </xf>
    <xf numFmtId="166" fontId="16" fillId="0" borderId="0" xfId="1" applyNumberFormat="1" applyFont="1" applyAlignment="1">
      <alignment horizontal="centerContinuous"/>
    </xf>
    <xf numFmtId="166" fontId="16" fillId="0" borderId="0" xfId="1" applyNumberFormat="1" applyFont="1" applyBorder="1" applyAlignment="1">
      <alignment horizontal="centerContinuous"/>
    </xf>
    <xf numFmtId="166" fontId="11" fillId="0" borderId="0" xfId="1" applyNumberFormat="1" applyFont="1" applyAlignment="1">
      <alignment horizontal="centerContinuous"/>
    </xf>
    <xf numFmtId="166" fontId="11" fillId="0" borderId="0" xfId="1" applyNumberFormat="1" applyFont="1" applyBorder="1" applyAlignment="1">
      <alignment horizontal="centerContinuous"/>
    </xf>
    <xf numFmtId="166" fontId="3" fillId="0" borderId="0" xfId="1" applyNumberFormat="1" applyFont="1"/>
    <xf numFmtId="166" fontId="10" fillId="0" borderId="0" xfId="1" applyNumberFormat="1" applyFont="1" applyBorder="1"/>
    <xf numFmtId="166" fontId="9" fillId="0" borderId="9" xfId="1" applyNumberFormat="1" applyFont="1" applyBorder="1" applyAlignment="1">
      <alignment horizontal="centerContinuous"/>
    </xf>
    <xf numFmtId="166" fontId="9" fillId="0" borderId="4" xfId="1" applyNumberFormat="1" applyFont="1" applyBorder="1" applyAlignment="1">
      <alignment horizontal="centerContinuous"/>
    </xf>
    <xf numFmtId="166" fontId="8" fillId="0" borderId="10" xfId="1" applyNumberFormat="1" applyFont="1" applyBorder="1" applyAlignment="1">
      <alignment horizontal="centerContinuous"/>
    </xf>
    <xf numFmtId="166" fontId="8" fillId="0" borderId="4" xfId="1" applyNumberFormat="1" applyFont="1" applyBorder="1" applyAlignment="1">
      <alignment horizontal="centerContinuous"/>
    </xf>
    <xf numFmtId="166" fontId="8" fillId="0" borderId="20" xfId="1" applyNumberFormat="1" applyFont="1" applyBorder="1" applyAlignment="1">
      <alignment horizontal="centerContinuous"/>
    </xf>
    <xf numFmtId="166" fontId="8" fillId="0" borderId="10" xfId="1" applyNumberFormat="1" applyFont="1" applyBorder="1" applyAlignment="1">
      <alignment horizontal="center"/>
    </xf>
    <xf numFmtId="166" fontId="8" fillId="0" borderId="9" xfId="1" applyNumberFormat="1" applyFont="1" applyBorder="1" applyAlignment="1">
      <alignment horizontal="center"/>
    </xf>
    <xf numFmtId="166" fontId="8" fillId="0" borderId="9" xfId="1" applyNumberFormat="1" applyFont="1" applyBorder="1" applyAlignment="1">
      <alignment horizontal="center" wrapText="1"/>
    </xf>
    <xf numFmtId="166" fontId="8" fillId="0" borderId="21" xfId="1" applyNumberFormat="1" applyFont="1" applyBorder="1" applyAlignment="1">
      <alignment horizontal="center" wrapText="1"/>
    </xf>
    <xf numFmtId="166" fontId="14" fillId="0" borderId="8" xfId="1" applyNumberFormat="1" applyFont="1" applyBorder="1" applyAlignment="1">
      <alignment vertical="center"/>
    </xf>
    <xf numFmtId="166" fontId="14" fillId="0" borderId="5" xfId="1" applyNumberFormat="1" applyFont="1" applyBorder="1" applyAlignment="1">
      <alignment vertical="center"/>
    </xf>
    <xf numFmtId="166" fontId="14" fillId="0" borderId="11" xfId="1" applyNumberFormat="1" applyFont="1" applyBorder="1" applyAlignment="1">
      <alignment vertical="center"/>
    </xf>
    <xf numFmtId="166" fontId="14" fillId="0" borderId="22" xfId="1" applyNumberFormat="1" applyFont="1" applyBorder="1" applyAlignment="1">
      <alignment vertical="center"/>
    </xf>
    <xf numFmtId="166" fontId="14" fillId="0" borderId="6" xfId="1" applyNumberFormat="1" applyFont="1" applyBorder="1" applyAlignment="1">
      <alignment vertical="center"/>
    </xf>
    <xf numFmtId="166" fontId="14" fillId="0" borderId="0" xfId="1" applyNumberFormat="1" applyFont="1" applyBorder="1" applyAlignment="1">
      <alignment vertical="center"/>
    </xf>
    <xf numFmtId="166" fontId="14" fillId="0" borderId="12" xfId="1" applyNumberFormat="1" applyFont="1" applyBorder="1" applyAlignment="1">
      <alignment vertical="center"/>
    </xf>
    <xf numFmtId="166" fontId="14" fillId="0" borderId="23" xfId="1" applyNumberFormat="1" applyFont="1" applyBorder="1" applyAlignment="1">
      <alignment vertical="center"/>
    </xf>
    <xf numFmtId="166" fontId="14" fillId="0" borderId="7" xfId="1" applyNumberFormat="1" applyFont="1" applyBorder="1" applyAlignment="1">
      <alignment vertical="center"/>
    </xf>
    <xf numFmtId="166" fontId="14" fillId="0" borderId="4" xfId="1" applyNumberFormat="1" applyFont="1" applyBorder="1" applyAlignment="1">
      <alignment vertical="center"/>
    </xf>
    <xf numFmtId="166" fontId="14" fillId="0" borderId="13" xfId="1" applyNumberFormat="1" applyFont="1" applyBorder="1" applyAlignment="1">
      <alignment vertical="center"/>
    </xf>
    <xf numFmtId="166" fontId="14" fillId="0" borderId="24" xfId="1" applyNumberFormat="1" applyFont="1" applyBorder="1" applyAlignment="1">
      <alignment vertical="center"/>
    </xf>
    <xf numFmtId="166" fontId="10" fillId="0" borderId="0" xfId="1" applyNumberFormat="1" applyFont="1" applyAlignment="1">
      <alignment vertical="top"/>
    </xf>
    <xf numFmtId="9" fontId="17" fillId="2" borderId="0" xfId="0" applyNumberFormat="1" applyFont="1" applyFill="1" applyBorder="1" applyAlignment="1">
      <alignment vertical="center"/>
    </xf>
    <xf numFmtId="168" fontId="14" fillId="0" borderId="12" xfId="0" applyNumberFormat="1" applyFont="1" applyBorder="1" applyAlignment="1">
      <alignment vertical="center"/>
    </xf>
    <xf numFmtId="164" fontId="8" fillId="0" borderId="10" xfId="0" applyFont="1" applyBorder="1" applyAlignment="1">
      <alignment horizontal="center" wrapText="1"/>
    </xf>
    <xf numFmtId="166" fontId="8" fillId="0" borderId="10" xfId="1" applyNumberFormat="1" applyFont="1" applyBorder="1" applyAlignment="1">
      <alignment horizontal="center" wrapText="1"/>
    </xf>
    <xf numFmtId="3" fontId="7" fillId="0" borderId="0" xfId="1" applyNumberFormat="1" applyFont="1" applyAlignment="1" applyProtection="1"/>
    <xf numFmtId="3" fontId="7" fillId="0" borderId="4" xfId="1" applyNumberFormat="1" applyFont="1" applyBorder="1" applyAlignment="1" applyProtection="1"/>
    <xf numFmtId="167" fontId="7" fillId="0" borderId="0" xfId="0" applyNumberFormat="1" applyFont="1" applyAlignment="1" applyProtection="1"/>
    <xf numFmtId="37" fontId="8" fillId="0" borderId="25" xfId="0" applyNumberFormat="1" applyFont="1" applyBorder="1" applyAlignment="1" applyProtection="1">
      <alignment horizontal="centerContinuous"/>
    </xf>
    <xf numFmtId="164" fontId="8" fillId="0" borderId="26" xfId="0" applyFont="1" applyBorder="1" applyAlignment="1" applyProtection="1">
      <alignment horizontal="center"/>
    </xf>
    <xf numFmtId="164" fontId="0" fillId="0" borderId="0" xfId="0" applyBorder="1"/>
    <xf numFmtId="3" fontId="7" fillId="0" borderId="14" xfId="0" applyNumberFormat="1" applyFont="1" applyBorder="1" applyAlignment="1" applyProtection="1">
      <alignment horizontal="right"/>
    </xf>
    <xf numFmtId="3" fontId="7" fillId="0" borderId="27" xfId="0" applyNumberFormat="1" applyFont="1" applyBorder="1" applyAlignment="1" applyProtection="1">
      <alignment horizontal="right"/>
    </xf>
    <xf numFmtId="3" fontId="7" fillId="0" borderId="0" xfId="0" applyNumberFormat="1" applyFont="1" applyBorder="1" applyAlignment="1" applyProtection="1">
      <alignment horizontal="right"/>
    </xf>
    <xf numFmtId="0" fontId="7" fillId="0" borderId="0" xfId="0" applyNumberFormat="1" applyFont="1" applyBorder="1" applyAlignment="1" applyProtection="1">
      <alignment horizontal="right"/>
    </xf>
    <xf numFmtId="37" fontId="8" fillId="0" borderId="0" xfId="0" applyNumberFormat="1" applyFont="1" applyBorder="1" applyAlignment="1" applyProtection="1">
      <alignment horizontal="centerContinuous"/>
    </xf>
    <xf numFmtId="164" fontId="8" fillId="0" borderId="0" xfId="0" applyFont="1" applyBorder="1" applyAlignment="1" applyProtection="1">
      <alignment horizontal="centerContinuous"/>
    </xf>
    <xf numFmtId="164" fontId="8" fillId="0" borderId="0" xfId="0" applyFont="1" applyBorder="1" applyAlignment="1" applyProtection="1">
      <alignment horizontal="right"/>
    </xf>
    <xf numFmtId="164" fontId="8" fillId="0" borderId="26" xfId="0" applyFont="1" applyBorder="1" applyAlignment="1" applyProtection="1">
      <alignment horizontal="right"/>
    </xf>
    <xf numFmtId="164" fontId="0" fillId="0" borderId="0" xfId="0" applyAlignment="1">
      <alignment horizontal="centerContinuous"/>
    </xf>
    <xf numFmtId="3" fontId="7" fillId="0" borderId="0" xfId="1" applyNumberFormat="1" applyFont="1" applyAlignment="1" applyProtection="1">
      <alignment horizontal="right"/>
    </xf>
    <xf numFmtId="3" fontId="7" fillId="0" borderId="4" xfId="1" applyNumberFormat="1" applyFont="1" applyBorder="1" applyAlignment="1" applyProtection="1">
      <alignment horizontal="right"/>
    </xf>
    <xf numFmtId="3" fontId="7" fillId="0" borderId="0" xfId="0" applyNumberFormat="1" applyFont="1" applyAlignment="1" applyProtection="1">
      <alignment horizontal="left"/>
    </xf>
    <xf numFmtId="167" fontId="7" fillId="0" borderId="0" xfId="0" applyNumberFormat="1" applyFont="1" applyBorder="1" applyAlignment="1" applyProtection="1">
      <alignment horizontal="right"/>
    </xf>
    <xf numFmtId="37" fontId="7" fillId="0" borderId="0" xfId="0" applyNumberFormat="1" applyFont="1" applyBorder="1" applyAlignment="1" applyProtection="1">
      <alignment horizontal="right"/>
    </xf>
    <xf numFmtId="37" fontId="8" fillId="0" borderId="2" xfId="0" applyNumberFormat="1" applyFont="1" applyBorder="1" applyAlignment="1" applyProtection="1">
      <alignment horizontal="centerContinuous" wrapText="1"/>
    </xf>
    <xf numFmtId="164" fontId="8" fillId="0" borderId="2" xfId="0" applyFont="1" applyBorder="1" applyAlignment="1" applyProtection="1">
      <alignment horizontal="centerContinuous" wrapText="1"/>
    </xf>
    <xf numFmtId="164" fontId="7" fillId="0" borderId="0" xfId="0" applyFont="1" applyBorder="1" applyAlignment="1" applyProtection="1">
      <alignment horizontal="centerContinuous"/>
    </xf>
    <xf numFmtId="3" fontId="7" fillId="0" borderId="0" xfId="1" applyNumberFormat="1" applyFont="1"/>
    <xf numFmtId="3" fontId="7" fillId="0" borderId="14" xfId="1" applyNumberFormat="1" applyFont="1" applyBorder="1"/>
    <xf numFmtId="3" fontId="7" fillId="0" borderId="4" xfId="1" applyNumberFormat="1" applyFont="1" applyBorder="1"/>
    <xf numFmtId="3" fontId="7" fillId="0" borderId="27" xfId="1" applyNumberFormat="1" applyFont="1" applyBorder="1"/>
    <xf numFmtId="3" fontId="7" fillId="0" borderId="0" xfId="0" applyNumberFormat="1" applyFont="1"/>
    <xf numFmtId="3" fontId="7" fillId="0" borderId="14" xfId="0" applyNumberFormat="1" applyFont="1" applyBorder="1"/>
    <xf numFmtId="3" fontId="7" fillId="0" borderId="27" xfId="0" applyNumberFormat="1" applyFont="1" applyBorder="1"/>
    <xf numFmtId="3" fontId="7" fillId="0" borderId="0" xfId="0" applyNumberFormat="1" applyFont="1" applyFill="1" applyBorder="1"/>
    <xf numFmtId="168" fontId="14" fillId="0" borderId="8" xfId="0" applyNumberFormat="1" applyFont="1" applyBorder="1" applyAlignment="1">
      <alignment vertical="center"/>
    </xf>
    <xf numFmtId="164" fontId="7" fillId="0" borderId="2" xfId="0" applyFont="1" applyBorder="1" applyAlignment="1" applyProtection="1">
      <alignment horizontal="left" vertical="center"/>
    </xf>
    <xf numFmtId="37" fontId="8" fillId="0" borderId="3" xfId="0" applyNumberFormat="1" applyFont="1" applyBorder="1" applyAlignment="1" applyProtection="1">
      <alignment horizontal="centerContinuous" vertical="center" wrapText="1"/>
    </xf>
    <xf numFmtId="164" fontId="8" fillId="0" borderId="3" xfId="0" applyFont="1" applyBorder="1" applyAlignment="1" applyProtection="1">
      <alignment horizontal="centerContinuous" vertical="center" wrapText="1"/>
    </xf>
    <xf numFmtId="164" fontId="0" fillId="0" borderId="0" xfId="0" applyAlignment="1">
      <alignment vertical="center"/>
    </xf>
    <xf numFmtId="37" fontId="8" fillId="0" borderId="0" xfId="0" applyNumberFormat="1" applyFont="1" applyBorder="1" applyAlignment="1" applyProtection="1">
      <alignment horizontal="centerContinuous" vertical="center"/>
    </xf>
    <xf numFmtId="164" fontId="5" fillId="0" borderId="0" xfId="0" applyFont="1" applyFill="1" applyAlignment="1" applyProtection="1">
      <alignment horizontal="centerContinuous"/>
    </xf>
    <xf numFmtId="164" fontId="7" fillId="0" borderId="0" xfId="0" applyFont="1" applyFill="1" applyAlignment="1" applyProtection="1">
      <alignment horizontal="centerContinuous"/>
    </xf>
    <xf numFmtId="37" fontId="8" fillId="0" borderId="2" xfId="0" applyNumberFormat="1" applyFont="1" applyFill="1" applyBorder="1" applyAlignment="1" applyProtection="1">
      <alignment horizontal="center" vertical="center"/>
    </xf>
    <xf numFmtId="37" fontId="8" fillId="0" borderId="1" xfId="0" applyNumberFormat="1" applyFont="1" applyFill="1" applyBorder="1" applyAlignment="1" applyProtection="1">
      <alignment horizontal="center" vertical="center"/>
    </xf>
    <xf numFmtId="167" fontId="7" fillId="0" borderId="0" xfId="0" applyNumberFormat="1" applyFont="1" applyFill="1" applyAlignment="1" applyProtection="1"/>
    <xf numFmtId="3" fontId="7" fillId="0" borderId="0" xfId="1" applyNumberFormat="1" applyFont="1" applyFill="1" applyAlignment="1" applyProtection="1"/>
    <xf numFmtId="3" fontId="7" fillId="0" borderId="4" xfId="1" applyNumberFormat="1" applyFont="1" applyFill="1" applyBorder="1" applyAlignment="1" applyProtection="1"/>
    <xf numFmtId="164" fontId="10" fillId="0" borderId="0" xfId="0" applyFont="1" applyFill="1"/>
    <xf numFmtId="164" fontId="4" fillId="0" borderId="0" xfId="0" applyFont="1" applyFill="1" applyAlignment="1" applyProtection="1"/>
    <xf numFmtId="164" fontId="4" fillId="0" borderId="0" xfId="0" applyFont="1" applyAlignment="1" applyProtection="1"/>
    <xf numFmtId="37" fontId="7" fillId="0" borderId="0" xfId="0" applyNumberFormat="1" applyFont="1" applyAlignment="1" applyProtection="1">
      <alignment horizontal="left" vertical="center"/>
    </xf>
    <xf numFmtId="167" fontId="7" fillId="0" borderId="0" xfId="0" applyNumberFormat="1" applyFont="1" applyBorder="1" applyAlignment="1" applyProtection="1">
      <alignment horizontal="right" vertical="center"/>
    </xf>
    <xf numFmtId="167" fontId="7" fillId="0" borderId="14" xfId="0" applyNumberFormat="1" applyFont="1" applyBorder="1" applyAlignment="1" applyProtection="1">
      <alignment horizontal="right" vertical="center"/>
    </xf>
    <xf numFmtId="166" fontId="7" fillId="0" borderId="0" xfId="1" applyNumberFormat="1" applyFont="1" applyAlignment="1">
      <alignment vertical="center"/>
    </xf>
    <xf numFmtId="167" fontId="7" fillId="0" borderId="0" xfId="0" applyNumberFormat="1" applyFont="1" applyAlignment="1" applyProtection="1">
      <alignment horizontal="right" vertical="center"/>
    </xf>
    <xf numFmtId="164" fontId="0" fillId="0" borderId="0" xfId="0" applyBorder="1" applyAlignment="1">
      <alignment vertical="center"/>
    </xf>
    <xf numFmtId="167" fontId="7" fillId="0" borderId="28" xfId="0" applyNumberFormat="1" applyFont="1" applyBorder="1" applyAlignment="1" applyProtection="1">
      <alignment horizontal="right" vertical="center"/>
    </xf>
    <xf numFmtId="3" fontId="7" fillId="0" borderId="0" xfId="0" applyNumberFormat="1" applyFont="1" applyAlignment="1" applyProtection="1">
      <alignment horizontal="right" vertical="center"/>
    </xf>
    <xf numFmtId="0" fontId="7" fillId="0" borderId="0" xfId="0" applyNumberFormat="1" applyFont="1" applyAlignment="1" applyProtection="1">
      <alignment horizontal="right" vertical="center"/>
    </xf>
    <xf numFmtId="164" fontId="6" fillId="0" borderId="0" xfId="0" applyFont="1" applyAlignment="1" applyProtection="1"/>
    <xf numFmtId="37" fontId="20" fillId="0" borderId="0" xfId="0" applyNumberFormat="1" applyFont="1" applyBorder="1" applyAlignment="1" applyProtection="1">
      <alignment horizontal="centerContinuous"/>
    </xf>
    <xf numFmtId="37" fontId="8" fillId="0" borderId="3" xfId="0" applyNumberFormat="1" applyFont="1" applyBorder="1" applyAlignment="1" applyProtection="1">
      <alignment horizontal="centerContinuous" wrapText="1"/>
    </xf>
    <xf numFmtId="164" fontId="8" fillId="0" borderId="3" xfId="0" applyFont="1" applyBorder="1" applyAlignment="1" applyProtection="1">
      <alignment horizontal="centerContinuous" wrapText="1"/>
    </xf>
    <xf numFmtId="37" fontId="8" fillId="0" borderId="25" xfId="0" applyNumberFormat="1" applyFont="1" applyBorder="1" applyAlignment="1" applyProtection="1">
      <alignment horizontal="centerContinuous" wrapText="1"/>
    </xf>
    <xf numFmtId="164" fontId="15" fillId="0" borderId="0" xfId="0" applyFont="1"/>
    <xf numFmtId="164" fontId="0" fillId="0" borderId="0" xfId="0" applyBorder="1" applyAlignment="1"/>
    <xf numFmtId="10" fontId="14" fillId="0" borderId="6" xfId="0" applyNumberFormat="1" applyFont="1" applyBorder="1" applyAlignment="1">
      <alignment vertical="center"/>
    </xf>
    <xf numFmtId="10" fontId="14" fillId="0" borderId="0" xfId="0" applyNumberFormat="1" applyFont="1" applyBorder="1" applyAlignment="1">
      <alignment vertical="center"/>
    </xf>
    <xf numFmtId="166" fontId="7" fillId="0" borderId="0" xfId="1" applyNumberFormat="1" applyFont="1" applyFill="1" applyBorder="1"/>
    <xf numFmtId="164" fontId="0" fillId="0" borderId="0" xfId="0" applyFill="1" applyBorder="1"/>
    <xf numFmtId="37" fontId="5" fillId="0" borderId="0" xfId="0" applyNumberFormat="1" applyFont="1" applyAlignment="1" applyProtection="1">
      <alignment horizontal="right"/>
    </xf>
    <xf numFmtId="37" fontId="5" fillId="0" borderId="4" xfId="0" applyNumberFormat="1" applyFont="1" applyBorder="1" applyAlignment="1" applyProtection="1">
      <alignment horizontal="right"/>
    </xf>
    <xf numFmtId="166" fontId="22" fillId="0" borderId="0" xfId="1" applyNumberFormat="1" applyFont="1" applyAlignment="1">
      <alignment horizontal="centerContinuous"/>
    </xf>
    <xf numFmtId="37" fontId="14" fillId="0" borderId="4" xfId="0" applyNumberFormat="1" applyFont="1" applyBorder="1" applyAlignment="1" applyProtection="1">
      <alignment vertical="center"/>
    </xf>
    <xf numFmtId="37" fontId="14" fillId="0" borderId="13" xfId="0" applyNumberFormat="1" applyFont="1" applyBorder="1" applyAlignment="1" applyProtection="1">
      <alignment vertical="center"/>
    </xf>
    <xf numFmtId="164" fontId="7" fillId="0" borderId="0" xfId="0" applyFont="1" applyAlignment="1">
      <alignment vertical="center"/>
    </xf>
    <xf numFmtId="166" fontId="18" fillId="0" borderId="0" xfId="1" applyNumberFormat="1" applyFont="1" applyFill="1" applyBorder="1" applyAlignment="1">
      <alignment horizontal="center"/>
    </xf>
    <xf numFmtId="166" fontId="7" fillId="0" borderId="0" xfId="1" applyNumberFormat="1" applyFont="1" applyFill="1" applyBorder="1" applyAlignment="1">
      <alignment wrapText="1"/>
    </xf>
    <xf numFmtId="164" fontId="0" fillId="0" borderId="0" xfId="0" applyFill="1" applyAlignment="1">
      <alignment horizontal="centerContinuous"/>
    </xf>
    <xf numFmtId="164" fontId="0" fillId="0" borderId="0" xfId="0" applyFill="1"/>
    <xf numFmtId="164" fontId="8" fillId="0" borderId="3" xfId="0" applyFont="1" applyFill="1" applyBorder="1" applyAlignment="1" applyProtection="1">
      <alignment horizontal="centerContinuous"/>
    </xf>
    <xf numFmtId="37" fontId="8" fillId="0" borderId="1" xfId="0" applyNumberFormat="1" applyFont="1" applyFill="1" applyBorder="1" applyAlignment="1" applyProtection="1">
      <alignment horizontal="center"/>
    </xf>
    <xf numFmtId="0" fontId="7"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right"/>
    </xf>
    <xf numFmtId="0" fontId="7" fillId="0" borderId="4" xfId="0" applyNumberFormat="1" applyFont="1" applyFill="1" applyBorder="1" applyAlignment="1" applyProtection="1">
      <alignment horizontal="right"/>
    </xf>
    <xf numFmtId="164" fontId="8"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right"/>
    </xf>
    <xf numFmtId="164" fontId="0" fillId="0" borderId="0" xfId="0" applyFill="1" applyBorder="1" applyAlignment="1">
      <alignment vertical="center"/>
    </xf>
    <xf numFmtId="167"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xf>
    <xf numFmtId="164" fontId="0" fillId="0" borderId="0" xfId="0" applyFill="1" applyBorder="1" applyAlignment="1"/>
    <xf numFmtId="3" fontId="7" fillId="0" borderId="0" xfId="0" applyNumberFormat="1" applyFont="1" applyFill="1" applyAlignment="1" applyProtection="1">
      <alignment horizontal="right"/>
    </xf>
    <xf numFmtId="3" fontId="7" fillId="0" borderId="0" xfId="1" applyNumberFormat="1" applyFont="1" applyFill="1" applyAlignment="1" applyProtection="1">
      <alignment horizontal="right" vertical="center"/>
    </xf>
    <xf numFmtId="164" fontId="6" fillId="0" borderId="0" xfId="0" applyFont="1" applyFill="1" applyAlignment="1" applyProtection="1"/>
    <xf numFmtId="0" fontId="7" fillId="0" borderId="0" xfId="0" applyNumberFormat="1" applyFont="1" applyFill="1" applyAlignment="1" applyProtection="1">
      <alignment horizontal="right"/>
    </xf>
    <xf numFmtId="37" fontId="7" fillId="0" borderId="0" xfId="0" applyNumberFormat="1" applyFont="1" applyFill="1" applyAlignment="1" applyProtection="1">
      <alignment horizontal="right"/>
    </xf>
    <xf numFmtId="164" fontId="15" fillId="0" borderId="0" xfId="0" applyFont="1" applyFill="1" applyAlignment="1">
      <alignment wrapText="1"/>
    </xf>
    <xf numFmtId="164" fontId="7" fillId="0" borderId="0" xfId="0" applyFont="1" applyFill="1" applyAlignment="1" applyProtection="1">
      <alignment horizontal="left"/>
    </xf>
    <xf numFmtId="5" fontId="7" fillId="0" borderId="0" xfId="0" applyNumberFormat="1" applyFont="1" applyFill="1" applyAlignment="1" applyProtection="1">
      <alignment horizontal="right" vertical="center"/>
    </xf>
    <xf numFmtId="5" fontId="7" fillId="0" borderId="0" xfId="0" applyNumberFormat="1" applyFont="1" applyFill="1" applyAlignment="1" applyProtection="1">
      <alignment horizontal="right"/>
    </xf>
    <xf numFmtId="166" fontId="7" fillId="0" borderId="0" xfId="0" applyNumberFormat="1" applyFont="1" applyFill="1" applyAlignment="1" applyProtection="1">
      <alignment horizontal="right"/>
    </xf>
    <xf numFmtId="164" fontId="7" fillId="0" borderId="0" xfId="0" applyFont="1" applyFill="1" applyBorder="1" applyAlignment="1" applyProtection="1">
      <alignment horizontal="centerContinuous"/>
    </xf>
    <xf numFmtId="37" fontId="8" fillId="0" borderId="0" xfId="0" applyNumberFormat="1" applyFont="1" applyFill="1" applyBorder="1" applyAlignment="1" applyProtection="1">
      <alignment horizontal="centerContinuous"/>
    </xf>
    <xf numFmtId="5" fontId="7" fillId="0" borderId="0" xfId="0" applyNumberFormat="1" applyFont="1" applyFill="1" applyBorder="1" applyAlignment="1" applyProtection="1">
      <alignment horizontal="right" vertical="center"/>
    </xf>
    <xf numFmtId="5" fontId="7" fillId="0" borderId="0" xfId="0" applyNumberFormat="1" applyFont="1" applyFill="1" applyBorder="1" applyAlignment="1" applyProtection="1">
      <alignment horizontal="right"/>
    </xf>
    <xf numFmtId="3"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horizontal="right" vertical="center"/>
    </xf>
    <xf numFmtId="164" fontId="8" fillId="0" borderId="2" xfId="0" applyFont="1" applyFill="1" applyBorder="1" applyAlignment="1" applyProtection="1">
      <alignment horizontal="centerContinuous"/>
    </xf>
    <xf numFmtId="37" fontId="8" fillId="0" borderId="3" xfId="0" applyNumberFormat="1" applyFont="1" applyFill="1" applyBorder="1" applyAlignment="1" applyProtection="1">
      <alignment horizontal="centerContinuous"/>
    </xf>
    <xf numFmtId="167" fontId="7" fillId="0" borderId="0" xfId="0" applyNumberFormat="1" applyFont="1" applyFill="1" applyBorder="1" applyAlignment="1" applyProtection="1">
      <alignment horizontal="right" vertical="center"/>
    </xf>
    <xf numFmtId="37" fontId="8" fillId="0" borderId="1" xfId="0" applyNumberFormat="1" applyFont="1" applyFill="1" applyBorder="1" applyAlignment="1" applyProtection="1">
      <alignment horizontal="right"/>
    </xf>
    <xf numFmtId="167" fontId="7" fillId="0" borderId="0" xfId="0" applyNumberFormat="1" applyFont="1" applyFill="1" applyAlignment="1" applyProtection="1">
      <alignment horizontal="right" vertical="center"/>
    </xf>
    <xf numFmtId="164" fontId="7" fillId="0" borderId="0" xfId="0" applyFont="1" applyFill="1"/>
    <xf numFmtId="164" fontId="8" fillId="0" borderId="0" xfId="0" applyFont="1" applyFill="1" applyBorder="1" applyAlignment="1" applyProtection="1">
      <alignment horizontal="centerContinuous" vertical="center"/>
    </xf>
    <xf numFmtId="164" fontId="7" fillId="0" borderId="0" xfId="0" applyFont="1" applyFill="1" applyAlignment="1" applyProtection="1">
      <alignment horizontal="right" vertical="center"/>
    </xf>
    <xf numFmtId="164" fontId="7" fillId="0" borderId="0" xfId="0" applyFont="1" applyFill="1" applyAlignment="1" applyProtection="1">
      <alignment horizontal="right"/>
    </xf>
    <xf numFmtId="167" fontId="7" fillId="0" borderId="2" xfId="0" applyNumberFormat="1" applyFont="1" applyFill="1" applyBorder="1" applyAlignment="1" applyProtection="1">
      <alignment horizontal="right" vertical="center"/>
    </xf>
    <xf numFmtId="168" fontId="14" fillId="0" borderId="5" xfId="0" applyNumberFormat="1" applyFont="1" applyBorder="1" applyAlignment="1">
      <alignment vertical="center"/>
    </xf>
    <xf numFmtId="168" fontId="14" fillId="0" borderId="0" xfId="0" applyNumberFormat="1" applyFont="1" applyBorder="1" applyAlignment="1">
      <alignment vertical="center"/>
    </xf>
    <xf numFmtId="168" fontId="14" fillId="0" borderId="6" xfId="0" applyNumberFormat="1" applyFont="1" applyBorder="1" applyAlignment="1">
      <alignment vertical="center"/>
    </xf>
    <xf numFmtId="164" fontId="7" fillId="0" borderId="0" xfId="0" applyFont="1" applyAlignment="1">
      <alignment horizontal="left"/>
    </xf>
    <xf numFmtId="164" fontId="23" fillId="0" borderId="0" xfId="0" applyFont="1"/>
    <xf numFmtId="168" fontId="23" fillId="0" borderId="0" xfId="9" applyNumberFormat="1" applyFont="1" applyAlignment="1">
      <alignment vertical="center"/>
    </xf>
    <xf numFmtId="168" fontId="23" fillId="0" borderId="0" xfId="9" applyNumberFormat="1" applyFont="1"/>
    <xf numFmtId="49" fontId="7" fillId="0" borderId="0" xfId="1" applyNumberFormat="1" applyFont="1" applyFill="1" applyBorder="1" applyAlignment="1">
      <alignment horizontal="center"/>
    </xf>
    <xf numFmtId="49" fontId="7" fillId="0" borderId="0" xfId="1" applyNumberFormat="1" applyFont="1" applyFill="1" applyBorder="1" applyAlignment="1">
      <alignment horizontal="left"/>
    </xf>
    <xf numFmtId="49" fontId="3" fillId="0" borderId="0" xfId="0" applyNumberFormat="1" applyFont="1" applyFill="1" applyAlignment="1">
      <alignment horizontal="right"/>
    </xf>
    <xf numFmtId="49" fontId="7" fillId="5" borderId="0" xfId="10" applyNumberFormat="1" applyFont="1" applyFill="1" applyBorder="1" applyAlignment="1" applyProtection="1">
      <alignment horizontal="center"/>
    </xf>
    <xf numFmtId="49" fontId="7" fillId="5" borderId="0" xfId="10" applyNumberFormat="1" applyFont="1" applyFill="1" applyBorder="1" applyAlignment="1" applyProtection="1">
      <alignment horizontal="left"/>
    </xf>
    <xf numFmtId="166" fontId="7" fillId="5" borderId="0" xfId="10" applyNumberFormat="1" applyFont="1" applyFill="1" applyBorder="1" applyAlignment="1" applyProtection="1">
      <alignment horizontal="center" wrapText="1"/>
    </xf>
    <xf numFmtId="0" fontId="4" fillId="0" borderId="0" xfId="0" applyNumberFormat="1" applyFont="1" applyAlignment="1" applyProtection="1">
      <alignment horizontal="centerContinuous"/>
    </xf>
    <xf numFmtId="0" fontId="7" fillId="0" borderId="0" xfId="0" applyNumberFormat="1" applyFont="1" applyAlignment="1" applyProtection="1">
      <alignment horizontal="centerContinuous"/>
    </xf>
    <xf numFmtId="0" fontId="7" fillId="0" borderId="0" xfId="0" applyNumberFormat="1" applyFont="1" applyFill="1" applyAlignment="1" applyProtection="1">
      <alignment horizontal="centerContinuous"/>
    </xf>
    <xf numFmtId="0" fontId="0" fillId="0" borderId="0" xfId="0" applyNumberFormat="1" applyAlignment="1">
      <alignment horizontal="centerContinuous"/>
    </xf>
    <xf numFmtId="0" fontId="0" fillId="0" borderId="0" xfId="0" applyNumberFormat="1" applyFill="1" applyAlignment="1">
      <alignment horizontal="centerContinuous"/>
    </xf>
    <xf numFmtId="0" fontId="7" fillId="0" borderId="0" xfId="0" applyNumberFormat="1" applyFont="1" applyAlignment="1">
      <alignment horizontal="centerContinuous"/>
    </xf>
    <xf numFmtId="164" fontId="27" fillId="0" borderId="0" xfId="0" applyFont="1"/>
    <xf numFmtId="37" fontId="6" fillId="0" borderId="0" xfId="0" applyNumberFormat="1" applyFont="1" applyBorder="1" applyAlignment="1" applyProtection="1">
      <alignment horizontal="centerContinuous"/>
    </xf>
    <xf numFmtId="164" fontId="10" fillId="0" borderId="0" xfId="0" applyFont="1" applyBorder="1" applyAlignment="1">
      <alignment horizontal="centerContinuous"/>
    </xf>
    <xf numFmtId="37" fontId="28" fillId="0" borderId="0" xfId="0" applyNumberFormat="1" applyFont="1" applyBorder="1" applyAlignment="1" applyProtection="1">
      <alignment horizontal="centerContinuous"/>
    </xf>
    <xf numFmtId="164" fontId="29" fillId="0" borderId="0" xfId="0" applyFont="1"/>
    <xf numFmtId="164" fontId="30" fillId="0" borderId="1" xfId="0" applyFont="1" applyBorder="1"/>
    <xf numFmtId="166" fontId="4" fillId="0" borderId="0" xfId="10" applyNumberFormat="1" applyFont="1" applyFill="1" applyBorder="1" applyAlignment="1" applyProtection="1">
      <alignment horizontal="left"/>
      <protection locked="0"/>
    </xf>
    <xf numFmtId="0" fontId="5" fillId="0" borderId="0" xfId="10" applyNumberFormat="1" applyFont="1" applyFill="1" applyBorder="1" applyProtection="1">
      <protection locked="0"/>
    </xf>
    <xf numFmtId="0" fontId="5" fillId="0" borderId="0" xfId="10" applyNumberFormat="1" applyFont="1" applyFill="1" applyBorder="1" applyAlignment="1" applyProtection="1">
      <alignment horizontal="left"/>
      <protection locked="0"/>
    </xf>
    <xf numFmtId="166" fontId="5" fillId="21" borderId="41" xfId="10" applyNumberFormat="1" applyFont="1" applyFill="1" applyBorder="1" applyAlignment="1" applyProtection="1">
      <alignment horizontal="center"/>
      <protection locked="0"/>
    </xf>
    <xf numFmtId="166" fontId="5" fillId="21" borderId="22" xfId="10" applyNumberFormat="1" applyFont="1" applyFill="1" applyBorder="1" applyAlignment="1" applyProtection="1">
      <alignment horizontal="center"/>
      <protection locked="0"/>
    </xf>
    <xf numFmtId="0" fontId="32" fillId="22" borderId="22" xfId="10" applyNumberFormat="1" applyFont="1" applyFill="1" applyBorder="1" applyAlignment="1" applyProtection="1">
      <alignment horizontal="center"/>
      <protection locked="0"/>
    </xf>
    <xf numFmtId="166" fontId="5" fillId="0" borderId="23" xfId="10" applyNumberFormat="1" applyFont="1" applyFill="1" applyBorder="1" applyAlignment="1" applyProtection="1">
      <alignment horizontal="center"/>
      <protection locked="0"/>
    </xf>
    <xf numFmtId="166" fontId="32" fillId="19" borderId="0" xfId="10" applyNumberFormat="1" applyFont="1" applyFill="1" applyBorder="1" applyAlignment="1" applyProtection="1">
      <alignment horizontal="center"/>
      <protection locked="0"/>
    </xf>
    <xf numFmtId="166" fontId="5" fillId="21" borderId="8" xfId="10" applyNumberFormat="1" applyFont="1" applyFill="1" applyBorder="1" applyAlignment="1" applyProtection="1">
      <alignment horizontal="center"/>
      <protection locked="0"/>
    </xf>
    <xf numFmtId="0" fontId="32" fillId="22" borderId="8" xfId="10" applyNumberFormat="1" applyFont="1" applyFill="1" applyBorder="1" applyAlignment="1" applyProtection="1">
      <alignment horizontal="center"/>
      <protection locked="0"/>
    </xf>
    <xf numFmtId="166" fontId="5" fillId="0" borderId="6" xfId="10" applyNumberFormat="1" applyFont="1" applyFill="1" applyBorder="1" applyAlignment="1" applyProtection="1">
      <alignment horizontal="center"/>
      <protection locked="0"/>
    </xf>
    <xf numFmtId="166" fontId="5" fillId="0" borderId="8" xfId="10" applyNumberFormat="1" applyFont="1" applyFill="1" applyBorder="1" applyAlignment="1" applyProtection="1">
      <alignment horizontal="center"/>
      <protection locked="0"/>
    </xf>
    <xf numFmtId="0" fontId="32" fillId="19" borderId="42" xfId="10" applyNumberFormat="1" applyFont="1" applyFill="1" applyBorder="1" applyAlignment="1" applyProtection="1">
      <alignment horizontal="center"/>
      <protection locked="0"/>
    </xf>
    <xf numFmtId="166" fontId="5" fillId="21" borderId="30" xfId="10" applyNumberFormat="1" applyFont="1" applyFill="1" applyBorder="1" applyAlignment="1" applyProtection="1">
      <alignment horizontal="center"/>
      <protection locked="0"/>
    </xf>
    <xf numFmtId="0" fontId="32" fillId="19" borderId="8" xfId="10" applyNumberFormat="1" applyFont="1" applyFill="1" applyBorder="1" applyAlignment="1" applyProtection="1">
      <alignment horizontal="center"/>
      <protection locked="0"/>
    </xf>
    <xf numFmtId="166" fontId="5" fillId="21" borderId="0" xfId="10" applyNumberFormat="1" applyFont="1" applyFill="1" applyBorder="1" applyAlignment="1" applyProtection="1">
      <alignment horizontal="center"/>
      <protection locked="0"/>
    </xf>
    <xf numFmtId="0" fontId="32" fillId="19" borderId="43" xfId="10" applyNumberFormat="1" applyFont="1" applyFill="1" applyBorder="1" applyAlignment="1" applyProtection="1">
      <alignment horizontal="center"/>
      <protection locked="0"/>
    </xf>
    <xf numFmtId="166" fontId="5" fillId="21" borderId="39" xfId="10" applyNumberFormat="1" applyFont="1" applyFill="1" applyBorder="1" applyAlignment="1" applyProtection="1">
      <alignment horizontal="center"/>
      <protection locked="0"/>
    </xf>
    <xf numFmtId="0" fontId="32" fillId="19" borderId="22" xfId="10" applyNumberFormat="1" applyFont="1" applyFill="1" applyBorder="1" applyAlignment="1" applyProtection="1">
      <alignment horizontal="center"/>
      <protection locked="0"/>
    </xf>
    <xf numFmtId="166" fontId="5" fillId="0" borderId="0" xfId="10" applyNumberFormat="1" applyFont="1" applyFill="1" applyBorder="1" applyProtection="1">
      <protection locked="0"/>
    </xf>
    <xf numFmtId="166" fontId="5" fillId="21" borderId="44" xfId="10" applyNumberFormat="1" applyFont="1" applyFill="1" applyBorder="1" applyAlignment="1" applyProtection="1">
      <alignment horizontal="center"/>
      <protection locked="0"/>
    </xf>
    <xf numFmtId="166" fontId="5" fillId="21" borderId="23" xfId="10" applyNumberFormat="1" applyFont="1" applyFill="1" applyBorder="1" applyAlignment="1" applyProtection="1">
      <alignment horizontal="center"/>
      <protection locked="0"/>
    </xf>
    <xf numFmtId="166" fontId="32" fillId="22" borderId="23" xfId="10" applyNumberFormat="1" applyFont="1" applyFill="1" applyBorder="1" applyAlignment="1" applyProtection="1">
      <alignment horizontal="center"/>
      <protection locked="0"/>
    </xf>
    <xf numFmtId="166" fontId="5" fillId="21" borderId="6" xfId="10" applyNumberFormat="1" applyFont="1" applyFill="1" applyBorder="1" applyAlignment="1" applyProtection="1">
      <alignment horizontal="center"/>
      <protection locked="0"/>
    </xf>
    <xf numFmtId="166" fontId="32" fillId="22" borderId="6" xfId="10" applyNumberFormat="1" applyFont="1" applyFill="1" applyBorder="1" applyAlignment="1" applyProtection="1">
      <alignment horizontal="center"/>
      <protection locked="0"/>
    </xf>
    <xf numFmtId="166" fontId="32" fillId="19" borderId="45" xfId="10" applyNumberFormat="1" applyFont="1" applyFill="1" applyBorder="1" applyAlignment="1" applyProtection="1">
      <alignment horizontal="center"/>
      <protection locked="0"/>
    </xf>
    <xf numFmtId="166" fontId="32" fillId="19" borderId="6" xfId="10" applyNumberFormat="1" applyFont="1" applyFill="1" applyBorder="1" applyAlignment="1" applyProtection="1">
      <alignment horizontal="center"/>
      <protection locked="0"/>
    </xf>
    <xf numFmtId="166" fontId="32" fillId="19" borderId="46" xfId="10" applyNumberFormat="1" applyFont="1" applyFill="1" applyBorder="1" applyAlignment="1" applyProtection="1">
      <alignment horizontal="center"/>
      <protection locked="0"/>
    </xf>
    <xf numFmtId="166" fontId="32" fillId="19" borderId="23" xfId="10" applyNumberFormat="1" applyFont="1" applyFill="1" applyBorder="1" applyAlignment="1" applyProtection="1">
      <alignment horizontal="center"/>
      <protection locked="0"/>
    </xf>
    <xf numFmtId="0" fontId="31" fillId="18" borderId="47" xfId="12" applyNumberFormat="1" applyFont="1" applyFill="1" applyBorder="1" applyAlignment="1" applyProtection="1">
      <alignment horizontal="center"/>
      <protection locked="0"/>
    </xf>
    <xf numFmtId="0" fontId="31" fillId="18" borderId="47" xfId="31" applyNumberFormat="1" applyFont="1" applyFill="1" applyBorder="1" applyAlignment="1" applyProtection="1">
      <alignment horizontal="left" wrapText="1"/>
      <protection locked="0"/>
    </xf>
    <xf numFmtId="0" fontId="31" fillId="18" borderId="47" xfId="31" applyNumberFormat="1" applyFont="1" applyFill="1" applyBorder="1" applyAlignment="1" applyProtection="1">
      <alignment horizontal="center"/>
      <protection locked="0"/>
    </xf>
    <xf numFmtId="1" fontId="31" fillId="18" borderId="47" xfId="31" applyNumberFormat="1" applyFont="1" applyFill="1" applyBorder="1" applyAlignment="1" applyProtection="1">
      <alignment horizontal="center"/>
      <protection locked="0"/>
    </xf>
    <xf numFmtId="166" fontId="5" fillId="21" borderId="48" xfId="10" applyNumberFormat="1" applyFont="1" applyFill="1" applyBorder="1" applyAlignment="1" applyProtection="1">
      <alignment horizontal="center"/>
      <protection locked="0"/>
    </xf>
    <xf numFmtId="166" fontId="5" fillId="21" borderId="24" xfId="10" applyNumberFormat="1" applyFont="1" applyFill="1" applyBorder="1" applyAlignment="1" applyProtection="1">
      <alignment horizontal="center"/>
      <protection locked="0"/>
    </xf>
    <xf numFmtId="166" fontId="32" fillId="22" borderId="24" xfId="10" applyNumberFormat="1" applyFont="1" applyFill="1" applyBorder="1" applyAlignment="1" applyProtection="1">
      <alignment horizontal="center"/>
    </xf>
    <xf numFmtId="166" fontId="5" fillId="0" borderId="24" xfId="10" applyNumberFormat="1" applyFont="1" applyFill="1" applyBorder="1" applyAlignment="1" applyProtection="1">
      <alignment horizontal="center"/>
      <protection locked="0"/>
    </xf>
    <xf numFmtId="166" fontId="32" fillId="19" borderId="4" xfId="10" applyNumberFormat="1" applyFont="1" applyFill="1" applyBorder="1" applyAlignment="1" applyProtection="1">
      <alignment horizontal="center"/>
    </xf>
    <xf numFmtId="166" fontId="32" fillId="19" borderId="40" xfId="10" applyNumberFormat="1" applyFont="1" applyFill="1" applyBorder="1" applyAlignment="1" applyProtection="1">
      <alignment horizontal="center"/>
    </xf>
    <xf numFmtId="166" fontId="5" fillId="21" borderId="13" xfId="10" applyNumberFormat="1" applyFont="1" applyFill="1" applyBorder="1" applyAlignment="1" applyProtection="1">
      <alignment horizontal="center"/>
      <protection locked="0"/>
    </xf>
    <xf numFmtId="166" fontId="32" fillId="19" borderId="32" xfId="10" applyNumberFormat="1" applyFont="1" applyFill="1" applyBorder="1" applyAlignment="1" applyProtection="1">
      <alignment horizontal="center"/>
    </xf>
    <xf numFmtId="166" fontId="5" fillId="21" borderId="49" xfId="10" applyNumberFormat="1" applyFont="1" applyFill="1" applyBorder="1" applyAlignment="1" applyProtection="1">
      <alignment horizontal="center"/>
      <protection locked="0"/>
    </xf>
    <xf numFmtId="166" fontId="32" fillId="19" borderId="13" xfId="10" applyNumberFormat="1" applyFont="1" applyFill="1" applyBorder="1" applyAlignment="1" applyProtection="1">
      <alignment horizontal="center"/>
    </xf>
    <xf numFmtId="49" fontId="7" fillId="9" borderId="0" xfId="11" applyNumberFormat="1" applyFont="1" applyFill="1" applyBorder="1" applyAlignment="1" applyProtection="1">
      <alignment horizontal="center"/>
      <protection locked="0"/>
    </xf>
    <xf numFmtId="49" fontId="7" fillId="9" borderId="0" xfId="11" applyNumberFormat="1" applyFont="1" applyFill="1" applyBorder="1" applyAlignment="1" applyProtection="1">
      <alignment horizontal="left"/>
      <protection locked="0"/>
    </xf>
    <xf numFmtId="1" fontId="7" fillId="9" borderId="0" xfId="11" applyNumberFormat="1" applyFont="1" applyFill="1" applyBorder="1" applyAlignment="1" applyProtection="1">
      <alignment horizontal="center"/>
      <protection locked="0"/>
    </xf>
    <xf numFmtId="3" fontId="5" fillId="0" borderId="6" xfId="2" applyNumberFormat="1" applyFont="1" applyFill="1" applyBorder="1" applyAlignment="1" applyProtection="1">
      <alignment vertical="top"/>
      <protection locked="0"/>
    </xf>
    <xf numFmtId="3" fontId="5" fillId="0" borderId="6" xfId="2" applyNumberFormat="1" applyFont="1" applyFill="1" applyBorder="1" applyAlignment="1" applyProtection="1">
      <alignment horizontal="right"/>
      <protection locked="0"/>
    </xf>
    <xf numFmtId="164" fontId="7" fillId="0" borderId="0" xfId="2" applyNumberFormat="1" applyFont="1" applyProtection="1">
      <protection locked="0"/>
    </xf>
    <xf numFmtId="166" fontId="7" fillId="0" borderId="0" xfId="10" applyNumberFormat="1" applyFont="1" applyFill="1" applyBorder="1" applyProtection="1">
      <protection locked="0"/>
    </xf>
    <xf numFmtId="49" fontId="7" fillId="9" borderId="0" xfId="32" applyNumberFormat="1" applyFont="1" applyFill="1" applyBorder="1" applyAlignment="1" applyProtection="1">
      <alignment horizontal="left"/>
      <protection locked="0"/>
    </xf>
    <xf numFmtId="3" fontId="5" fillId="0" borderId="23" xfId="2" applyNumberFormat="1" applyFont="1" applyFill="1" applyBorder="1" applyAlignment="1" applyProtection="1">
      <alignment horizontal="right"/>
      <protection locked="0"/>
    </xf>
    <xf numFmtId="3" fontId="7" fillId="9" borderId="0" xfId="6" applyFont="1" applyFill="1" applyBorder="1" applyAlignment="1" applyProtection="1">
      <protection locked="0"/>
    </xf>
    <xf numFmtId="49" fontId="7" fillId="3" borderId="0" xfId="11" applyNumberFormat="1" applyFont="1" applyFill="1" applyBorder="1" applyAlignment="1" applyProtection="1">
      <alignment horizontal="center"/>
      <protection locked="0"/>
    </xf>
    <xf numFmtId="49" fontId="7" fillId="3" borderId="0" xfId="11" applyNumberFormat="1" applyFont="1" applyFill="1" applyBorder="1" applyAlignment="1" applyProtection="1">
      <alignment horizontal="left"/>
      <protection locked="0"/>
    </xf>
    <xf numFmtId="49" fontId="7" fillId="3" borderId="0" xfId="6" applyNumberFormat="1" applyFont="1" applyFill="1" applyBorder="1" applyAlignment="1" applyProtection="1">
      <alignment horizontal="center"/>
      <protection locked="0"/>
    </xf>
    <xf numFmtId="49" fontId="7" fillId="3" borderId="0" xfId="6" applyNumberFormat="1" applyFont="1" applyFill="1" applyBorder="1" applyAlignment="1" applyProtection="1">
      <alignment horizontal="left"/>
      <protection locked="0"/>
    </xf>
    <xf numFmtId="49" fontId="7" fillId="10" borderId="0" xfId="10" applyNumberFormat="1" applyFont="1" applyFill="1" applyBorder="1" applyAlignment="1" applyProtection="1">
      <alignment horizontal="center"/>
      <protection locked="0"/>
    </xf>
    <xf numFmtId="49" fontId="7" fillId="10" borderId="0" xfId="10" applyNumberFormat="1" applyFont="1" applyFill="1" applyBorder="1" applyAlignment="1" applyProtection="1">
      <alignment horizontal="left"/>
      <protection locked="0"/>
    </xf>
    <xf numFmtId="49" fontId="7" fillId="10" borderId="0" xfId="7" applyNumberFormat="1" applyFont="1" applyFill="1" applyBorder="1" applyAlignment="1" applyProtection="1">
      <alignment horizontal="left"/>
      <protection locked="0"/>
    </xf>
    <xf numFmtId="49" fontId="7" fillId="12" borderId="0" xfId="10" applyNumberFormat="1" applyFont="1" applyFill="1" applyBorder="1" applyAlignment="1" applyProtection="1">
      <alignment horizontal="center"/>
      <protection locked="0"/>
    </xf>
    <xf numFmtId="49" fontId="7" fillId="12" borderId="0" xfId="11" applyNumberFormat="1" applyFont="1" applyFill="1" applyBorder="1" applyAlignment="1" applyProtection="1">
      <alignment horizontal="left"/>
      <protection locked="0"/>
    </xf>
    <xf numFmtId="49" fontId="7" fillId="12" borderId="0" xfId="11" applyNumberFormat="1" applyFont="1" applyFill="1" applyBorder="1" applyAlignment="1" applyProtection="1">
      <alignment horizontal="center"/>
      <protection locked="0"/>
    </xf>
    <xf numFmtId="1" fontId="7" fillId="12" borderId="0" xfId="11" applyNumberFormat="1" applyFont="1" applyFill="1" applyBorder="1" applyAlignment="1" applyProtection="1">
      <alignment horizontal="center"/>
      <protection locked="0"/>
    </xf>
    <xf numFmtId="49" fontId="7" fillId="12" borderId="0" xfId="10" applyNumberFormat="1" applyFont="1" applyFill="1" applyBorder="1" applyAlignment="1" applyProtection="1">
      <alignment horizontal="left"/>
      <protection locked="0"/>
    </xf>
    <xf numFmtId="49" fontId="7" fillId="14" borderId="0" xfId="11" applyNumberFormat="1" applyFont="1" applyFill="1" applyBorder="1" applyAlignment="1" applyProtection="1">
      <alignment horizontal="center"/>
      <protection locked="0"/>
    </xf>
    <xf numFmtId="49" fontId="7" fillId="14" borderId="0" xfId="11" applyNumberFormat="1" applyFont="1" applyFill="1" applyBorder="1" applyAlignment="1" applyProtection="1">
      <alignment horizontal="left"/>
      <protection locked="0"/>
    </xf>
    <xf numFmtId="1" fontId="7" fillId="14" borderId="0" xfId="11" applyNumberFormat="1" applyFont="1" applyFill="1" applyBorder="1" applyAlignment="1" applyProtection="1">
      <alignment horizontal="center"/>
      <protection locked="0"/>
    </xf>
    <xf numFmtId="3" fontId="7" fillId="14" borderId="0" xfId="6" applyFont="1" applyFill="1" applyBorder="1" applyAlignment="1" applyProtection="1">
      <protection locked="0"/>
    </xf>
    <xf numFmtId="49" fontId="7" fillId="14" borderId="0" xfId="10" applyNumberFormat="1" applyFont="1" applyFill="1" applyBorder="1" applyAlignment="1" applyProtection="1">
      <alignment horizontal="center"/>
      <protection locked="0"/>
    </xf>
    <xf numFmtId="49" fontId="7" fillId="14" borderId="0" xfId="10" applyNumberFormat="1" applyFont="1" applyFill="1" applyBorder="1" applyAlignment="1" applyProtection="1">
      <alignment horizontal="left"/>
      <protection locked="0"/>
    </xf>
    <xf numFmtId="49" fontId="7" fillId="14" borderId="0" xfId="6" applyNumberFormat="1" applyFont="1" applyFill="1" applyBorder="1" applyAlignment="1" applyProtection="1">
      <alignment horizontal="center"/>
      <protection locked="0"/>
    </xf>
    <xf numFmtId="49" fontId="7" fillId="6" borderId="0" xfId="3" applyNumberFormat="1" applyFont="1" applyFill="1" applyBorder="1" applyAlignment="1" applyProtection="1">
      <alignment horizontal="left"/>
      <protection locked="0"/>
    </xf>
    <xf numFmtId="3" fontId="7" fillId="6" borderId="0" xfId="6" applyFont="1" applyFill="1" applyBorder="1" applyAlignment="1" applyProtection="1">
      <protection locked="0"/>
    </xf>
    <xf numFmtId="49" fontId="7" fillId="6" borderId="0" xfId="6" applyNumberFormat="1" applyFont="1" applyFill="1" applyBorder="1" applyAlignment="1" applyProtection="1">
      <alignment horizontal="center"/>
      <protection locked="0"/>
    </xf>
    <xf numFmtId="49" fontId="7" fillId="6" borderId="0" xfId="6" applyNumberFormat="1" applyFont="1" applyFill="1" applyBorder="1" applyAlignment="1" applyProtection="1">
      <alignment horizontal="left"/>
      <protection locked="0"/>
    </xf>
    <xf numFmtId="49" fontId="7" fillId="6" borderId="0" xfId="11" applyNumberFormat="1" applyFont="1" applyFill="1" applyBorder="1" applyAlignment="1" applyProtection="1">
      <alignment horizontal="center"/>
      <protection locked="0"/>
    </xf>
    <xf numFmtId="49" fontId="7" fillId="6" borderId="0" xfId="11" applyNumberFormat="1" applyFont="1" applyFill="1" applyBorder="1" applyAlignment="1" applyProtection="1">
      <alignment horizontal="left"/>
      <protection locked="0"/>
    </xf>
    <xf numFmtId="49" fontId="7" fillId="9" borderId="6" xfId="4" applyNumberFormat="1" applyFont="1" applyFill="1" applyBorder="1" applyAlignment="1" applyProtection="1">
      <alignment horizontal="center"/>
      <protection locked="0"/>
    </xf>
    <xf numFmtId="49" fontId="7" fillId="9" borderId="0" xfId="4" applyNumberFormat="1" applyFont="1" applyFill="1" applyBorder="1" applyAlignment="1" applyProtection="1">
      <alignment horizontal="left"/>
      <protection locked="0"/>
    </xf>
    <xf numFmtId="1" fontId="7" fillId="9" borderId="0" xfId="4" applyNumberFormat="1" applyFont="1" applyFill="1" applyBorder="1" applyAlignment="1" applyProtection="1">
      <alignment horizontal="center"/>
      <protection locked="0"/>
    </xf>
    <xf numFmtId="49" fontId="7" fillId="9" borderId="0" xfId="5" applyNumberFormat="1" applyFont="1" applyFill="1" applyBorder="1" applyAlignment="1" applyProtection="1">
      <alignment horizontal="left"/>
      <protection locked="0"/>
    </xf>
    <xf numFmtId="49" fontId="7" fillId="9" borderId="0" xfId="4" applyNumberFormat="1" applyFont="1" applyFill="1" applyBorder="1" applyAlignment="1" applyProtection="1">
      <alignment horizontal="center"/>
      <protection locked="0"/>
    </xf>
    <xf numFmtId="49" fontId="7" fillId="9" borderId="6" xfId="6" applyNumberFormat="1" applyFont="1" applyFill="1" applyBorder="1" applyAlignment="1" applyProtection="1">
      <alignment horizontal="center"/>
      <protection locked="0"/>
    </xf>
    <xf numFmtId="1" fontId="7" fillId="9" borderId="0" xfId="6" applyNumberFormat="1" applyFont="1" applyFill="1" applyBorder="1" applyAlignment="1" applyProtection="1">
      <alignment horizontal="center"/>
      <protection locked="0"/>
    </xf>
    <xf numFmtId="49" fontId="7" fillId="4" borderId="6" xfId="35" applyNumberFormat="1" applyFont="1" applyFill="1" applyBorder="1" applyAlignment="1" applyProtection="1">
      <alignment horizontal="center"/>
      <protection locked="0"/>
    </xf>
    <xf numFmtId="49" fontId="7" fillId="4" borderId="0" xfId="35" applyNumberFormat="1" applyFont="1" applyFill="1" applyBorder="1" applyAlignment="1" applyProtection="1">
      <alignment horizontal="left"/>
      <protection locked="0"/>
    </xf>
    <xf numFmtId="49" fontId="7" fillId="4" borderId="0" xfId="35" applyNumberFormat="1" applyFont="1" applyFill="1" applyBorder="1" applyAlignment="1" applyProtection="1">
      <alignment horizontal="center"/>
      <protection locked="0"/>
    </xf>
    <xf numFmtId="49" fontId="7" fillId="6" borderId="6" xfId="35" applyNumberFormat="1" applyFont="1" applyFill="1" applyBorder="1" applyAlignment="1" applyProtection="1">
      <alignment horizontal="center"/>
      <protection locked="0"/>
    </xf>
    <xf numFmtId="49" fontId="7" fillId="6" borderId="0" xfId="35" applyNumberFormat="1" applyFont="1" applyFill="1" applyBorder="1" applyAlignment="1" applyProtection="1">
      <alignment horizontal="left"/>
      <protection locked="0"/>
    </xf>
    <xf numFmtId="49" fontId="7" fillId="6" borderId="0" xfId="35" applyNumberFormat="1" applyFont="1" applyFill="1" applyBorder="1" applyAlignment="1" applyProtection="1">
      <alignment horizontal="center"/>
      <protection locked="0"/>
    </xf>
    <xf numFmtId="49" fontId="7" fillId="6" borderId="6" xfId="6" applyNumberFormat="1" applyFont="1" applyFill="1" applyBorder="1" applyAlignment="1" applyProtection="1">
      <alignment horizontal="center"/>
      <protection locked="0"/>
    </xf>
    <xf numFmtId="49" fontId="7" fillId="3" borderId="6" xfId="35" applyNumberFormat="1" applyFont="1" applyFill="1" applyBorder="1" applyAlignment="1" applyProtection="1">
      <alignment horizontal="center"/>
      <protection locked="0"/>
    </xf>
    <xf numFmtId="49" fontId="7" fillId="3" borderId="0" xfId="35" applyNumberFormat="1" applyFont="1" applyFill="1" applyBorder="1" applyAlignment="1" applyProtection="1">
      <alignment horizontal="center"/>
      <protection locked="0"/>
    </xf>
    <xf numFmtId="49" fontId="7" fillId="3" borderId="0" xfId="35" applyNumberFormat="1" applyFont="1" applyFill="1" applyBorder="1" applyAlignment="1" applyProtection="1">
      <alignment horizontal="left"/>
      <protection locked="0"/>
    </xf>
    <xf numFmtId="49" fontId="7" fillId="3" borderId="0" xfId="30" applyNumberFormat="1" applyFont="1" applyFill="1" applyBorder="1" applyAlignment="1" applyProtection="1">
      <alignment horizontal="left"/>
      <protection locked="0"/>
    </xf>
    <xf numFmtId="49" fontId="7" fillId="3" borderId="0" xfId="30" applyNumberFormat="1" applyFont="1" applyFill="1" applyBorder="1" applyAlignment="1" applyProtection="1">
      <alignment horizontal="center"/>
      <protection locked="0"/>
    </xf>
    <xf numFmtId="49" fontId="7" fillId="3" borderId="6" xfId="10" applyNumberFormat="1" applyFont="1" applyFill="1" applyBorder="1" applyAlignment="1" applyProtection="1">
      <alignment horizontal="center"/>
      <protection locked="0"/>
    </xf>
    <xf numFmtId="49" fontId="7" fillId="3" borderId="0" xfId="10" applyNumberFormat="1" applyFont="1" applyFill="1" applyBorder="1" applyAlignment="1" applyProtection="1">
      <alignment horizontal="left"/>
      <protection locked="0"/>
    </xf>
    <xf numFmtId="49" fontId="7" fillId="11" borderId="6" xfId="35" applyNumberFormat="1" applyFont="1" applyFill="1" applyBorder="1" applyAlignment="1" applyProtection="1">
      <alignment horizontal="center"/>
      <protection locked="0"/>
    </xf>
    <xf numFmtId="49" fontId="7" fillId="11" borderId="0" xfId="35" applyNumberFormat="1" applyFont="1" applyFill="1" applyBorder="1" applyAlignment="1" applyProtection="1">
      <alignment horizontal="left"/>
      <protection locked="0"/>
    </xf>
    <xf numFmtId="49" fontId="7" fillId="11" borderId="0" xfId="35" applyNumberFormat="1" applyFont="1" applyFill="1" applyBorder="1" applyAlignment="1" applyProtection="1">
      <alignment horizontal="center"/>
      <protection locked="0"/>
    </xf>
    <xf numFmtId="1" fontId="7" fillId="11" borderId="0" xfId="11" applyNumberFormat="1" applyFont="1" applyFill="1" applyBorder="1" applyAlignment="1" applyProtection="1">
      <alignment horizontal="center"/>
      <protection locked="0"/>
    </xf>
    <xf numFmtId="3" fontId="7" fillId="11" borderId="0" xfId="6" applyFont="1" applyFill="1" applyBorder="1" applyAlignment="1" applyProtection="1">
      <protection locked="0"/>
    </xf>
    <xf numFmtId="49" fontId="7" fillId="11" borderId="0" xfId="6" applyNumberFormat="1" applyFont="1" applyFill="1" applyBorder="1" applyAlignment="1" applyProtection="1">
      <alignment horizontal="left"/>
      <protection locked="0"/>
    </xf>
    <xf numFmtId="49" fontId="7" fillId="10" borderId="6" xfId="35" applyNumberFormat="1" applyFont="1" applyFill="1" applyBorder="1" applyAlignment="1" applyProtection="1">
      <alignment horizontal="center"/>
      <protection locked="0"/>
    </xf>
    <xf numFmtId="49" fontId="7" fillId="10" borderId="0" xfId="35" applyNumberFormat="1" applyFont="1" applyFill="1" applyBorder="1" applyAlignment="1" applyProtection="1">
      <alignment horizontal="left"/>
      <protection locked="0"/>
    </xf>
    <xf numFmtId="49" fontId="7" fillId="10" borderId="0" xfId="35" applyNumberFormat="1" applyFont="1" applyFill="1" applyBorder="1" applyAlignment="1" applyProtection="1">
      <alignment horizontal="center"/>
      <protection locked="0"/>
    </xf>
    <xf numFmtId="1" fontId="7" fillId="10" borderId="0" xfId="11" applyNumberFormat="1" applyFont="1" applyFill="1" applyBorder="1" applyAlignment="1" applyProtection="1">
      <alignment horizontal="center"/>
      <protection locked="0"/>
    </xf>
    <xf numFmtId="3" fontId="7" fillId="11" borderId="44" xfId="2" applyNumberFormat="1" applyFont="1" applyFill="1" applyBorder="1" applyAlignment="1" applyProtection="1">
      <alignment horizontal="right"/>
      <protection locked="0"/>
    </xf>
    <xf numFmtId="3" fontId="7" fillId="11" borderId="23" xfId="2" applyNumberFormat="1" applyFont="1" applyFill="1" applyBorder="1" applyAlignment="1" applyProtection="1">
      <alignment horizontal="right"/>
      <protection locked="0"/>
    </xf>
    <xf numFmtId="3" fontId="7" fillId="11" borderId="30" xfId="10" applyNumberFormat="1" applyFont="1" applyFill="1" applyBorder="1" applyAlignment="1" applyProtection="1">
      <alignment horizontal="right"/>
      <protection locked="0"/>
    </xf>
    <xf numFmtId="3" fontId="7" fillId="11" borderId="6" xfId="10" applyNumberFormat="1" applyFont="1" applyFill="1" applyBorder="1" applyAlignment="1" applyProtection="1">
      <alignment horizontal="right"/>
      <protection locked="0"/>
    </xf>
    <xf numFmtId="49" fontId="7" fillId="12" borderId="6" xfId="35" applyNumberFormat="1" applyFont="1" applyFill="1" applyBorder="1" applyAlignment="1" applyProtection="1">
      <alignment horizontal="center"/>
      <protection locked="0"/>
    </xf>
    <xf numFmtId="49" fontId="7" fillId="12" borderId="0" xfId="35" applyNumberFormat="1" applyFont="1" applyFill="1" applyBorder="1" applyAlignment="1" applyProtection="1">
      <alignment horizontal="left"/>
      <protection locked="0"/>
    </xf>
    <xf numFmtId="49" fontId="7" fillId="12" borderId="0" xfId="35" applyNumberFormat="1" applyFont="1" applyFill="1" applyBorder="1" applyAlignment="1" applyProtection="1">
      <alignment horizontal="center"/>
      <protection locked="0"/>
    </xf>
    <xf numFmtId="49" fontId="7" fillId="12" borderId="0" xfId="37" applyNumberFormat="1" applyFont="1" applyFill="1" applyBorder="1" applyAlignment="1" applyProtection="1">
      <alignment horizontal="left"/>
      <protection locked="0"/>
    </xf>
    <xf numFmtId="3" fontId="7" fillId="12" borderId="0" xfId="6" applyFont="1" applyFill="1" applyBorder="1" applyAlignment="1" applyProtection="1">
      <protection locked="0"/>
    </xf>
    <xf numFmtId="49" fontId="7" fillId="12" borderId="6" xfId="6" applyNumberFormat="1" applyFont="1" applyFill="1" applyBorder="1" applyAlignment="1" applyProtection="1">
      <alignment horizontal="center"/>
      <protection locked="0"/>
    </xf>
    <xf numFmtId="49" fontId="7" fillId="12" borderId="0" xfId="6" applyNumberFormat="1" applyFont="1" applyFill="1" applyBorder="1" applyAlignment="1" applyProtection="1">
      <alignment horizontal="center"/>
      <protection locked="0"/>
    </xf>
    <xf numFmtId="1" fontId="7" fillId="13" borderId="0" xfId="13" applyNumberFormat="1" applyFont="1" applyFill="1" applyBorder="1" applyAlignment="1" applyProtection="1">
      <alignment horizontal="center"/>
      <protection locked="0"/>
    </xf>
    <xf numFmtId="49" fontId="7" fillId="12" borderId="0" xfId="6" applyNumberFormat="1" applyFont="1" applyFill="1" applyBorder="1" applyAlignment="1" applyProtection="1">
      <alignment horizontal="left"/>
      <protection locked="0"/>
    </xf>
    <xf numFmtId="49" fontId="7" fillId="12" borderId="6" xfId="5" applyNumberFormat="1" applyFont="1" applyFill="1" applyBorder="1" applyAlignment="1" applyProtection="1">
      <alignment horizontal="center"/>
      <protection locked="0"/>
    </xf>
    <xf numFmtId="49" fontId="7" fillId="12" borderId="0" xfId="5" applyNumberFormat="1" applyFont="1" applyFill="1" applyBorder="1" applyAlignment="1" applyProtection="1">
      <alignment horizontal="left"/>
      <protection locked="0"/>
    </xf>
    <xf numFmtId="49" fontId="7" fillId="17" borderId="0" xfId="6" applyNumberFormat="1" applyFont="1" applyFill="1" applyBorder="1" applyAlignment="1" applyProtection="1">
      <alignment horizontal="center"/>
      <protection locked="0"/>
    </xf>
    <xf numFmtId="49" fontId="7" fillId="14" borderId="0" xfId="35" applyNumberFormat="1" applyFont="1" applyFill="1" applyBorder="1" applyAlignment="1" applyProtection="1">
      <alignment horizontal="left"/>
      <protection locked="0"/>
    </xf>
    <xf numFmtId="49" fontId="7" fillId="14" borderId="0" xfId="35" applyNumberFormat="1" applyFont="1" applyFill="1" applyBorder="1" applyAlignment="1" applyProtection="1">
      <alignment horizontal="center"/>
      <protection locked="0"/>
    </xf>
    <xf numFmtId="49" fontId="7" fillId="14" borderId="0" xfId="5" applyNumberFormat="1" applyFont="1" applyFill="1" applyBorder="1" applyAlignment="1" applyProtection="1">
      <alignment horizontal="left"/>
      <protection locked="0"/>
    </xf>
    <xf numFmtId="49" fontId="7" fillId="14" borderId="0" xfId="5" applyNumberFormat="1" applyFont="1" applyFill="1" applyBorder="1" applyAlignment="1" applyProtection="1">
      <alignment horizontal="center"/>
      <protection locked="0"/>
    </xf>
    <xf numFmtId="164" fontId="7" fillId="14" borderId="0" xfId="5" applyNumberFormat="1" applyFont="1" applyFill="1" applyBorder="1" applyProtection="1">
      <protection locked="0"/>
    </xf>
    <xf numFmtId="49" fontId="3" fillId="14" borderId="0" xfId="10" applyNumberFormat="1" applyFont="1" applyFill="1" applyBorder="1" applyAlignment="1" applyProtection="1">
      <alignment horizontal="center"/>
      <protection locked="0"/>
    </xf>
    <xf numFmtId="164" fontId="7" fillId="4" borderId="0" xfId="35" applyNumberFormat="1" applyFont="1" applyFill="1" applyBorder="1" applyProtection="1">
      <protection locked="0"/>
    </xf>
    <xf numFmtId="49" fontId="7" fillId="3" borderId="0" xfId="3" applyNumberFormat="1" applyFont="1" applyFill="1" applyBorder="1" applyAlignment="1" applyProtection="1">
      <alignment horizontal="left"/>
      <protection locked="0"/>
    </xf>
    <xf numFmtId="49" fontId="7" fillId="10" borderId="0" xfId="3" applyNumberFormat="1" applyFont="1" applyFill="1" applyBorder="1" applyAlignment="1" applyProtection="1">
      <alignment horizontal="left"/>
      <protection locked="0"/>
    </xf>
    <xf numFmtId="49" fontId="7" fillId="4" borderId="0" xfId="4" applyNumberFormat="1" applyFont="1" applyFill="1" applyBorder="1" applyAlignment="1" applyProtection="1">
      <alignment horizontal="left"/>
      <protection locked="0"/>
    </xf>
    <xf numFmtId="49" fontId="7" fillId="4" borderId="0" xfId="5" applyNumberFormat="1" applyFont="1" applyFill="1" applyBorder="1" applyAlignment="1" applyProtection="1">
      <alignment horizontal="left"/>
      <protection locked="0"/>
    </xf>
    <xf numFmtId="49" fontId="7" fillId="10" borderId="0" xfId="5" applyNumberFormat="1" applyFont="1" applyFill="1" applyBorder="1" applyAlignment="1" applyProtection="1">
      <alignment horizontal="left"/>
      <protection locked="0"/>
    </xf>
    <xf numFmtId="49" fontId="7" fillId="10" borderId="0" xfId="4" applyNumberFormat="1" applyFont="1" applyFill="1" applyBorder="1" applyAlignment="1" applyProtection="1">
      <alignment horizontal="left"/>
      <protection locked="0"/>
    </xf>
    <xf numFmtId="49" fontId="37" fillId="10" borderId="0" xfId="5" applyNumberFormat="1" applyFont="1" applyFill="1" applyBorder="1" applyAlignment="1" applyProtection="1">
      <alignment horizontal="left"/>
      <protection locked="0"/>
    </xf>
    <xf numFmtId="49" fontId="7" fillId="12" borderId="0" xfId="4" applyNumberFormat="1" applyFont="1" applyFill="1" applyBorder="1" applyAlignment="1" applyProtection="1">
      <alignment horizontal="left"/>
      <protection locked="0"/>
    </xf>
    <xf numFmtId="49" fontId="37" fillId="12" borderId="0" xfId="5" applyNumberFormat="1" applyFont="1" applyFill="1" applyBorder="1" applyAlignment="1" applyProtection="1">
      <alignment horizontal="left"/>
      <protection locked="0"/>
    </xf>
    <xf numFmtId="49" fontId="37" fillId="14" borderId="0" xfId="5" applyNumberFormat="1" applyFont="1" applyFill="1" applyBorder="1" applyAlignment="1" applyProtection="1">
      <alignment horizontal="left"/>
      <protection locked="0"/>
    </xf>
    <xf numFmtId="49" fontId="37" fillId="4" borderId="0" xfId="5" applyNumberFormat="1" applyFont="1" applyFill="1" applyBorder="1" applyAlignment="1" applyProtection="1">
      <alignment horizontal="left"/>
      <protection locked="0"/>
    </xf>
    <xf numFmtId="164" fontId="37" fillId="3" borderId="0" xfId="11" applyFont="1" applyFill="1" applyBorder="1" applyAlignment="1" applyProtection="1">
      <protection locked="0"/>
    </xf>
    <xf numFmtId="49" fontId="37" fillId="14" borderId="0" xfId="3" applyNumberFormat="1" applyFont="1" applyFill="1" applyBorder="1" applyAlignment="1" applyProtection="1">
      <alignment horizontal="left"/>
      <protection locked="0"/>
    </xf>
    <xf numFmtId="49" fontId="7" fillId="14" borderId="0" xfId="3" applyNumberFormat="1" applyFont="1" applyFill="1" applyBorder="1" applyAlignment="1" applyProtection="1">
      <alignment horizontal="left"/>
      <protection locked="0"/>
    </xf>
    <xf numFmtId="164" fontId="37" fillId="6" borderId="0" xfId="11" applyFont="1" applyFill="1" applyBorder="1" applyAlignment="1" applyProtection="1">
      <protection locked="0"/>
    </xf>
    <xf numFmtId="49" fontId="37" fillId="23" borderId="0" xfId="4" applyNumberFormat="1" applyFont="1" applyFill="1" applyBorder="1" applyAlignment="1" applyProtection="1">
      <alignment horizontal="left"/>
      <protection locked="0"/>
    </xf>
    <xf numFmtId="49" fontId="37" fillId="6" borderId="0" xfId="4" applyNumberFormat="1" applyFont="1" applyFill="1" applyBorder="1" applyAlignment="1" applyProtection="1">
      <alignment horizontal="left"/>
      <protection locked="0"/>
    </xf>
    <xf numFmtId="49" fontId="7" fillId="3" borderId="0" xfId="5" applyNumberFormat="1" applyFont="1" applyFill="1" applyBorder="1" applyAlignment="1" applyProtection="1">
      <alignment horizontal="left"/>
      <protection locked="0"/>
    </xf>
    <xf numFmtId="3" fontId="37" fillId="12" borderId="0" xfId="6" applyFont="1" applyFill="1" applyBorder="1" applyAlignment="1" applyProtection="1">
      <protection locked="0"/>
    </xf>
    <xf numFmtId="1" fontId="37" fillId="12" borderId="0" xfId="3" applyNumberFormat="1" applyFont="1" applyFill="1" applyBorder="1" applyAlignment="1" applyProtection="1">
      <alignment horizontal="center"/>
      <protection locked="0"/>
    </xf>
    <xf numFmtId="0" fontId="7" fillId="12" borderId="0" xfId="6" applyNumberFormat="1" applyFont="1" applyFill="1" applyBorder="1" applyAlignment="1" applyProtection="1">
      <alignment horizontal="center"/>
      <protection locked="0"/>
    </xf>
    <xf numFmtId="49" fontId="7" fillId="14" borderId="0" xfId="4" applyNumberFormat="1" applyFont="1" applyFill="1" applyBorder="1" applyAlignment="1" applyProtection="1">
      <alignment horizontal="left"/>
      <protection locked="0"/>
    </xf>
    <xf numFmtId="164" fontId="7" fillId="4" borderId="0" xfId="5" applyNumberFormat="1" applyFont="1" applyFill="1" applyBorder="1" applyProtection="1">
      <protection locked="0"/>
    </xf>
    <xf numFmtId="1" fontId="7" fillId="3" borderId="0" xfId="11" applyNumberFormat="1" applyFont="1" applyFill="1" applyBorder="1" applyAlignment="1" applyProtection="1">
      <alignment horizontal="center"/>
      <protection locked="0"/>
    </xf>
    <xf numFmtId="1" fontId="7" fillId="16" borderId="0" xfId="13" applyNumberFormat="1" applyFont="1" applyFill="1" applyBorder="1" applyAlignment="1" applyProtection="1">
      <alignment horizontal="center"/>
      <protection locked="0"/>
    </xf>
    <xf numFmtId="49" fontId="7" fillId="24" borderId="6" xfId="4" applyNumberFormat="1" applyFont="1" applyFill="1" applyBorder="1" applyAlignment="1" applyProtection="1">
      <alignment horizontal="center"/>
      <protection locked="0"/>
    </xf>
    <xf numFmtId="49" fontId="37" fillId="24" borderId="0" xfId="5" applyNumberFormat="1" applyFont="1" applyFill="1" applyBorder="1" applyAlignment="1" applyProtection="1">
      <alignment horizontal="left"/>
      <protection locked="0"/>
    </xf>
    <xf numFmtId="1" fontId="37" fillId="24" borderId="0" xfId="4" applyNumberFormat="1" applyFont="1" applyFill="1" applyBorder="1" applyAlignment="1" applyProtection="1">
      <alignment horizontal="center"/>
      <protection locked="0"/>
    </xf>
    <xf numFmtId="1" fontId="37" fillId="24" borderId="0" xfId="3" applyNumberFormat="1" applyFont="1" applyFill="1" applyBorder="1" applyAlignment="1" applyProtection="1">
      <alignment horizontal="center"/>
      <protection locked="0"/>
    </xf>
    <xf numFmtId="49" fontId="7" fillId="11" borderId="6" xfId="4" applyNumberFormat="1" applyFont="1" applyFill="1" applyBorder="1" applyAlignment="1" applyProtection="1">
      <alignment horizontal="center"/>
      <protection locked="0"/>
    </xf>
    <xf numFmtId="49" fontId="7" fillId="11" borderId="6" xfId="6" applyNumberFormat="1" applyFont="1" applyFill="1" applyBorder="1" applyAlignment="1" applyProtection="1">
      <alignment horizontal="center"/>
      <protection locked="0"/>
    </xf>
    <xf numFmtId="49" fontId="7" fillId="11" borderId="0" xfId="6" applyNumberFormat="1" applyFont="1" applyFill="1" applyBorder="1" applyAlignment="1" applyProtection="1">
      <alignment horizontal="center"/>
      <protection locked="0"/>
    </xf>
    <xf numFmtId="1" fontId="7" fillId="25" borderId="0" xfId="13" applyNumberFormat="1" applyFont="1" applyFill="1" applyBorder="1" applyAlignment="1" applyProtection="1">
      <alignment horizontal="center"/>
      <protection locked="0"/>
    </xf>
    <xf numFmtId="49" fontId="7" fillId="10" borderId="6" xfId="6" applyNumberFormat="1" applyFont="1" applyFill="1" applyBorder="1" applyAlignment="1" applyProtection="1">
      <alignment horizontal="center"/>
      <protection locked="0"/>
    </xf>
    <xf numFmtId="49" fontId="7" fillId="10" borderId="0" xfId="6" applyNumberFormat="1" applyFont="1" applyFill="1" applyBorder="1" applyAlignment="1" applyProtection="1">
      <alignment horizontal="center"/>
      <protection locked="0"/>
    </xf>
    <xf numFmtId="1" fontId="7" fillId="26" borderId="0" xfId="13" applyNumberFormat="1" applyFont="1" applyFill="1" applyBorder="1" applyAlignment="1" applyProtection="1">
      <alignment horizontal="center"/>
      <protection locked="0"/>
    </xf>
    <xf numFmtId="49" fontId="7" fillId="9" borderId="6" xfId="35" applyNumberFormat="1" applyFont="1" applyFill="1" applyBorder="1" applyAlignment="1" applyProtection="1">
      <alignment horizontal="center"/>
      <protection locked="0"/>
    </xf>
    <xf numFmtId="49" fontId="7" fillId="9" borderId="0" xfId="35" applyNumberFormat="1" applyFont="1" applyFill="1" applyBorder="1" applyAlignment="1" applyProtection="1">
      <alignment horizontal="left"/>
      <protection locked="0"/>
    </xf>
    <xf numFmtId="49" fontId="7" fillId="9" borderId="0" xfId="35" applyNumberFormat="1" applyFont="1" applyFill="1" applyBorder="1" applyAlignment="1" applyProtection="1">
      <alignment horizontal="center"/>
      <protection locked="0"/>
    </xf>
    <xf numFmtId="49" fontId="7" fillId="9" borderId="0" xfId="6" applyNumberFormat="1" applyFont="1" applyFill="1" applyBorder="1" applyAlignment="1" applyProtection="1">
      <alignment horizontal="left"/>
      <protection locked="0"/>
    </xf>
    <xf numFmtId="49" fontId="7" fillId="9" borderId="0" xfId="6" applyNumberFormat="1" applyFont="1" applyFill="1" applyBorder="1" applyAlignment="1" applyProtection="1">
      <alignment horizontal="center"/>
      <protection locked="0"/>
    </xf>
    <xf numFmtId="1" fontId="7" fillId="8" borderId="0" xfId="13" applyNumberFormat="1" applyFont="1" applyFill="1" applyBorder="1" applyAlignment="1" applyProtection="1">
      <alignment horizontal="center"/>
      <protection locked="0"/>
    </xf>
    <xf numFmtId="49" fontId="7" fillId="27" borderId="0" xfId="10" applyNumberFormat="1" applyFont="1" applyFill="1" applyBorder="1" applyAlignment="1" applyProtection="1">
      <alignment horizontal="center"/>
      <protection locked="0"/>
    </xf>
    <xf numFmtId="49" fontId="7" fillId="27" borderId="0" xfId="10" applyNumberFormat="1" applyFont="1" applyFill="1" applyBorder="1" applyAlignment="1" applyProtection="1">
      <alignment horizontal="left"/>
      <protection locked="0"/>
    </xf>
    <xf numFmtId="49" fontId="7" fillId="13" borderId="0" xfId="10" applyNumberFormat="1" applyFont="1" applyFill="1" applyBorder="1" applyAlignment="1" applyProtection="1">
      <alignment horizontal="center"/>
      <protection locked="0"/>
    </xf>
    <xf numFmtId="3" fontId="7" fillId="21" borderId="44" xfId="2" applyNumberFormat="1" applyFont="1" applyFill="1" applyBorder="1" applyAlignment="1" applyProtection="1">
      <alignment vertical="top"/>
      <protection locked="0"/>
    </xf>
    <xf numFmtId="3" fontId="7" fillId="21" borderId="23" xfId="2" applyNumberFormat="1" applyFont="1" applyFill="1" applyBorder="1" applyAlignment="1" applyProtection="1">
      <alignment vertical="top"/>
      <protection locked="0"/>
    </xf>
    <xf numFmtId="3" fontId="33" fillId="22" borderId="23" xfId="10" applyNumberFormat="1" applyFont="1" applyFill="1" applyBorder="1" applyAlignment="1" applyProtection="1">
      <alignment horizontal="right"/>
    </xf>
    <xf numFmtId="3" fontId="5" fillId="0" borderId="23" xfId="2" applyNumberFormat="1" applyFont="1" applyFill="1" applyBorder="1" applyAlignment="1" applyProtection="1">
      <alignment vertical="top"/>
      <protection locked="0"/>
    </xf>
    <xf numFmtId="3" fontId="32" fillId="19" borderId="6" xfId="10" applyNumberFormat="1" applyFont="1" applyFill="1" applyBorder="1" applyAlignment="1" applyProtection="1">
      <alignment horizontal="right"/>
    </xf>
    <xf numFmtId="3" fontId="7" fillId="21" borderId="30" xfId="10" applyNumberFormat="1" applyFont="1" applyFill="1" applyBorder="1" applyAlignment="1" applyProtection="1">
      <alignment horizontal="right"/>
      <protection locked="0"/>
    </xf>
    <xf numFmtId="3" fontId="7" fillId="21" borderId="6" xfId="10" applyNumberFormat="1" applyFont="1" applyFill="1" applyBorder="1" applyAlignment="1" applyProtection="1">
      <alignment horizontal="right"/>
      <protection locked="0"/>
    </xf>
    <xf numFmtId="3" fontId="33" fillId="22" borderId="6" xfId="10" applyNumberFormat="1" applyFont="1" applyFill="1" applyBorder="1" applyAlignment="1" applyProtection="1">
      <alignment horizontal="right"/>
    </xf>
    <xf numFmtId="3" fontId="32" fillId="19" borderId="45" xfId="10" applyNumberFormat="1" applyFont="1" applyFill="1" applyBorder="1" applyAlignment="1" applyProtection="1">
      <alignment horizontal="right"/>
    </xf>
    <xf numFmtId="3" fontId="7" fillId="21" borderId="0" xfId="10" applyNumberFormat="1" applyFont="1" applyFill="1" applyBorder="1" applyAlignment="1" applyProtection="1">
      <alignment horizontal="right"/>
      <protection locked="0"/>
    </xf>
    <xf numFmtId="3" fontId="32" fillId="19" borderId="46" xfId="10" applyNumberFormat="1" applyFont="1" applyFill="1" applyBorder="1" applyAlignment="1" applyProtection="1">
      <alignment horizontal="right"/>
    </xf>
    <xf numFmtId="3" fontId="7" fillId="21" borderId="39" xfId="10" applyNumberFormat="1" applyFont="1" applyFill="1" applyBorder="1" applyAlignment="1" applyProtection="1">
      <alignment horizontal="right"/>
      <protection locked="0"/>
    </xf>
    <xf numFmtId="3" fontId="32" fillId="19" borderId="23" xfId="10" applyNumberFormat="1" applyFont="1" applyFill="1" applyBorder="1" applyAlignment="1" applyProtection="1">
      <alignment horizontal="right"/>
    </xf>
    <xf numFmtId="0" fontId="38" fillId="0" borderId="6" xfId="2" applyNumberFormat="1" applyFont="1" applyFill="1" applyBorder="1" applyAlignment="1" applyProtection="1">
      <alignment vertical="top"/>
      <protection locked="0"/>
    </xf>
    <xf numFmtId="166" fontId="5" fillId="0" borderId="0" xfId="10" applyNumberFormat="1" applyFont="1" applyFill="1" applyBorder="1" applyAlignment="1" applyProtection="1">
      <alignment horizontal="center"/>
      <protection locked="0"/>
    </xf>
    <xf numFmtId="0" fontId="5" fillId="0" borderId="6" xfId="2" applyNumberFormat="1" applyFont="1" applyFill="1" applyBorder="1" applyAlignment="1" applyProtection="1">
      <alignment vertical="top"/>
      <protection locked="0"/>
    </xf>
    <xf numFmtId="3" fontId="7" fillId="21" borderId="44" xfId="2" applyNumberFormat="1" applyFont="1" applyFill="1" applyBorder="1" applyAlignment="1" applyProtection="1">
      <alignment horizontal="right"/>
      <protection locked="0"/>
    </xf>
    <xf numFmtId="3" fontId="7" fillId="21" borderId="23" xfId="2" applyNumberFormat="1" applyFont="1" applyFill="1" applyBorder="1" applyAlignment="1" applyProtection="1">
      <alignment horizontal="right"/>
      <protection locked="0"/>
    </xf>
    <xf numFmtId="1" fontId="35" fillId="0" borderId="0" xfId="34" applyNumberFormat="1"/>
    <xf numFmtId="49" fontId="7" fillId="15" borderId="0" xfId="10" applyNumberFormat="1" applyFont="1" applyFill="1" applyBorder="1" applyAlignment="1" applyProtection="1">
      <alignment horizontal="center"/>
      <protection locked="0"/>
    </xf>
    <xf numFmtId="1" fontId="7" fillId="15" borderId="0" xfId="13" applyNumberFormat="1" applyFont="1" applyFill="1" applyBorder="1" applyAlignment="1" applyProtection="1">
      <alignment horizontal="center"/>
      <protection locked="0"/>
    </xf>
    <xf numFmtId="1" fontId="7" fillId="6" borderId="0" xfId="11" applyNumberFormat="1" applyFont="1" applyFill="1" applyBorder="1" applyAlignment="1" applyProtection="1">
      <alignment horizontal="center"/>
      <protection locked="0"/>
    </xf>
    <xf numFmtId="1" fontId="7" fillId="7" borderId="0" xfId="13" applyNumberFormat="1" applyFont="1" applyFill="1" applyBorder="1" applyAlignment="1" applyProtection="1">
      <alignment horizontal="center"/>
      <protection locked="0"/>
    </xf>
    <xf numFmtId="1" fontId="7" fillId="9" borderId="0" xfId="3" applyNumberFormat="1" applyFont="1" applyFill="1" applyBorder="1" applyAlignment="1" applyProtection="1">
      <alignment horizontal="center"/>
      <protection locked="0"/>
    </xf>
    <xf numFmtId="3" fontId="5" fillId="17" borderId="6" xfId="10" applyNumberFormat="1" applyFont="1" applyFill="1" applyBorder="1" applyAlignment="1" applyProtection="1">
      <alignment horizontal="right"/>
      <protection locked="0"/>
    </xf>
    <xf numFmtId="3" fontId="5" fillId="17" borderId="0" xfId="10" applyNumberFormat="1" applyFont="1" applyFill="1" applyBorder="1" applyAlignment="1" applyProtection="1">
      <alignment horizontal="right"/>
      <protection locked="0"/>
    </xf>
    <xf numFmtId="171" fontId="5" fillId="0" borderId="23" xfId="14" applyNumberFormat="1" applyFont="1" applyFill="1" applyBorder="1" applyAlignment="1" applyProtection="1">
      <alignment horizontal="right"/>
      <protection locked="0"/>
    </xf>
    <xf numFmtId="172" fontId="5" fillId="0" borderId="23" xfId="14" applyNumberFormat="1" applyFont="1" applyFill="1" applyBorder="1" applyAlignment="1" applyProtection="1">
      <alignment horizontal="right"/>
      <protection locked="0"/>
    </xf>
    <xf numFmtId="3" fontId="5" fillId="0" borderId="6" xfId="15" applyNumberFormat="1" applyFont="1" applyFill="1" applyBorder="1" applyAlignment="1" applyProtection="1">
      <alignment horizontal="right"/>
      <protection locked="0"/>
    </xf>
    <xf numFmtId="172" fontId="5" fillId="0" borderId="6" xfId="15" applyNumberFormat="1" applyFont="1" applyFill="1" applyBorder="1" applyAlignment="1" applyProtection="1">
      <alignment horizontal="right"/>
      <protection locked="0"/>
    </xf>
    <xf numFmtId="171" fontId="5" fillId="0" borderId="6" xfId="17" applyNumberFormat="1" applyFont="1" applyFill="1" applyBorder="1" applyAlignment="1" applyProtection="1">
      <alignment horizontal="right"/>
      <protection locked="0"/>
    </xf>
    <xf numFmtId="173" fontId="5" fillId="0" borderId="6" xfId="17" applyNumberFormat="1" applyFont="1" applyFill="1" applyBorder="1" applyAlignment="1" applyProtection="1">
      <alignment horizontal="right"/>
      <protection locked="0"/>
    </xf>
    <xf numFmtId="171" fontId="5" fillId="0" borderId="6" xfId="18" applyNumberFormat="1" applyFont="1" applyFill="1" applyBorder="1" applyAlignment="1" applyProtection="1">
      <alignment horizontal="right"/>
      <protection locked="0"/>
    </xf>
    <xf numFmtId="173" fontId="5" fillId="0" borderId="6" xfId="18" applyNumberFormat="1" applyFont="1" applyFill="1" applyBorder="1" applyAlignment="1" applyProtection="1">
      <alignment horizontal="right"/>
      <protection locked="0"/>
    </xf>
    <xf numFmtId="171" fontId="7" fillId="21" borderId="44" xfId="14" applyNumberFormat="1" applyFont="1" applyFill="1" applyBorder="1" applyAlignment="1" applyProtection="1">
      <alignment horizontal="right"/>
      <protection locked="0"/>
    </xf>
    <xf numFmtId="172" fontId="7" fillId="21" borderId="23" xfId="14" applyNumberFormat="1" applyFont="1" applyFill="1" applyBorder="1" applyAlignment="1" applyProtection="1">
      <alignment horizontal="right"/>
      <protection locked="0"/>
    </xf>
    <xf numFmtId="171" fontId="5" fillId="0" borderId="6" xfId="19" applyNumberFormat="1" applyFont="1" applyFill="1" applyBorder="1" applyAlignment="1" applyProtection="1">
      <alignment horizontal="right"/>
      <protection locked="0"/>
    </xf>
    <xf numFmtId="172" fontId="5" fillId="0" borderId="6" xfId="19" applyNumberFormat="1" applyFont="1" applyFill="1" applyBorder="1" applyAlignment="1" applyProtection="1">
      <alignment horizontal="right"/>
      <protection locked="0"/>
    </xf>
    <xf numFmtId="171" fontId="5" fillId="0" borderId="6" xfId="25" applyNumberFormat="1" applyFont="1" applyFill="1" applyBorder="1" applyAlignment="1" applyProtection="1">
      <alignment horizontal="right"/>
      <protection locked="0"/>
    </xf>
    <xf numFmtId="173" fontId="5" fillId="0" borderId="6" xfId="25" applyNumberFormat="1" applyFont="1" applyFill="1" applyBorder="1" applyAlignment="1" applyProtection="1">
      <alignment horizontal="right"/>
      <protection locked="0"/>
    </xf>
    <xf numFmtId="3" fontId="7" fillId="0" borderId="23" xfId="2" applyNumberFormat="1" applyFont="1" applyFill="1" applyBorder="1" applyAlignment="1" applyProtection="1">
      <alignment horizontal="right"/>
      <protection locked="0"/>
    </xf>
    <xf numFmtId="3" fontId="7" fillId="0" borderId="6" xfId="2" applyNumberFormat="1" applyFont="1" applyFill="1" applyBorder="1" applyAlignment="1" applyProtection="1">
      <alignment horizontal="right"/>
      <protection locked="0"/>
    </xf>
    <xf numFmtId="1" fontId="7" fillId="4" borderId="0" xfId="11" applyNumberFormat="1" applyFont="1" applyFill="1" applyBorder="1" applyAlignment="1" applyProtection="1">
      <alignment horizontal="center"/>
      <protection locked="0"/>
    </xf>
    <xf numFmtId="164" fontId="7" fillId="3" borderId="0" xfId="35" applyNumberFormat="1" applyFont="1" applyFill="1" applyBorder="1" applyProtection="1">
      <protection locked="0"/>
    </xf>
    <xf numFmtId="0" fontId="7" fillId="12" borderId="0" xfId="11" applyNumberFormat="1" applyFont="1" applyFill="1" applyBorder="1" applyAlignment="1" applyProtection="1">
      <alignment horizontal="center"/>
      <protection locked="0"/>
    </xf>
    <xf numFmtId="49" fontId="7" fillId="4" borderId="0" xfId="37" applyNumberFormat="1" applyFont="1" applyFill="1" applyBorder="1" applyAlignment="1" applyProtection="1">
      <alignment horizontal="left"/>
      <protection locked="0"/>
    </xf>
    <xf numFmtId="49" fontId="7" fillId="9" borderId="0" xfId="3" applyNumberFormat="1" applyFont="1" applyFill="1" applyBorder="1" applyAlignment="1" applyProtection="1">
      <alignment horizontal="left"/>
      <protection locked="0"/>
    </xf>
    <xf numFmtId="49" fontId="39" fillId="9" borderId="0" xfId="3" applyNumberFormat="1" applyFont="1" applyFill="1" applyBorder="1" applyAlignment="1" applyProtection="1">
      <alignment horizontal="left"/>
      <protection locked="0"/>
    </xf>
    <xf numFmtId="49" fontId="40" fillId="9" borderId="0" xfId="11" applyNumberFormat="1" applyFont="1" applyFill="1" applyBorder="1" applyAlignment="1" applyProtection="1">
      <alignment horizontal="left"/>
      <protection locked="0"/>
    </xf>
    <xf numFmtId="3" fontId="37" fillId="9" borderId="0" xfId="6" applyFont="1" applyFill="1" applyBorder="1" applyAlignment="1" applyProtection="1">
      <protection locked="0"/>
    </xf>
    <xf numFmtId="3" fontId="41" fillId="9" borderId="0" xfId="6" applyFont="1" applyFill="1" applyBorder="1" applyAlignment="1" applyProtection="1">
      <protection locked="0"/>
    </xf>
    <xf numFmtId="1" fontId="37" fillId="9" borderId="0" xfId="3" applyNumberFormat="1" applyFont="1" applyFill="1" applyBorder="1" applyAlignment="1" applyProtection="1">
      <alignment horizontal="center"/>
      <protection locked="0"/>
    </xf>
    <xf numFmtId="49" fontId="40" fillId="9" borderId="0" xfId="3" applyNumberFormat="1" applyFont="1" applyFill="1" applyBorder="1" applyAlignment="1" applyProtection="1">
      <alignment horizontal="left"/>
      <protection locked="0"/>
    </xf>
    <xf numFmtId="49" fontId="39" fillId="3" borderId="0" xfId="3" applyNumberFormat="1" applyFont="1" applyFill="1" applyBorder="1" applyAlignment="1" applyProtection="1">
      <alignment horizontal="left"/>
      <protection locked="0"/>
    </xf>
    <xf numFmtId="49" fontId="39" fillId="3" borderId="0" xfId="11" applyNumberFormat="1" applyFont="1" applyFill="1" applyBorder="1" applyAlignment="1" applyProtection="1">
      <alignment horizontal="left"/>
      <protection locked="0"/>
    </xf>
    <xf numFmtId="164" fontId="41" fillId="3" borderId="0" xfId="11" applyFont="1" applyFill="1" applyBorder="1" applyAlignment="1" applyProtection="1">
      <protection locked="0"/>
    </xf>
    <xf numFmtId="1" fontId="37" fillId="3" borderId="0" xfId="3" applyNumberFormat="1" applyFont="1" applyFill="1" applyBorder="1" applyAlignment="1" applyProtection="1">
      <alignment horizontal="center"/>
      <protection locked="0"/>
    </xf>
    <xf numFmtId="49" fontId="40" fillId="3" borderId="0" xfId="11" applyNumberFormat="1" applyFont="1" applyFill="1" applyBorder="1" applyAlignment="1" applyProtection="1">
      <alignment horizontal="left"/>
      <protection locked="0"/>
    </xf>
    <xf numFmtId="49" fontId="40" fillId="3" borderId="0" xfId="3" applyNumberFormat="1" applyFont="1" applyFill="1" applyBorder="1" applyAlignment="1" applyProtection="1">
      <alignment horizontal="left"/>
      <protection locked="0"/>
    </xf>
    <xf numFmtId="49" fontId="39" fillId="10" borderId="0" xfId="3" applyNumberFormat="1" applyFont="1" applyFill="1" applyBorder="1" applyAlignment="1" applyProtection="1">
      <alignment horizontal="left"/>
      <protection locked="0"/>
    </xf>
    <xf numFmtId="49" fontId="40" fillId="10" borderId="0" xfId="10" applyNumberFormat="1" applyFont="1" applyFill="1" applyBorder="1" applyAlignment="1" applyProtection="1">
      <alignment horizontal="left"/>
      <protection locked="0"/>
    </xf>
    <xf numFmtId="49" fontId="7" fillId="12" borderId="0" xfId="3" applyNumberFormat="1" applyFont="1" applyFill="1" applyBorder="1" applyAlignment="1" applyProtection="1">
      <alignment horizontal="left"/>
      <protection locked="0"/>
    </xf>
    <xf numFmtId="49" fontId="40" fillId="14" borderId="0" xfId="3" applyNumberFormat="1" applyFont="1" applyFill="1" applyBorder="1" applyAlignment="1" applyProtection="1">
      <alignment horizontal="left"/>
      <protection locked="0"/>
    </xf>
    <xf numFmtId="49" fontId="41" fillId="14" borderId="0" xfId="3" applyNumberFormat="1" applyFont="1" applyFill="1" applyBorder="1" applyAlignment="1" applyProtection="1">
      <alignment horizontal="left"/>
      <protection locked="0"/>
    </xf>
    <xf numFmtId="1" fontId="37" fillId="14" borderId="0" xfId="3" applyNumberFormat="1" applyFont="1" applyFill="1" applyBorder="1" applyAlignment="1" applyProtection="1">
      <alignment horizontal="center"/>
      <protection locked="0"/>
    </xf>
    <xf numFmtId="49" fontId="40" fillId="14" borderId="0" xfId="11" applyNumberFormat="1" applyFont="1" applyFill="1" applyBorder="1" applyAlignment="1" applyProtection="1">
      <alignment horizontal="left"/>
      <protection locked="0"/>
    </xf>
    <xf numFmtId="3" fontId="40" fillId="14" borderId="0" xfId="6" applyFont="1" applyFill="1" applyBorder="1" applyAlignment="1" applyProtection="1">
      <protection locked="0"/>
    </xf>
    <xf numFmtId="49" fontId="39" fillId="6" borderId="0" xfId="3" applyNumberFormat="1" applyFont="1" applyFill="1" applyBorder="1" applyAlignment="1" applyProtection="1">
      <alignment horizontal="left"/>
      <protection locked="0"/>
    </xf>
    <xf numFmtId="49" fontId="39" fillId="6" borderId="0" xfId="11" applyNumberFormat="1" applyFont="1" applyFill="1" applyBorder="1" applyAlignment="1" applyProtection="1">
      <alignment horizontal="left"/>
      <protection locked="0"/>
    </xf>
    <xf numFmtId="164" fontId="41" fillId="6" borderId="0" xfId="11" applyFont="1" applyFill="1" applyBorder="1" applyAlignment="1" applyProtection="1">
      <protection locked="0"/>
    </xf>
    <xf numFmtId="1" fontId="37" fillId="7" borderId="0" xfId="8" applyNumberFormat="1" applyFont="1" applyFill="1" applyBorder="1" applyAlignment="1" applyProtection="1">
      <alignment horizontal="center"/>
      <protection locked="0"/>
    </xf>
    <xf numFmtId="49" fontId="40" fillId="6" borderId="0" xfId="11" applyNumberFormat="1" applyFont="1" applyFill="1" applyBorder="1" applyAlignment="1" applyProtection="1">
      <alignment horizontal="left"/>
      <protection locked="0"/>
    </xf>
    <xf numFmtId="49" fontId="41" fillId="23" borderId="0" xfId="4" applyNumberFormat="1" applyFont="1" applyFill="1" applyBorder="1" applyAlignment="1" applyProtection="1">
      <alignment horizontal="left"/>
      <protection locked="0"/>
    </xf>
    <xf numFmtId="49" fontId="37" fillId="3" borderId="0" xfId="5" applyNumberFormat="1" applyFont="1" applyFill="1" applyBorder="1" applyAlignment="1" applyProtection="1">
      <alignment horizontal="left"/>
      <protection locked="0"/>
    </xf>
    <xf numFmtId="49" fontId="42" fillId="3" borderId="0" xfId="5" applyNumberFormat="1" applyFont="1" applyFill="1" applyBorder="1" applyAlignment="1" applyProtection="1">
      <alignment horizontal="left"/>
      <protection locked="0"/>
    </xf>
    <xf numFmtId="49" fontId="7" fillId="3" borderId="0" xfId="4" applyNumberFormat="1" applyFont="1" applyFill="1" applyBorder="1" applyAlignment="1" applyProtection="1">
      <alignment horizontal="left"/>
      <protection locked="0"/>
    </xf>
    <xf numFmtId="49" fontId="40" fillId="3" borderId="0" xfId="4" applyNumberFormat="1" applyFont="1" applyFill="1" applyBorder="1" applyAlignment="1" applyProtection="1">
      <alignment horizontal="left"/>
      <protection locked="0"/>
    </xf>
    <xf numFmtId="49" fontId="40" fillId="3" borderId="0" xfId="5" applyNumberFormat="1" applyFont="1" applyFill="1" applyBorder="1" applyAlignment="1" applyProtection="1">
      <alignment horizontal="left"/>
      <protection locked="0"/>
    </xf>
    <xf numFmtId="49" fontId="7" fillId="11" borderId="0" xfId="5" applyNumberFormat="1" applyFont="1" applyFill="1" applyBorder="1" applyAlignment="1" applyProtection="1">
      <alignment horizontal="left"/>
      <protection locked="0"/>
    </xf>
    <xf numFmtId="49" fontId="39" fillId="11" borderId="0" xfId="5" applyNumberFormat="1" applyFont="1" applyFill="1" applyBorder="1" applyAlignment="1" applyProtection="1">
      <alignment horizontal="left"/>
      <protection locked="0"/>
    </xf>
    <xf numFmtId="3" fontId="37" fillId="11" borderId="0" xfId="6" applyFont="1" applyFill="1" applyBorder="1" applyAlignment="1" applyProtection="1">
      <protection locked="0"/>
    </xf>
    <xf numFmtId="3" fontId="41" fillId="11" borderId="0" xfId="6" applyFont="1" applyFill="1" applyBorder="1" applyAlignment="1" applyProtection="1">
      <protection locked="0"/>
    </xf>
    <xf numFmtId="3" fontId="40" fillId="11" borderId="0" xfId="6" applyFont="1" applyFill="1" applyBorder="1" applyAlignment="1" applyProtection="1">
      <protection locked="0"/>
    </xf>
    <xf numFmtId="49" fontId="7" fillId="11" borderId="0" xfId="4" applyNumberFormat="1" applyFont="1" applyFill="1" applyBorder="1" applyAlignment="1" applyProtection="1">
      <alignment horizontal="left"/>
      <protection locked="0"/>
    </xf>
    <xf numFmtId="49" fontId="40" fillId="11" borderId="0" xfId="4" applyNumberFormat="1" applyFont="1" applyFill="1" applyBorder="1" applyAlignment="1" applyProtection="1">
      <alignment horizontal="left"/>
      <protection locked="0"/>
    </xf>
    <xf numFmtId="3" fontId="37" fillId="11" borderId="0" xfId="6" applyFont="1" applyFill="1" applyBorder="1" applyAlignment="1" applyProtection="1">
      <alignment horizontal="center"/>
      <protection locked="0"/>
    </xf>
    <xf numFmtId="49" fontId="40" fillId="11" borderId="0" xfId="6" applyNumberFormat="1" applyFont="1" applyFill="1" applyBorder="1" applyAlignment="1" applyProtection="1">
      <alignment horizontal="left"/>
      <protection locked="0"/>
    </xf>
    <xf numFmtId="49" fontId="41" fillId="24" borderId="0" xfId="5" applyNumberFormat="1" applyFont="1" applyFill="1" applyBorder="1" applyAlignment="1" applyProtection="1">
      <alignment horizontal="left"/>
      <protection locked="0"/>
    </xf>
    <xf numFmtId="1" fontId="7" fillId="11" borderId="0" xfId="3" applyNumberFormat="1" applyFont="1" applyFill="1" applyBorder="1" applyAlignment="1" applyProtection="1">
      <alignment horizontal="center"/>
      <protection locked="0"/>
    </xf>
    <xf numFmtId="49" fontId="39" fillId="10" borderId="0" xfId="5" applyNumberFormat="1" applyFont="1" applyFill="1" applyBorder="1" applyAlignment="1" applyProtection="1">
      <alignment horizontal="left"/>
      <protection locked="0"/>
    </xf>
    <xf numFmtId="49" fontId="39" fillId="10" borderId="0" xfId="4" applyNumberFormat="1" applyFont="1" applyFill="1" applyBorder="1" applyAlignment="1" applyProtection="1">
      <alignment horizontal="left"/>
      <protection locked="0"/>
    </xf>
    <xf numFmtId="164" fontId="37" fillId="10" borderId="0" xfId="5" applyNumberFormat="1" applyFont="1" applyFill="1" applyBorder="1" applyProtection="1">
      <protection locked="0"/>
    </xf>
    <xf numFmtId="164" fontId="41" fillId="10" borderId="0" xfId="5" applyNumberFormat="1" applyFont="1" applyFill="1" applyBorder="1" applyProtection="1">
      <protection locked="0"/>
    </xf>
    <xf numFmtId="164" fontId="37" fillId="10" borderId="0" xfId="5" applyNumberFormat="1" applyFont="1" applyFill="1" applyBorder="1" applyAlignment="1" applyProtection="1">
      <alignment horizontal="center"/>
      <protection locked="0"/>
    </xf>
    <xf numFmtId="49" fontId="40" fillId="10" borderId="0" xfId="5" applyNumberFormat="1" applyFont="1" applyFill="1" applyBorder="1" applyAlignment="1" applyProtection="1">
      <alignment horizontal="left"/>
      <protection locked="0"/>
    </xf>
    <xf numFmtId="49" fontId="5" fillId="14" borderId="0" xfId="5" applyNumberFormat="1" applyFont="1" applyFill="1" applyBorder="1" applyAlignment="1" applyProtection="1">
      <alignment horizontal="left"/>
      <protection locked="0"/>
    </xf>
    <xf numFmtId="49" fontId="37" fillId="14" borderId="0" xfId="5" applyNumberFormat="1" applyFont="1" applyFill="1" applyBorder="1" applyAlignment="1" applyProtection="1">
      <alignment horizontal="center"/>
      <protection locked="0"/>
    </xf>
    <xf numFmtId="49" fontId="7" fillId="6" borderId="6" xfId="4" applyNumberFormat="1" applyFont="1" applyFill="1" applyBorder="1" applyAlignment="1" applyProtection="1">
      <alignment horizontal="center"/>
      <protection locked="0"/>
    </xf>
    <xf numFmtId="49" fontId="39" fillId="4" borderId="0" xfId="5" applyNumberFormat="1" applyFont="1" applyFill="1" applyBorder="1" applyAlignment="1" applyProtection="1">
      <alignment horizontal="left"/>
      <protection locked="0"/>
    </xf>
    <xf numFmtId="49" fontId="39" fillId="4" borderId="0" xfId="4" applyNumberFormat="1" applyFont="1" applyFill="1" applyBorder="1" applyAlignment="1" applyProtection="1">
      <alignment horizontal="left"/>
      <protection locked="0"/>
    </xf>
    <xf numFmtId="49" fontId="41" fillId="6" borderId="0" xfId="4" applyNumberFormat="1" applyFont="1" applyFill="1" applyBorder="1" applyAlignment="1" applyProtection="1">
      <alignment horizontal="left"/>
      <protection locked="0"/>
    </xf>
    <xf numFmtId="1" fontId="37" fillId="6" borderId="0" xfId="3" applyNumberFormat="1" applyFont="1" applyFill="1" applyBorder="1" applyAlignment="1" applyProtection="1">
      <alignment horizontal="center"/>
      <protection locked="0"/>
    </xf>
    <xf numFmtId="49" fontId="39" fillId="9" borderId="0" xfId="4" applyNumberFormat="1" applyFont="1" applyFill="1" applyBorder="1" applyAlignment="1" applyProtection="1">
      <alignment horizontal="left"/>
      <protection locked="0"/>
    </xf>
    <xf numFmtId="49" fontId="40" fillId="9" borderId="0" xfId="4" applyNumberFormat="1" applyFont="1" applyFill="1" applyBorder="1" applyAlignment="1" applyProtection="1">
      <alignment horizontal="left"/>
      <protection locked="0"/>
    </xf>
    <xf numFmtId="49" fontId="40" fillId="9" borderId="0" xfId="5" applyNumberFormat="1" applyFont="1" applyFill="1" applyBorder="1" applyAlignment="1" applyProtection="1">
      <alignment horizontal="left"/>
      <protection locked="0"/>
    </xf>
    <xf numFmtId="49" fontId="40" fillId="3" borderId="0" xfId="30" applyNumberFormat="1" applyFont="1" applyFill="1" applyBorder="1" applyAlignment="1" applyProtection="1">
      <alignment horizontal="left"/>
      <protection locked="0"/>
    </xf>
    <xf numFmtId="49" fontId="40" fillId="3" borderId="0" xfId="10" applyNumberFormat="1" applyFont="1" applyFill="1" applyBorder="1" applyAlignment="1" applyProtection="1">
      <alignment horizontal="left"/>
      <protection locked="0"/>
    </xf>
    <xf numFmtId="0" fontId="7" fillId="3" borderId="0" xfId="30" applyNumberFormat="1" applyFont="1" applyFill="1" applyBorder="1" applyAlignment="1" applyProtection="1">
      <alignment horizontal="center"/>
      <protection locked="0"/>
    </xf>
    <xf numFmtId="0" fontId="7" fillId="3" borderId="0" xfId="10" applyNumberFormat="1" applyFont="1" applyFill="1" applyBorder="1" applyAlignment="1" applyProtection="1">
      <alignment horizontal="center"/>
      <protection locked="0"/>
    </xf>
    <xf numFmtId="0" fontId="0" fillId="0" borderId="0" xfId="0" applyNumberFormat="1" applyProtection="1">
      <protection locked="0"/>
    </xf>
    <xf numFmtId="49" fontId="39" fillId="11" borderId="0" xfId="4" applyNumberFormat="1" applyFont="1" applyFill="1" applyBorder="1" applyAlignment="1" applyProtection="1">
      <alignment horizontal="left"/>
      <protection locked="0"/>
    </xf>
    <xf numFmtId="49" fontId="7" fillId="24" borderId="0" xfId="5" applyNumberFormat="1" applyFont="1" applyFill="1" applyBorder="1" applyAlignment="1" applyProtection="1">
      <alignment horizontal="left"/>
      <protection locked="0"/>
    </xf>
    <xf numFmtId="49" fontId="40" fillId="24" borderId="0" xfId="5" applyNumberFormat="1" applyFont="1" applyFill="1" applyBorder="1" applyAlignment="1" applyProtection="1">
      <alignment horizontal="left"/>
      <protection locked="0"/>
    </xf>
    <xf numFmtId="49" fontId="42" fillId="10" borderId="0" xfId="5" applyNumberFormat="1" applyFont="1" applyFill="1" applyBorder="1" applyAlignment="1" applyProtection="1">
      <alignment horizontal="left"/>
      <protection locked="0"/>
    </xf>
    <xf numFmtId="1" fontId="37" fillId="10" borderId="0" xfId="3" applyNumberFormat="1" applyFont="1" applyFill="1" applyBorder="1" applyAlignment="1" applyProtection="1">
      <alignment horizontal="center"/>
      <protection locked="0"/>
    </xf>
    <xf numFmtId="49" fontId="40" fillId="10" borderId="0" xfId="4" applyNumberFormat="1" applyFont="1" applyFill="1" applyBorder="1" applyAlignment="1" applyProtection="1">
      <alignment horizontal="left"/>
      <protection locked="0"/>
    </xf>
    <xf numFmtId="49" fontId="39" fillId="12" borderId="0" xfId="4" applyNumberFormat="1" applyFont="1" applyFill="1" applyBorder="1" applyAlignment="1" applyProtection="1">
      <alignment horizontal="left"/>
      <protection locked="0"/>
    </xf>
    <xf numFmtId="49" fontId="42" fillId="12" borderId="0" xfId="5" applyNumberFormat="1" applyFont="1" applyFill="1" applyBorder="1" applyAlignment="1" applyProtection="1">
      <alignment horizontal="left"/>
      <protection locked="0"/>
    </xf>
    <xf numFmtId="49" fontId="39" fillId="12" borderId="0" xfId="5" applyNumberFormat="1" applyFont="1" applyFill="1" applyBorder="1" applyAlignment="1" applyProtection="1">
      <alignment horizontal="left"/>
      <protection locked="0"/>
    </xf>
    <xf numFmtId="3" fontId="41" fillId="12" borderId="0" xfId="6" applyFont="1" applyFill="1" applyBorder="1" applyAlignment="1" applyProtection="1">
      <protection locked="0"/>
    </xf>
    <xf numFmtId="49" fontId="40" fillId="12" borderId="0" xfId="5" applyNumberFormat="1" applyFont="1" applyFill="1" applyBorder="1" applyAlignment="1" applyProtection="1">
      <alignment horizontal="left"/>
      <protection locked="0"/>
    </xf>
    <xf numFmtId="3" fontId="40" fillId="12" borderId="0" xfId="6" applyFont="1" applyFill="1" applyBorder="1" applyAlignment="1" applyProtection="1">
      <protection locked="0"/>
    </xf>
    <xf numFmtId="49" fontId="40" fillId="12" borderId="0" xfId="6" applyNumberFormat="1" applyFont="1" applyFill="1" applyBorder="1" applyAlignment="1" applyProtection="1">
      <alignment horizontal="left"/>
      <protection locked="0"/>
    </xf>
    <xf numFmtId="0" fontId="7" fillId="12" borderId="0" xfId="35" applyNumberFormat="1" applyFont="1" applyFill="1" applyBorder="1" applyAlignment="1" applyProtection="1">
      <alignment horizontal="center"/>
      <protection locked="0"/>
    </xf>
    <xf numFmtId="49" fontId="42" fillId="14" borderId="0" xfId="5" applyNumberFormat="1" applyFont="1" applyFill="1" applyBorder="1" applyAlignment="1" applyProtection="1">
      <alignment horizontal="left"/>
      <protection locked="0"/>
    </xf>
    <xf numFmtId="49" fontId="40" fillId="14" borderId="0" xfId="4" applyNumberFormat="1" applyFont="1" applyFill="1" applyBorder="1" applyAlignment="1" applyProtection="1">
      <alignment horizontal="left"/>
      <protection locked="0"/>
    </xf>
    <xf numFmtId="49" fontId="40" fillId="14" borderId="0" xfId="5" applyNumberFormat="1" applyFont="1" applyFill="1" applyBorder="1" applyAlignment="1" applyProtection="1">
      <alignment horizontal="left"/>
      <protection locked="0"/>
    </xf>
    <xf numFmtId="164" fontId="40" fillId="14" borderId="0" xfId="5" applyNumberFormat="1" applyFont="1" applyFill="1" applyBorder="1" applyProtection="1">
      <protection locked="0"/>
    </xf>
    <xf numFmtId="49" fontId="42" fillId="4" borderId="0" xfId="5" applyNumberFormat="1" applyFont="1" applyFill="1" applyBorder="1" applyAlignment="1" applyProtection="1">
      <alignment horizontal="left"/>
      <protection locked="0"/>
    </xf>
    <xf numFmtId="0" fontId="37" fillId="4" borderId="0" xfId="3" applyNumberFormat="1" applyFont="1" applyFill="1" applyBorder="1" applyAlignment="1" applyProtection="1">
      <alignment horizontal="center"/>
      <protection locked="0"/>
    </xf>
    <xf numFmtId="49" fontId="40" fillId="4" borderId="0" xfId="5" applyNumberFormat="1" applyFont="1" applyFill="1" applyBorder="1" applyAlignment="1" applyProtection="1">
      <alignment horizontal="left"/>
      <protection locked="0"/>
    </xf>
    <xf numFmtId="49" fontId="40" fillId="4" borderId="0" xfId="4" applyNumberFormat="1" applyFont="1" applyFill="1" applyBorder="1" applyAlignment="1" applyProtection="1">
      <alignment horizontal="left"/>
      <protection locked="0"/>
    </xf>
    <xf numFmtId="164" fontId="40" fillId="4" borderId="0" xfId="5" applyNumberFormat="1" applyFont="1" applyFill="1" applyBorder="1" applyProtection="1">
      <protection locked="0"/>
    </xf>
    <xf numFmtId="166" fontId="19" fillId="0" borderId="0" xfId="1" applyNumberFormat="1" applyFont="1"/>
    <xf numFmtId="166" fontId="5" fillId="0" borderId="15" xfId="1" applyNumberFormat="1" applyFont="1" applyBorder="1"/>
    <xf numFmtId="166" fontId="5" fillId="0" borderId="16" xfId="1" applyNumberFormat="1" applyFont="1" applyBorder="1"/>
    <xf numFmtId="166" fontId="7" fillId="0" borderId="16" xfId="1" applyNumberFormat="1" applyFont="1" applyBorder="1"/>
    <xf numFmtId="166" fontId="7" fillId="0" borderId="2" xfId="1" applyNumberFormat="1" applyFont="1" applyBorder="1"/>
    <xf numFmtId="166" fontId="5" fillId="0" borderId="17" xfId="1" applyNumberFormat="1" applyFont="1" applyBorder="1"/>
    <xf numFmtId="166" fontId="5" fillId="0" borderId="18" xfId="1" applyNumberFormat="1" applyFont="1" applyBorder="1"/>
    <xf numFmtId="166" fontId="7" fillId="0" borderId="15" xfId="1" applyNumberFormat="1" applyFont="1" applyBorder="1"/>
    <xf numFmtId="166" fontId="7" fillId="0" borderId="17" xfId="1" applyNumberFormat="1" applyFont="1" applyBorder="1"/>
    <xf numFmtId="166" fontId="7" fillId="0" borderId="14" xfId="1" applyNumberFormat="1" applyFont="1" applyBorder="1"/>
    <xf numFmtId="166" fontId="7" fillId="0" borderId="25" xfId="1" applyNumberFormat="1" applyFont="1" applyBorder="1"/>
    <xf numFmtId="166" fontId="7" fillId="0" borderId="19" xfId="1" applyNumberFormat="1" applyFont="1" applyBorder="1"/>
    <xf numFmtId="166" fontId="7" fillId="0" borderId="3" xfId="1" applyNumberFormat="1" applyFont="1" applyBorder="1"/>
    <xf numFmtId="166" fontId="5" fillId="0" borderId="0" xfId="1" applyNumberFormat="1" applyFont="1"/>
    <xf numFmtId="164" fontId="3" fillId="0" borderId="0" xfId="0" applyFont="1" applyBorder="1" applyAlignment="1" applyProtection="1">
      <alignment horizontal="left" vertical="top" wrapText="1"/>
    </xf>
    <xf numFmtId="164" fontId="3" fillId="0" borderId="0" xfId="0" applyFont="1" applyBorder="1" applyAlignment="1" applyProtection="1">
      <alignment horizontal="left" wrapText="1"/>
    </xf>
    <xf numFmtId="166" fontId="19" fillId="0" borderId="0" xfId="1" applyNumberFormat="1" applyFont="1" applyFill="1" applyBorder="1"/>
    <xf numFmtId="166" fontId="7" fillId="0" borderId="0" xfId="1" applyNumberFormat="1" applyFont="1" applyFill="1"/>
    <xf numFmtId="166" fontId="5" fillId="0" borderId="0" xfId="1" applyNumberFormat="1" applyFont="1" applyFill="1" applyBorder="1"/>
    <xf numFmtId="164" fontId="7" fillId="0" borderId="15" xfId="0" applyFont="1" applyFill="1" applyBorder="1"/>
    <xf numFmtId="164" fontId="7" fillId="0" borderId="16" xfId="0" applyFont="1" applyFill="1" applyBorder="1"/>
    <xf numFmtId="164" fontId="7" fillId="0" borderId="17" xfId="0" applyFont="1" applyFill="1" applyBorder="1"/>
    <xf numFmtId="164" fontId="7" fillId="0" borderId="18" xfId="0" applyFont="1" applyFill="1" applyBorder="1"/>
    <xf numFmtId="164" fontId="7" fillId="0" borderId="15" xfId="0" applyNumberFormat="1" applyFont="1" applyFill="1" applyBorder="1"/>
    <xf numFmtId="164" fontId="7" fillId="0" borderId="2" xfId="0" applyNumberFormat="1" applyFont="1" applyFill="1" applyBorder="1"/>
    <xf numFmtId="164" fontId="5" fillId="0" borderId="15" xfId="0" applyFont="1" applyFill="1" applyBorder="1"/>
    <xf numFmtId="3" fontId="7" fillId="0" borderId="15" xfId="0" applyNumberFormat="1" applyFont="1" applyFill="1" applyBorder="1"/>
    <xf numFmtId="3" fontId="7" fillId="0" borderId="2" xfId="0" applyNumberFormat="1" applyFont="1" applyFill="1" applyBorder="1"/>
    <xf numFmtId="164" fontId="7" fillId="0" borderId="14" xfId="0" applyFont="1" applyFill="1" applyBorder="1"/>
    <xf numFmtId="3" fontId="7" fillId="0" borderId="14" xfId="0" applyNumberFormat="1" applyFont="1" applyFill="1" applyBorder="1"/>
    <xf numFmtId="164" fontId="5" fillId="0" borderId="27" xfId="0" applyFont="1" applyFill="1" applyBorder="1"/>
    <xf numFmtId="164" fontId="5" fillId="0" borderId="4" xfId="0" applyNumberFormat="1" applyFont="1" applyFill="1" applyBorder="1"/>
    <xf numFmtId="164" fontId="5" fillId="0" borderId="27" xfId="0" applyNumberFormat="1" applyFont="1" applyFill="1" applyBorder="1"/>
    <xf numFmtId="49" fontId="7" fillId="6" borderId="6" xfId="11" applyNumberFormat="1" applyFont="1" applyFill="1" applyBorder="1" applyAlignment="1" applyProtection="1">
      <alignment horizontal="center"/>
      <protection locked="0"/>
    </xf>
    <xf numFmtId="164" fontId="7" fillId="0" borderId="0" xfId="0" applyFont="1" applyFill="1" applyBorder="1"/>
    <xf numFmtId="164" fontId="7" fillId="0" borderId="0" xfId="0" applyNumberFormat="1" applyFont="1" applyFill="1" applyBorder="1"/>
    <xf numFmtId="164" fontId="5" fillId="0" borderId="0" xfId="0" applyNumberFormat="1" applyFont="1" applyFill="1" applyBorder="1"/>
    <xf numFmtId="170" fontId="5" fillId="0" borderId="0" xfId="0" applyNumberFormat="1" applyFont="1" applyFill="1" applyBorder="1"/>
    <xf numFmtId="167" fontId="7" fillId="0" borderId="2" xfId="0" applyNumberFormat="1" applyFont="1" applyBorder="1" applyAlignment="1" applyProtection="1">
      <alignment horizontal="right" vertical="center"/>
    </xf>
    <xf numFmtId="167" fontId="7" fillId="0" borderId="4" xfId="0" applyNumberFormat="1" applyFont="1" applyBorder="1" applyAlignment="1" applyProtection="1">
      <alignment horizontal="right" vertical="center"/>
    </xf>
    <xf numFmtId="3" fontId="5" fillId="28" borderId="6" xfId="2" applyNumberFormat="1" applyFont="1" applyFill="1" applyBorder="1" applyAlignment="1" applyProtection="1">
      <alignment horizontal="right"/>
      <protection locked="0"/>
    </xf>
    <xf numFmtId="167" fontId="7" fillId="0" borderId="50" xfId="0" applyNumberFormat="1" applyFont="1" applyBorder="1" applyAlignment="1" applyProtection="1">
      <alignment horizontal="right" vertical="center"/>
    </xf>
    <xf numFmtId="3" fontId="5" fillId="29" borderId="6" xfId="2" applyNumberFormat="1" applyFont="1" applyFill="1" applyBorder="1" applyAlignment="1" applyProtection="1">
      <alignment horizontal="right"/>
      <protection locked="0"/>
    </xf>
    <xf numFmtId="3" fontId="5" fillId="17" borderId="6" xfId="2" applyNumberFormat="1" applyFont="1" applyFill="1" applyBorder="1" applyAlignment="1" applyProtection="1">
      <alignment vertical="top"/>
      <protection locked="0"/>
    </xf>
    <xf numFmtId="10" fontId="23" fillId="0" borderId="0" xfId="9" applyNumberFormat="1" applyFont="1"/>
    <xf numFmtId="166" fontId="7" fillId="0" borderId="51" xfId="1" applyNumberFormat="1" applyFont="1" applyBorder="1"/>
    <xf numFmtId="164" fontId="3" fillId="0" borderId="5" xfId="0" applyFont="1" applyBorder="1" applyAlignment="1" applyProtection="1">
      <alignment vertical="top" wrapText="1"/>
    </xf>
    <xf numFmtId="164" fontId="3" fillId="0" borderId="5" xfId="0" applyFont="1" applyBorder="1" applyAlignment="1">
      <alignment vertical="top" wrapText="1"/>
    </xf>
    <xf numFmtId="164" fontId="4" fillId="0" borderId="0" xfId="0" applyFont="1" applyAlignment="1" applyProtection="1">
      <alignment horizontal="center"/>
    </xf>
    <xf numFmtId="164" fontId="6" fillId="0" borderId="0" xfId="0" applyFont="1" applyAlignment="1" applyProtection="1">
      <alignment horizontal="center"/>
    </xf>
    <xf numFmtId="164" fontId="3" fillId="0" borderId="5" xfId="0" applyFont="1" applyBorder="1" applyAlignment="1" applyProtection="1">
      <alignment wrapText="1"/>
    </xf>
    <xf numFmtId="164" fontId="3" fillId="0" borderId="5" xfId="0" applyFont="1" applyBorder="1" applyAlignment="1">
      <alignment wrapText="1"/>
    </xf>
    <xf numFmtId="164" fontId="3" fillId="0" borderId="0" xfId="0" applyFont="1" applyAlignment="1" applyProtection="1">
      <alignment vertical="top" wrapText="1"/>
    </xf>
    <xf numFmtId="164" fontId="0" fillId="0" borderId="0" xfId="0" applyAlignment="1">
      <alignment vertical="top" wrapText="1"/>
    </xf>
    <xf numFmtId="164" fontId="15" fillId="0" borderId="5" xfId="0" applyFont="1" applyBorder="1" applyAlignment="1">
      <alignment vertical="top" wrapText="1"/>
    </xf>
    <xf numFmtId="164" fontId="0" fillId="0" borderId="5" xfId="0" applyBorder="1" applyAlignment="1">
      <alignment vertical="top"/>
    </xf>
    <xf numFmtId="164" fontId="15" fillId="0" borderId="0" xfId="0" applyFont="1" applyAlignment="1">
      <alignment vertical="top" wrapText="1"/>
    </xf>
    <xf numFmtId="164" fontId="3" fillId="0" borderId="0" xfId="0" applyFont="1" applyBorder="1" applyAlignment="1" applyProtection="1">
      <alignment horizontal="left" vertical="top" wrapText="1"/>
    </xf>
    <xf numFmtId="164" fontId="3" fillId="0" borderId="0" xfId="0" applyFont="1" applyAlignment="1" applyProtection="1">
      <alignment horizontal="left" vertical="top" wrapText="1"/>
    </xf>
    <xf numFmtId="164" fontId="3" fillId="0" borderId="0" xfId="0" applyFont="1" applyAlignment="1" applyProtection="1">
      <alignment wrapText="1"/>
    </xf>
    <xf numFmtId="164" fontId="15" fillId="0" borderId="5" xfId="0" applyFont="1" applyBorder="1" applyAlignment="1">
      <alignment wrapText="1"/>
    </xf>
    <xf numFmtId="164" fontId="0" fillId="0" borderId="5" xfId="0" applyBorder="1" applyAlignment="1"/>
    <xf numFmtId="164" fontId="15" fillId="0" borderId="0" xfId="0" applyFont="1" applyAlignment="1">
      <alignment wrapText="1"/>
    </xf>
    <xf numFmtId="164" fontId="0" fillId="0" borderId="0" xfId="0" applyAlignment="1">
      <alignment wrapText="1"/>
    </xf>
    <xf numFmtId="164" fontId="3" fillId="0" borderId="0" xfId="0" applyFont="1" applyAlignment="1" applyProtection="1">
      <alignment horizontal="left" wrapText="1"/>
    </xf>
    <xf numFmtId="49" fontId="5" fillId="20" borderId="6" xfId="2" applyNumberFormat="1" applyFont="1" applyFill="1" applyBorder="1" applyAlignment="1" applyProtection="1">
      <alignment horizontal="left"/>
      <protection locked="0"/>
    </xf>
    <xf numFmtId="49" fontId="5" fillId="20" borderId="0" xfId="2" applyNumberFormat="1" applyFont="1" applyFill="1" applyBorder="1" applyAlignment="1" applyProtection="1">
      <alignment horizontal="left"/>
      <protection locked="0"/>
    </xf>
    <xf numFmtId="49" fontId="5" fillId="20" borderId="37" xfId="2" applyNumberFormat="1" applyFont="1" applyFill="1" applyBorder="1" applyAlignment="1" applyProtection="1">
      <alignment horizontal="left"/>
      <protection locked="0"/>
    </xf>
    <xf numFmtId="166" fontId="4" fillId="0" borderId="33" xfId="10" applyNumberFormat="1" applyFont="1" applyFill="1" applyBorder="1" applyAlignment="1" applyProtection="1">
      <alignment horizontal="left"/>
      <protection locked="0"/>
    </xf>
    <xf numFmtId="166" fontId="4" fillId="0" borderId="4" xfId="10" applyNumberFormat="1" applyFont="1" applyFill="1" applyBorder="1" applyAlignment="1" applyProtection="1">
      <alignment horizontal="left"/>
      <protection locked="0"/>
    </xf>
    <xf numFmtId="49" fontId="6" fillId="19" borderId="6" xfId="2" applyNumberFormat="1" applyFont="1" applyFill="1" applyBorder="1" applyAlignment="1" applyProtection="1">
      <alignment horizontal="left"/>
      <protection locked="0"/>
    </xf>
    <xf numFmtId="49" fontId="6" fillId="19" borderId="0" xfId="2" applyNumberFormat="1" applyFont="1" applyFill="1" applyBorder="1" applyAlignment="1" applyProtection="1">
      <alignment horizontal="left"/>
      <protection locked="0"/>
    </xf>
    <xf numFmtId="0" fontId="6" fillId="0" borderId="29" xfId="10" applyNumberFormat="1" applyFont="1" applyFill="1" applyBorder="1" applyAlignment="1" applyProtection="1">
      <alignment horizontal="center"/>
      <protection locked="0"/>
    </xf>
    <xf numFmtId="0" fontId="6" fillId="0" borderId="5" xfId="10" applyNumberFormat="1" applyFont="1" applyFill="1" applyBorder="1" applyAlignment="1" applyProtection="1">
      <alignment horizontal="center"/>
      <protection locked="0"/>
    </xf>
    <xf numFmtId="0" fontId="6" fillId="0" borderId="34" xfId="10" applyNumberFormat="1" applyFont="1" applyFill="1" applyBorder="1" applyAlignment="1" applyProtection="1">
      <alignment horizontal="center"/>
      <protection locked="0"/>
    </xf>
    <xf numFmtId="0" fontId="6" fillId="0" borderId="30" xfId="10" applyNumberFormat="1" applyFont="1" applyFill="1" applyBorder="1" applyAlignment="1" applyProtection="1">
      <alignment horizontal="center"/>
      <protection locked="0"/>
    </xf>
    <xf numFmtId="0" fontId="6" fillId="0" borderId="0" xfId="10" applyNumberFormat="1" applyFont="1" applyFill="1" applyBorder="1" applyAlignment="1" applyProtection="1">
      <alignment horizontal="center"/>
      <protection locked="0"/>
    </xf>
    <xf numFmtId="0" fontId="6" fillId="0" borderId="37" xfId="10" applyNumberFormat="1" applyFont="1" applyFill="1" applyBorder="1" applyAlignment="1" applyProtection="1">
      <alignment horizontal="center"/>
      <protection locked="0"/>
    </xf>
    <xf numFmtId="0" fontId="6" fillId="0" borderId="31" xfId="10" applyNumberFormat="1" applyFont="1" applyFill="1" applyBorder="1" applyAlignment="1" applyProtection="1">
      <alignment horizontal="center"/>
      <protection locked="0"/>
    </xf>
    <xf numFmtId="0" fontId="6" fillId="0" borderId="4" xfId="10" applyNumberFormat="1" applyFont="1" applyFill="1" applyBorder="1" applyAlignment="1" applyProtection="1">
      <alignment horizontal="center"/>
      <protection locked="0"/>
    </xf>
    <xf numFmtId="0" fontId="6" fillId="0" borderId="40" xfId="10" applyNumberFormat="1" applyFont="1" applyFill="1" applyBorder="1" applyAlignment="1" applyProtection="1">
      <alignment horizontal="center"/>
      <protection locked="0"/>
    </xf>
    <xf numFmtId="0" fontId="6" fillId="0" borderId="35" xfId="10" applyNumberFormat="1" applyFont="1" applyFill="1" applyBorder="1" applyAlignment="1" applyProtection="1">
      <alignment horizontal="center"/>
      <protection locked="0"/>
    </xf>
    <xf numFmtId="0" fontId="6" fillId="0" borderId="38" xfId="10" applyNumberFormat="1" applyFont="1" applyFill="1" applyBorder="1" applyAlignment="1" applyProtection="1">
      <alignment horizontal="center"/>
      <protection locked="0"/>
    </xf>
    <xf numFmtId="0" fontId="6" fillId="0" borderId="32" xfId="10" applyNumberFormat="1" applyFont="1" applyFill="1" applyBorder="1" applyAlignment="1" applyProtection="1">
      <alignment horizontal="center"/>
      <protection locked="0"/>
    </xf>
    <xf numFmtId="0" fontId="6" fillId="0" borderId="36" xfId="10" applyNumberFormat="1" applyFont="1" applyFill="1" applyBorder="1" applyAlignment="1" applyProtection="1">
      <alignment horizontal="center"/>
      <protection locked="0"/>
    </xf>
    <xf numFmtId="0" fontId="6" fillId="0" borderId="39" xfId="10" applyNumberFormat="1" applyFont="1" applyFill="1" applyBorder="1" applyAlignment="1" applyProtection="1">
      <alignment horizontal="center"/>
      <protection locked="0"/>
    </xf>
    <xf numFmtId="0" fontId="6" fillId="0" borderId="33" xfId="10" applyNumberFormat="1" applyFont="1" applyFill="1" applyBorder="1" applyAlignment="1" applyProtection="1">
      <alignment horizontal="center"/>
      <protection locked="0"/>
    </xf>
    <xf numFmtId="49" fontId="31" fillId="18" borderId="8" xfId="2" applyNumberFormat="1" applyFont="1" applyFill="1" applyBorder="1" applyAlignment="1" applyProtection="1">
      <alignment horizontal="center" vertical="center"/>
      <protection locked="0"/>
    </xf>
    <xf numFmtId="49" fontId="31" fillId="18" borderId="5" xfId="2" applyNumberFormat="1" applyFont="1" applyFill="1" applyBorder="1" applyAlignment="1" applyProtection="1">
      <alignment horizontal="center" vertical="center"/>
      <protection locked="0"/>
    </xf>
    <xf numFmtId="166" fontId="4" fillId="0" borderId="31" xfId="10" applyNumberFormat="1" applyFont="1" applyFill="1" applyBorder="1" applyAlignment="1" applyProtection="1">
      <alignment horizontal="left"/>
      <protection locked="0"/>
    </xf>
    <xf numFmtId="166" fontId="4" fillId="0" borderId="32" xfId="10" applyNumberFormat="1" applyFont="1" applyFill="1" applyBorder="1" applyAlignment="1" applyProtection="1">
      <alignment horizontal="left"/>
      <protection locked="0"/>
    </xf>
    <xf numFmtId="0" fontId="6" fillId="0" borderId="11" xfId="10" applyNumberFormat="1" applyFont="1" applyFill="1" applyBorder="1" applyAlignment="1" applyProtection="1">
      <alignment horizontal="center"/>
      <protection locked="0"/>
    </xf>
    <xf numFmtId="0" fontId="6" fillId="0" borderId="12" xfId="10" applyNumberFormat="1" applyFont="1" applyFill="1" applyBorder="1" applyAlignment="1" applyProtection="1">
      <alignment horizontal="center"/>
      <protection locked="0"/>
    </xf>
    <xf numFmtId="0" fontId="6" fillId="0" borderId="13" xfId="10" applyNumberFormat="1" applyFont="1" applyFill="1" applyBorder="1" applyAlignment="1" applyProtection="1">
      <alignment horizontal="center"/>
      <protection locked="0"/>
    </xf>
    <xf numFmtId="164" fontId="3" fillId="0" borderId="0" xfId="0" applyFont="1" applyBorder="1" applyAlignment="1">
      <alignment horizontal="right"/>
    </xf>
  </cellXfs>
  <cellStyles count="38">
    <cellStyle name="Comma" xfId="1" builtinId="3"/>
    <cellStyle name="Comma 2" xfId="10"/>
    <cellStyle name="Comma 3" xfId="36"/>
    <cellStyle name="Comma 3 2" xfId="12"/>
    <cellStyle name="Normal" xfId="0" builtinId="0"/>
    <cellStyle name="Normal 2" xfId="2"/>
    <cellStyle name="Normal 2 4" xfId="33"/>
    <cellStyle name="Normal 2 5" xfId="34"/>
    <cellStyle name="Normal 71" xfId="14"/>
    <cellStyle name="Normal 72" xfId="15"/>
    <cellStyle name="Normal 73" xfId="16"/>
    <cellStyle name="Normal 83" xfId="17"/>
    <cellStyle name="Normal 84" xfId="18"/>
    <cellStyle name="Normal 85" xfId="28"/>
    <cellStyle name="Normal 86" xfId="19"/>
    <cellStyle name="Normal 90" xfId="20"/>
    <cellStyle name="Normal 91" xfId="21"/>
    <cellStyle name="Normal 92" xfId="22"/>
    <cellStyle name="Normal 93" xfId="23"/>
    <cellStyle name="Normal 94" xfId="29"/>
    <cellStyle name="Normal 95" xfId="24"/>
    <cellStyle name="Normal 96" xfId="26"/>
    <cellStyle name="Normal 97" xfId="27"/>
    <cellStyle name="Normal 98" xfId="25"/>
    <cellStyle name="Normal_03SCH&amp;FTE05" xfId="30"/>
    <cellStyle name="Normal_03TTA09mastersurvey" xfId="31"/>
    <cellStyle name="Normal_Degree02 Form" xfId="3"/>
    <cellStyle name="Normal_Degree02 Form 2" xfId="11"/>
    <cellStyle name="Normal_Degrees02 Form" xfId="4"/>
    <cellStyle name="Normal_Degrees02 Form 2" xfId="5"/>
    <cellStyle name="Normal_Degrees02 Form 2 2" xfId="35"/>
    <cellStyle name="Normal_SCH&amp;FTE02 Form" xfId="6"/>
    <cellStyle name="Normal_SCH&amp;FTE03 Form" xfId="7"/>
    <cellStyle name="Normal_StProg01B 2" xfId="37"/>
    <cellStyle name="Normal_StProg02 Form" xfId="8"/>
    <cellStyle name="Normal_StProg02 Form 2" xfId="13"/>
    <cellStyle name="Normal_Tuition02 Form" xfId="32"/>
    <cellStyle name="Percent" xfId="9" builtinId="5"/>
  </cellStyles>
  <dxfs count="21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indexed="10"/>
      </font>
    </dxf>
    <dxf>
      <font>
        <b/>
        <i val="0"/>
        <color indexed="1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numFmt numFmtId="166" formatCode="_(* #,##0_);_(* \(#,##0\);_(* &quot;-&quot;??_);_(@_)"/>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
      <border>
        <bottom style="thin">
          <color indexed="64"/>
        </bottom>
      </border>
    </dxf>
    <dxf>
      <alignment horizontal="right" readingOrder="0"/>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left/>
        <right/>
      </border>
    </dxf>
    <dxf>
      <font>
        <sz val="10"/>
        <name val="Arial"/>
        <scheme val="none"/>
      </font>
      <numFmt numFmtId="166" formatCode="_(* #,##0_);_(* \(#,##0\);_(* &quot;-&quot;??_);_(@_)"/>
    </dxf>
    <dxf>
      <font>
        <sz val="10"/>
        <name val="Arial"/>
        <scheme val="none"/>
      </font>
      <numFmt numFmtId="166" formatCode="_(* #,##0_);_(* \(#,##0\);_(* &quot;-&quot;??_);_(@_)"/>
    </dxf>
    <dxf>
      <font>
        <sz val="10"/>
      </font>
    </dxf>
    <dxf>
      <font>
        <name val="Arial"/>
        <scheme val="none"/>
      </font>
    </dxf>
    <dxf>
      <font>
        <b/>
      </font>
    </dxf>
    <dxf>
      <font>
        <b/>
      </font>
    </dxf>
    <dxf>
      <font>
        <b/>
      </font>
    </dxf>
  </dxfs>
  <tableStyles count="0" defaultTableStyle="TableStyleMedium9" defaultPivotStyle="PivotStyleLight16"/>
  <colors>
    <mruColors>
      <color rgb="FF00FF00"/>
      <color rgb="FF0000FF"/>
      <color rgb="FF00CC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925.55703935185" createdVersion="3" refreshedVersion="3" minRefreshableVersion="3" recordCount="675">
  <cacheSource type="worksheet">
    <worksheetSource ref="A8:BY683" sheet="Faculty Salary Data"/>
  </cacheSource>
  <cacheFields count="115">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Blank="1" containsMixedTypes="1" containsNumber="1" containsInteger="1" minValue="100654" maxValue="870501"/>
    </cacheField>
    <cacheField name="Category" numFmtId="0">
      <sharedItems containsMixedTypes="1" containsNumber="1" containsInteger="1" minValue="1" maxValue="99" count="17">
        <n v="1"/>
        <n v="2"/>
        <n v="3"/>
        <n v="4"/>
        <n v="5"/>
        <n v="6"/>
        <n v="8"/>
        <n v="9"/>
        <n v="10"/>
        <n v="12"/>
        <n v="13"/>
        <n v="7"/>
        <n v="99"/>
        <n v="14"/>
        <s v="11"/>
        <n v="15" u="1"/>
        <n v="11" u="1"/>
      </sharedItems>
      <fieldGroup par="101"/>
    </cacheField>
    <cacheField name="Old # Prof9" numFmtId="0">
      <sharedItems containsString="0" containsBlank="1" containsNumber="1" containsInteger="1" minValue="0" maxValue="977"/>
    </cacheField>
    <cacheField name="Old Sal Prof9" numFmtId="0">
      <sharedItems containsString="0" containsBlank="1" containsNumber="1" minValue="0" maxValue="141110"/>
    </cacheField>
    <cacheField name="Old * Prof9" numFmtId="3">
      <sharedItems containsSemiMixedTypes="0" containsString="0" containsNumber="1" minValue="0" maxValue="130281433"/>
    </cacheField>
    <cacheField name="New # Prof9" numFmtId="0">
      <sharedItems containsString="0" containsBlank="1" containsNumber="1" containsInteger="1" minValue="0" maxValue="985"/>
    </cacheField>
    <cacheField name="New Sal Prof9" numFmtId="0">
      <sharedItems containsString="0" containsBlank="1" containsNumber="1" minValue="0" maxValue="140969"/>
    </cacheField>
    <cacheField name="New*Prof9" numFmtId="3">
      <sharedItems containsSemiMixedTypes="0" containsString="0" containsNumber="1" minValue="0" maxValue="134358536"/>
    </cacheField>
    <cacheField name="Old # Asc9" numFmtId="3">
      <sharedItems containsString="0" containsBlank="1" containsNumber="1" containsInteger="1" minValue="0" maxValue="581"/>
    </cacheField>
    <cacheField name="Old Sal Asc9" numFmtId="3">
      <sharedItems containsString="0" containsBlank="1" containsNumber="1" minValue="0" maxValue="101509.89473684211"/>
    </cacheField>
    <cacheField name="Old*Asc9" numFmtId="3">
      <sharedItems containsSemiMixedTypes="0" containsString="0" containsNumber="1" minValue="0" maxValue="44603881"/>
    </cacheField>
    <cacheField name="New # Asc9" numFmtId="3">
      <sharedItems containsString="0" containsBlank="1" containsNumber="1" containsInteger="1" minValue="0" maxValue="612"/>
    </cacheField>
    <cacheField name="New Sal Asc9" numFmtId="0">
      <sharedItems containsString="0" containsBlank="1" containsNumber="1" minValue="0" maxValue="105920.1724137931"/>
    </cacheField>
    <cacheField name="New*Asc9" numFmtId="3">
      <sharedItems containsSemiMixedTypes="0" containsString="0" containsNumber="1" minValue="0" maxValue="47715292"/>
    </cacheField>
    <cacheField name="Old # Ast9" numFmtId="3">
      <sharedItems containsString="0" containsBlank="1" containsNumber="1" containsInteger="1" minValue="0" maxValue="623"/>
    </cacheField>
    <cacheField name="Old Sal Ast9" numFmtId="3">
      <sharedItems containsString="0" containsBlank="1" containsNumber="1" minValue="0" maxValue="109469"/>
    </cacheField>
    <cacheField name="Old*Ast9" numFmtId="3">
      <sharedItems containsSemiMixedTypes="0" containsString="0" containsNumber="1" minValue="0" maxValue="43684579"/>
    </cacheField>
    <cacheField name="New # Ast9" numFmtId="3">
      <sharedItems containsString="0" containsBlank="1" containsNumber="1" containsInteger="1" minValue="0" maxValue="647"/>
    </cacheField>
    <cacheField name="New Sal Ast9" numFmtId="3">
      <sharedItems containsString="0" containsBlank="1" containsNumber="1" minValue="0" maxValue="92433.415841584152"/>
    </cacheField>
    <cacheField name="New*Ast9" numFmtId="3">
      <sharedItems containsSemiMixedTypes="0" containsString="0" containsNumber="1" minValue="0" maxValue="44884183"/>
    </cacheField>
    <cacheField name="Old # Inst9" numFmtId="3">
      <sharedItems containsString="0" containsBlank="1" containsNumber="1" containsInteger="1" minValue="0" maxValue="406"/>
    </cacheField>
    <cacheField name="Old Sal Inst9" numFmtId="3">
      <sharedItems containsString="0" containsBlank="1" containsNumber="1" minValue="0" maxValue="101400"/>
    </cacheField>
    <cacheField name="Old*Inst9" numFmtId="3">
      <sharedItems containsSemiMixedTypes="0" containsString="0" containsNumber="1" minValue="0" maxValue="20404849"/>
    </cacheField>
    <cacheField name="New # Inst9" numFmtId="0">
      <sharedItems containsString="0" containsBlank="1" containsNumber="1" containsInteger="1" minValue="0" maxValue="553"/>
    </cacheField>
    <cacheField name="New Sal Inst9" numFmtId="0">
      <sharedItems containsString="0" containsBlank="1" containsNumber="1" minValue="0" maxValue="95625"/>
    </cacheField>
    <cacheField name="New*Inst9" numFmtId="3">
      <sharedItems containsSemiMixedTypes="0" containsString="0" containsNumber="1" minValue="0" maxValue="30317584"/>
    </cacheField>
    <cacheField name="Old # Undsg9" numFmtId="3">
      <sharedItems containsString="0" containsBlank="1" containsNumber="1" containsInteger="1" minValue="0" maxValue="612"/>
    </cacheField>
    <cacheField name="Old Sal Undsg9" numFmtId="3">
      <sharedItems containsString="0" containsBlank="1" containsNumber="1" minValue="0" maxValue="93142"/>
    </cacheField>
    <cacheField name="Old*Undsg9" numFmtId="3">
      <sharedItems containsSemiMixedTypes="0" containsString="0" containsNumber="1" minValue="0" maxValue="35378985"/>
    </cacheField>
    <cacheField name="New # Undsg9" numFmtId="0">
      <sharedItems containsString="0" containsBlank="1" containsNumber="1" containsInteger="1" minValue="0" maxValue="354"/>
    </cacheField>
    <cacheField name="New Sal Undsg9" numFmtId="0">
      <sharedItems containsString="0" containsBlank="1" containsNumber="1" minValue="0" maxValue="105724"/>
    </cacheField>
    <cacheField name="Nrw*Undsg9" numFmtId="3">
      <sharedItems containsSemiMixedTypes="0" containsString="0" containsNumber="1" minValue="0" maxValue="20143896"/>
    </cacheField>
    <cacheField name="Old # SR9" numFmtId="3">
      <sharedItems containsString="0" containsBlank="1" containsNumber="1" minValue="0" maxValue="663"/>
    </cacheField>
    <cacheField name="Old Sal SR9" numFmtId="3">
      <sharedItems containsString="0" containsBlank="1" containsNumber="1" minValue="25332" maxValue="64633"/>
    </cacheField>
    <cacheField name="Old*SR9" numFmtId="3">
      <sharedItems containsSemiMixedTypes="0" containsString="0" containsNumber="1" minValue="0" maxValue="39771381"/>
    </cacheField>
    <cacheField name="New # SR9" numFmtId="0">
      <sharedItems containsString="0" containsBlank="1" containsNumber="1" minValue="0" maxValue="658"/>
    </cacheField>
    <cacheField name="New Sal SR9" numFmtId="0">
      <sharedItems containsString="0" containsBlank="1" containsNumber="1" minValue="0" maxValue="84603.875"/>
    </cacheField>
    <cacheField name="New*SR9" numFmtId="3">
      <sharedItems containsSemiMixedTypes="0" containsString="0" containsNumber="1" minValue="0" maxValue="39634630"/>
    </cacheField>
    <cacheField name="Old # Prof11" numFmtId="3">
      <sharedItems containsString="0" containsBlank="1" containsNumber="1" containsInteger="1" minValue="0" maxValue="293"/>
    </cacheField>
    <cacheField name="Old Sal Prof11" numFmtId="3">
      <sharedItems containsString="0" containsBlank="1" containsNumber="1" minValue="0" maxValue="226118"/>
    </cacheField>
    <cacheField name="Old * Prof11" numFmtId="3">
      <sharedItems containsSemiMixedTypes="0" containsString="0" containsNumber="1" minValue="0" maxValue="37939137.072283626"/>
    </cacheField>
    <cacheField name="New # Prof11" numFmtId="0">
      <sharedItems containsString="0" containsBlank="1" containsNumber="1" containsInteger="1" minValue="0" maxValue="620"/>
    </cacheField>
    <cacheField name="New Sal Prof11" numFmtId="0">
      <sharedItems containsString="0" containsBlank="1" containsNumber="1" minValue="0" maxValue="226432"/>
    </cacheField>
    <cacheField name="New*Prof11" numFmtId="3">
      <sharedItems containsSemiMixedTypes="0" containsString="0" containsNumber="1" minValue="0" maxValue="41759890.522399999"/>
    </cacheField>
    <cacheField name="Old # Asc11" numFmtId="3">
      <sharedItems containsString="0" containsBlank="1" containsNumber="1" containsInteger="1" minValue="0" maxValue="167"/>
    </cacheField>
    <cacheField name="Old Sal Asc11" numFmtId="3">
      <sharedItems containsString="0" containsBlank="1" containsNumber="1" minValue="0" maxValue="130727"/>
    </cacheField>
    <cacheField name="Old*Asc11" numFmtId="3">
      <sharedItems containsSemiMixedTypes="0" containsString="0" containsNumber="1" minValue="0" maxValue="12315361.437708"/>
    </cacheField>
    <cacheField name="New # Asc11" numFmtId="0">
      <sharedItems containsString="0" containsBlank="1" containsNumber="1" containsInteger="1" minValue="0" maxValue="300"/>
    </cacheField>
    <cacheField name="New Sal Asc11" numFmtId="0">
      <sharedItems containsString="0" containsBlank="1" containsNumber="1" minValue="0" maxValue="133696"/>
    </cacheField>
    <cacheField name="New*Asc11" numFmtId="3">
      <sharedItems containsSemiMixedTypes="0" containsString="0" containsNumber="1" minValue="0" maxValue="15413667.2456"/>
    </cacheField>
    <cacheField name="Old # Ast11" numFmtId="3">
      <sharedItems containsString="0" containsBlank="1" containsNumber="1" containsInteger="1" minValue="0" maxValue="236"/>
    </cacheField>
    <cacheField name="Old Sal Ast11" numFmtId="3">
      <sharedItems containsString="0" containsBlank="1" containsNumber="1" minValue="0" maxValue="110683"/>
    </cacheField>
    <cacheField name="Old*Ast11" numFmtId="3">
      <sharedItems containsSemiMixedTypes="0" containsString="0" containsNumber="1" minValue="0" maxValue="14124735.667858001"/>
    </cacheField>
    <cacheField name="New # Ast11" numFmtId="0">
      <sharedItems containsString="0" containsBlank="1" containsNumber="1" containsInteger="1" minValue="0" maxValue="232"/>
    </cacheField>
    <cacheField name="New Sal Ast11" numFmtId="0">
      <sharedItems containsString="0" containsBlank="1" containsNumber="1" minValue="0" maxValue="154211"/>
    </cacheField>
    <cacheField name="New*Ast11" numFmtId="3">
      <sharedItems containsSemiMixedTypes="0" containsString="0" containsNumber="1" minValue="0" maxValue="14532541.938200001"/>
    </cacheField>
    <cacheField name="Old # Inst11" numFmtId="3">
      <sharedItems containsString="0" containsBlank="1" containsNumber="1" containsInteger="1" minValue="0" maxValue="199"/>
    </cacheField>
    <cacheField name="Old Sal Inst11" numFmtId="3">
      <sharedItems containsString="0" containsBlank="1" containsNumber="1" minValue="0" maxValue="127992"/>
    </cacheField>
    <cacheField name="Old*Inst11" numFmtId="3">
      <sharedItems containsSemiMixedTypes="0" containsString="0" containsNumber="1" minValue="0" maxValue="7630107.7360000005"/>
    </cacheField>
    <cacheField name="New # Inst11" numFmtId="0">
      <sharedItems containsString="0" containsBlank="1" containsNumber="1" containsInteger="1" minValue="0" maxValue="357"/>
    </cacheField>
    <cacheField name="New Sal Inst11" numFmtId="0">
      <sharedItems containsString="0" containsBlank="1" containsNumber="1" minValue="0" maxValue="140000"/>
    </cacheField>
    <cacheField name="New*Inst11" numFmtId="3">
      <sharedItems containsSemiMixedTypes="0" containsString="0" containsNumber="1" minValue="0" maxValue="21753781.224800002"/>
    </cacheField>
    <cacheField name="Old # Undsg11" numFmtId="3">
      <sharedItems containsString="0" containsBlank="1" containsNumber="1" containsInteger="1" minValue="0" maxValue="112"/>
    </cacheField>
    <cacheField name="Old Sal Undsg11" numFmtId="3">
      <sharedItems containsString="0" containsBlank="1" containsNumber="1" minValue="0" maxValue="146320"/>
    </cacheField>
    <cacheField name="Old*Undsg11" numFmtId="3">
      <sharedItems containsSemiMixedTypes="0" containsString="0" containsNumber="1" minValue="0" maxValue="9928287.5328000002"/>
    </cacheField>
    <cacheField name="New # Undsg11" numFmtId="0">
      <sharedItems containsString="0" containsBlank="1" containsNumber="1" containsInteger="1" minValue="0" maxValue="130"/>
    </cacheField>
    <cacheField name="New Sal Undsg11" numFmtId="0">
      <sharedItems containsString="0" containsBlank="1" containsNumber="1" minValue="0" maxValue="106557"/>
    </cacheField>
    <cacheField name="Nrw*Undsg11" numFmtId="3">
      <sharedItems containsSemiMixedTypes="0" containsString="0" containsNumber="1" minValue="0" maxValue="11334041.862"/>
    </cacheField>
    <cacheField name="Old # SR11" numFmtId="3">
      <sharedItems containsString="0" containsBlank="1" containsNumber="1" minValue="1" maxValue="427"/>
    </cacheField>
    <cacheField name="Old Sal SR11" numFmtId="3">
      <sharedItems containsString="0" containsBlank="1" containsNumber="1" minValue="0" maxValue="89824"/>
    </cacheField>
    <cacheField name="Old*SR11" numFmtId="3">
      <sharedItems containsSemiMixedTypes="0" containsString="0" containsNumber="1" minValue="0" maxValue="20211873.5064"/>
    </cacheField>
    <cacheField name="New # SR11" numFmtId="0">
      <sharedItems containsString="0" containsBlank="1" containsNumber="1" minValue="0" maxValue="489"/>
    </cacheField>
    <cacheField name="New Sal SR11" numFmtId="0">
      <sharedItems containsString="0" containsBlank="1" containsNumber="1" minValue="0" maxValue="100000"/>
    </cacheField>
    <cacheField name="New*SR11" numFmtId="3">
      <sharedItems containsSemiMixedTypes="0" containsString="0" containsNumber="1" minValue="0" maxValue="19876958.063999999"/>
    </cacheField>
    <cacheField name="All Ranks # Old" numFmtId="0" formula=" ('Old # Prof9'+'Old # Prof11'+'Old # Asc9'+'Old # Asc11'+'Old # Ast9'+'Old # Ast11'+'Old # Inst9'+'Old # Inst11'+'Old # Undsg9'+'Old # Undsg11'+'Old # SR9'+'Old # SR11')" databaseField="0"/>
    <cacheField name="New Prof avg" numFmtId="0" formula="IF(('New # Prof11'+'New # Prof9')&gt;0, ('New*Prof9'+'New*Prof11')/('New # Prof11'+'New # Prof9'),0)" databaseField="0"/>
    <cacheField name="Old Prof avg" numFmtId="0" formula="IF(('Old # Prof11'+'Old # Prof9')&gt;0,('Old * Prof9'+'Old * Prof11')/('Old # Prof11'+'Old # Prof9'),0)" databaseField="0"/>
    <cacheField name="Old Asc. avg" numFmtId="0" formula="IF(('Old # Asc11'+'Old # Asc9')&gt;0,('Old*Asc9'+'Old*Asc11')/('Old # Asc11'+'Old # Asc9'),0)" databaseField="0"/>
    <cacheField name="New Asc. avg" numFmtId="0" formula="IF(('New # Asc9'+'New # Asc11')&gt;0,('New*Asc9'+'New*Asc11')/('New # Asc11'+'New # Asc9'),0)" databaseField="0"/>
    <cacheField name="Old Ast. avg" numFmtId="0" formula="IF(('Old # Ast11'+'Old # Ast9')&gt;0,('Old*Ast9'+'Old*Ast11')/('Old # Ast11'+'Old # Ast9'),0)" databaseField="0"/>
    <cacheField name="New Ast. avg" numFmtId="0" formula="IF(('New # Ast11'+'New # Ast9')&gt;0,('New*Ast9'+'New*Ast11')/('New # Ast11'+'New # Ast9'),0)" databaseField="0"/>
    <cacheField name="Old Inst. avg" numFmtId="0" formula="IF(('Old # Inst11'+'Old # Inst9')&gt;0,('Old*Inst9'+'Old*Inst11')/('Old # Inst11'+'Old # Inst9'),0)" databaseField="0"/>
    <cacheField name="New Inst. avg" numFmtId="0" formula="IF(('New # Inst11'+'New # Inst9')&gt;0,('New*Inst9'+'New*Inst11')/('New # Inst11'+'New # Inst9'),0)" databaseField="0"/>
    <cacheField name="Old Undesg. avg" numFmtId="0" formula="IF(('Old # Undsg11'+'Old # Undsg9')&gt;0,('Old*Undsg9'+'Old*Undsg11')/('Old # Undsg11'+'Old # Undsg9'),0)" databaseField="0"/>
    <cacheField name="New Undesg. avg" numFmtId="0" formula="IF(('New # Undsg11'+'New # Undsg9')&gt;0,('Nrw*Undsg9'+'Nrw*Undsg11')/('New # Undsg11'+'New # Undsg9'),0)" databaseField="0"/>
    <cacheField name="Old Single Rnk avg" numFmtId="0" formula="IF(('Old # SR11'+'Old # SR9')&gt;0,('Old*SR9'+'Old*SR11')/('Old # SR11'+'Old # SR9'),0)" databaseField="0"/>
    <cacheField name="New Single Rnk avg" numFmtId="0" formula="IF(('New # SR11'+'New # SR9')&gt;0,('New*SR9'+'New*SR11')/('New # SR11'+'New # SR9'),0)" databaseField="0"/>
    <cacheField name="Old All Ranks *" numFmtId="0" formula=" ('Old * Prof9'+'Old*Asc9'+'Old*Ast9'+'Old*Inst9'+'Old*Undsg9'+'Old*SR9')+('Old * Prof11'+'Old*Asc11'+'Old*Ast11'+'Old*Inst11'+'Old*Undsg11'+'Old*SR11')" databaseField="0"/>
    <cacheField name="Old All Ranks avg" numFmtId="0" formula="IF('All Ranks # Old'&gt;0,('Old All Ranks *'/'All Ranks # Old'),0)" databaseField="0"/>
    <cacheField name="New All Ranks *" numFmtId="0" formula="('New*Prof9'+'New*Asc9'+'New*Ast9'+'New*Inst9'+'Nrw*Undsg9'+'New*SR9'+'New*Prof11'+'New*Asc11'+'New*Ast11'+'New*Inst11'+'Nrw*Undsg11'+'New*SR11')" databaseField="0"/>
    <cacheField name="New All Ranks avg" numFmtId="0" formula="IF('All Ranks # New'&gt;0,('New All Ranks *'/'All Ranks # New'),0)" databaseField="0"/>
    <cacheField name="% change Prof" numFmtId="0" formula="IF('Old Prof avg'&gt;0,((('New Prof avg'-'Old Prof avg')/'Old Prof avg')*100),0)" databaseField="0"/>
    <cacheField name="% change Asc. Prof" numFmtId="0" formula="IF('Old Asc. avg'&gt;0,((('New Asc. avg'-'Old Asc. avg')/'Old Asc. avg')*100),0)" databaseField="0"/>
    <cacheField name="% change Ast. Prof" numFmtId="0" formula="IF('Old Ast. avg'&gt;0,((('New Ast. avg'-'Old Ast. avg')/'Old Ast. avg')*100),0)" databaseField="0"/>
    <cacheField name="% change Instr avg" numFmtId="0" formula="IF('Old Inst. avg'&gt;0,((('New Inst. avg'-'Old Inst. avg')/'Old Inst. avg')*100),0)" databaseField="0"/>
    <cacheField name="% change Undesg avg" numFmtId="0" formula="IF('Old Undesg. avg'&gt;0,((('New Undesg. avg'-'Old Undesg. avg')/'Old Undesg. avg')*100),0)" databaseField="0"/>
    <cacheField name="% change Single Rnk avg" numFmtId="0" formula="IF('Old Single Rnk avg'&gt;0,((('New Single Rnk avg'-'Old Single Rnk avg')/'Old Single Rnk avg')*100),0)" databaseField="0"/>
    <cacheField name="% change All Ranks avg" numFmtId="0" formula="IF('Old All Ranks avg'&gt;0,((('New All Ranks avg'-'Old All Ranks avg')/'Old All Ranks avg')*100),0)" databaseField="0"/>
    <cacheField name="Category2" numFmtId="0" databaseField="0">
      <fieldGroup base="4">
        <discretePr count="17">
          <x v="0"/>
          <x v="0"/>
          <x v="0"/>
          <x v="0"/>
          <x v="0"/>
          <x v="0"/>
          <x v="5"/>
          <x v="5"/>
          <x v="5"/>
          <x v="2"/>
          <x v="2"/>
          <x v="5"/>
          <x v="3"/>
          <x v="2"/>
          <x v="5"/>
          <x v="1"/>
          <x v="4"/>
        </discretePr>
        <groupItems count="6">
          <s v="Group1"/>
          <s v="15"/>
          <s v="Group3"/>
          <n v="99"/>
          <s v="11"/>
          <s v="Group2"/>
        </groupItems>
      </fieldGroup>
    </cacheField>
    <cacheField name="Tot # Single Rnk New" numFmtId="0" formula="'New # SR9'+'New # SR11'" databaseField="0"/>
    <cacheField name="Tot # Undes. New" numFmtId="0" formula="'New # Undsg9'+'New # Undsg11'" databaseField="0"/>
    <cacheField name="Tot # Instr. New" numFmtId="0" formula="'New # Inst9'+'New # Inst11'" databaseField="0"/>
    <cacheField name="Tot # Ast. Prof New" numFmtId="0" formula="'New # Ast9'+'New # Ast11'" databaseField="0"/>
    <cacheField name="Tot # Asc. Prof New" numFmtId="0" formula="'New # Asc9'+'New # Asc11'" databaseField="0"/>
    <cacheField name="Total # Prof New" numFmtId="0" formula="'New # Prof9'+'New # Prof11'" databaseField="0"/>
    <cacheField name="Tot # Single Rnk Old" numFmtId="0" formula="'Old # SR9'+'Old # SR11'" databaseField="0"/>
    <cacheField name="Tot # Undes. Old" numFmtId="0" formula="'Old # Undsg9'+'Old # Undsg11'" databaseField="0"/>
    <cacheField name="Tot # Instr. Old" numFmtId="0" formula="'Old # Inst9'+'Old # Inst11'" databaseField="0"/>
    <cacheField name="Tot # Ast. Prof Old" numFmtId="0" formula="'Old # Ast9'+'Old # Ast11'" databaseField="0"/>
    <cacheField name="Tot # Asc. Prof Old" numFmtId="0" formula="'Old # Asc9'+'Old # Asc11'" databaseField="0"/>
    <cacheField name="Total # Prof Old" numFmtId="0" formula="'Old # Prof9'+'Old # Prof11'" databaseField="0"/>
    <cacheField name="All Ranks # New" numFmtId="0" formula=" ('New # Prof9'+'New # Prof11'+'New # Asc9'+'New # Asc11'+'New # Ast9'+'New # Ast11'+'New # Inst9'+'New # Inst11'+'New # Undsg9'+'New # Undsg11'+'New # SR9'+'New # SR11')" databaseField="0"/>
  </cacheFields>
</pivotCacheDefinition>
</file>

<file path=xl/pivotCache/pivotCacheRecords1.xml><?xml version="1.0" encoding="utf-8"?>
<pivotCacheRecords xmlns="http://schemas.openxmlformats.org/spreadsheetml/2006/main" xmlns:r="http://schemas.openxmlformats.org/officeDocument/2006/relationships" count="675">
  <r>
    <x v="0"/>
    <s v="Auburn University"/>
    <m/>
    <n v="100858"/>
    <x v="0"/>
    <n v="284"/>
    <n v="104377.59507042254"/>
    <n v="29643237"/>
    <n v="274"/>
    <n v="103814.52189781022"/>
    <n v="28445179"/>
    <n v="270"/>
    <n v="73713.396296296298"/>
    <n v="19902617"/>
    <n v="275"/>
    <n v="74071.858181818185"/>
    <n v="20369761"/>
    <n v="239"/>
    <n v="62455.99581589958"/>
    <n v="14926983"/>
    <n v="222"/>
    <n v="62347.83783783784"/>
    <n v="13841220"/>
    <n v="58"/>
    <n v="34666.120689655174"/>
    <n v="2010635"/>
    <n v="74"/>
    <n v="36088.972972972973"/>
    <n v="2670584"/>
    <n v="6"/>
    <n v="51966.666666666664"/>
    <n v="311800"/>
    <n v="10"/>
    <n v="54500"/>
    <n v="545000"/>
    <m/>
    <m/>
    <n v="0"/>
    <m/>
    <m/>
    <n v="0"/>
    <n v="170"/>
    <n v="128965.39411764705"/>
    <n v="17938312.529400002"/>
    <n v="174"/>
    <n v="130509.14367816092"/>
    <n v="18580169.156199999"/>
    <n v="91"/>
    <n v="92228.81318681319"/>
    <n v="6867006.9604000002"/>
    <n v="92"/>
    <n v="92950.608695652176"/>
    <n v="6996801.2992000002"/>
    <n v="57"/>
    <n v="84596.719298245618"/>
    <n v="3945371.0366000002"/>
    <n v="63"/>
    <n v="81876.349206349201"/>
    <n v="4220447.4220000003"/>
    <n v="8"/>
    <n v="56179.625"/>
    <n v="367729.35340000002"/>
    <n v="11"/>
    <n v="59625.181818181816"/>
    <n v="536638.56140000001"/>
    <n v="1"/>
    <n v="75000"/>
    <n v="61365"/>
    <n v="1"/>
    <n v="75000"/>
    <n v="61365"/>
    <m/>
    <m/>
    <n v="0"/>
    <m/>
    <m/>
    <n v="0"/>
  </r>
  <r>
    <x v="0"/>
    <s v="University of Alabama "/>
    <m/>
    <n v="100751"/>
    <x v="0"/>
    <n v="287"/>
    <n v="116715.53310104529"/>
    <n v="33497358"/>
    <n v="296"/>
    <n v="121146.28716216216"/>
    <n v="35859301"/>
    <n v="254"/>
    <n v="80281.889763779531"/>
    <n v="20391600"/>
    <n v="258"/>
    <n v="84145.620155038763"/>
    <n v="21709570"/>
    <n v="257"/>
    <n v="61127.338521400779"/>
    <n v="15709726"/>
    <n v="275"/>
    <n v="63799.934545454547"/>
    <n v="17544982"/>
    <n v="145"/>
    <n v="39497.048275862071"/>
    <n v="5727072"/>
    <n v="177"/>
    <n v="40534.090395480227"/>
    <n v="7174534"/>
    <n v="11"/>
    <n v="63409.727272727272"/>
    <n v="697507"/>
    <n v="10"/>
    <n v="62516.6"/>
    <n v="625166"/>
    <m/>
    <m/>
    <n v="0"/>
    <m/>
    <m/>
    <n v="0"/>
    <n v="29"/>
    <n v="130403.6551724138"/>
    <n v="3094191.8492000001"/>
    <n v="30"/>
    <n v="139047.33333333334"/>
    <n v="3413055.8440000005"/>
    <n v="34"/>
    <n v="84678.76470588235"/>
    <n v="2355661.6196000003"/>
    <n v="34"/>
    <n v="87088.617647058825"/>
    <n v="2422700.8366"/>
    <n v="58"/>
    <n v="66608.655172413797"/>
    <n v="3160953.6964000002"/>
    <n v="63"/>
    <n v="70005.873015873018"/>
    <n v="3608564.7340000002"/>
    <n v="26"/>
    <n v="47795.346153846156"/>
    <n v="1016759.9578000001"/>
    <n v="28"/>
    <n v="45707.857142857145"/>
    <n v="1047148.724"/>
    <n v="5"/>
    <n v="84559.2"/>
    <n v="345931.68720000004"/>
    <n v="4"/>
    <n v="101127.75"/>
    <n v="330970.90020000003"/>
    <m/>
    <m/>
    <n v="0"/>
    <m/>
    <m/>
    <n v="0"/>
  </r>
  <r>
    <x v="0"/>
    <s v="University of Alabama at Birmingham"/>
    <s v="Met the criteria for Four-Year 2 in 2010-11."/>
    <n v="100663"/>
    <x v="0"/>
    <n v="94"/>
    <n v="95659.212765957447"/>
    <n v="8991966"/>
    <n v="95"/>
    <n v="100220.63157894737"/>
    <n v="9520960"/>
    <n v="131"/>
    <n v="72203.061068702285"/>
    <n v="9458601"/>
    <n v="129"/>
    <n v="73275.519379844962"/>
    <n v="9452542"/>
    <n v="114"/>
    <n v="57644.719298245611"/>
    <n v="6571498"/>
    <n v="123"/>
    <n v="61291.764227642278"/>
    <n v="7538887"/>
    <n v="30"/>
    <n v="42036.366666666669"/>
    <n v="1261091"/>
    <n v="33"/>
    <n v="44140.818181818184"/>
    <n v="1456647"/>
    <n v="1"/>
    <n v="36000"/>
    <n v="36000"/>
    <n v="1"/>
    <n v="36000"/>
    <n v="36000"/>
    <m/>
    <m/>
    <n v="0"/>
    <m/>
    <m/>
    <n v="0"/>
    <n v="127"/>
    <n v="157541.07874015748"/>
    <n v="16370314.0494"/>
    <n v="134"/>
    <n v="164336.39552238805"/>
    <n v="18017645.201400001"/>
    <n v="120"/>
    <n v="107290.43333333333"/>
    <n v="10534203.906400001"/>
    <n v="128"/>
    <n v="113164.6953125"/>
    <n v="11851693.2742"/>
    <n v="161"/>
    <n v="82102.459627329197"/>
    <n v="10815373.427200001"/>
    <n v="159"/>
    <n v="84442.767295597485"/>
    <n v="10985480.48"/>
    <n v="54"/>
    <n v="70416.222222222219"/>
    <n v="3111185.8632"/>
    <n v="59"/>
    <n v="73171.288135593219"/>
    <n v="3532256.1292000003"/>
    <m/>
    <m/>
    <n v="0"/>
    <m/>
    <m/>
    <n v="0"/>
    <m/>
    <m/>
    <n v="0"/>
    <m/>
    <m/>
    <n v="0"/>
  </r>
  <r>
    <x v="0"/>
    <s v="University of Alabama in Huntsville"/>
    <s v="Met the criteria for Four-Year 3 in 2010-11."/>
    <n v="100706"/>
    <x v="1"/>
    <n v="61"/>
    <n v="101895.03278688525"/>
    <n v="6215597"/>
    <n v="62"/>
    <n v="105593.08064516129"/>
    <n v="6546771"/>
    <n v="85"/>
    <n v="77872.24705882353"/>
    <n v="6619141"/>
    <n v="80"/>
    <n v="79203.574999999997"/>
    <n v="6336286"/>
    <n v="83"/>
    <n v="62490.493975903613"/>
    <n v="5186711"/>
    <n v="82"/>
    <n v="64947.402439024387"/>
    <n v="5325687"/>
    <n v="11"/>
    <n v="54054.545454545456"/>
    <n v="594600"/>
    <n v="13"/>
    <n v="49537.538461538461"/>
    <n v="643988"/>
    <n v="25"/>
    <n v="42452.76"/>
    <n v="1061319"/>
    <n v="29"/>
    <n v="46144.517241379312"/>
    <n v="1338191"/>
    <m/>
    <m/>
    <n v="0"/>
    <m/>
    <m/>
    <n v="0"/>
    <n v="15"/>
    <n v="144250.73333333334"/>
    <n v="1770389.2502000001"/>
    <n v="14"/>
    <n v="157617.21428571429"/>
    <n v="1805473.6662000001"/>
    <n v="8"/>
    <n v="92339.375"/>
    <n v="604416.61300000001"/>
    <n v="9"/>
    <n v="93007.333333333328"/>
    <n v="684887.40120000008"/>
    <n v="3"/>
    <n v="65013.666666666664"/>
    <n v="159582.54620000001"/>
    <n v="3"/>
    <n v="68495.333333333328"/>
    <n v="168128.6452"/>
    <m/>
    <m/>
    <n v="0"/>
    <n v="0"/>
    <m/>
    <n v="0"/>
    <n v="12"/>
    <n v="50473.833333333336"/>
    <n v="495572.28520000004"/>
    <n v="11"/>
    <n v="57670.272727272728"/>
    <n v="519043.98860000004"/>
    <m/>
    <m/>
    <n v="0"/>
    <m/>
    <m/>
    <n v="0"/>
  </r>
  <r>
    <x v="0"/>
    <s v="Alabama Agricultural &amp; Mechanical University"/>
    <m/>
    <n v="100654"/>
    <x v="2"/>
    <n v="35"/>
    <n v="84280.171428571426"/>
    <n v="2949806"/>
    <n v="34"/>
    <n v="84814.558823529413"/>
    <n v="2883695"/>
    <n v="60"/>
    <n v="68931.649999999994"/>
    <n v="4135898.9999999995"/>
    <n v="53"/>
    <n v="70266.679245283012"/>
    <n v="3724133.9999999995"/>
    <n v="130"/>
    <n v="54764.661538461536"/>
    <n v="7119406"/>
    <n v="109"/>
    <n v="54326.211009174309"/>
    <n v="5921557"/>
    <n v="52"/>
    <n v="40037.75"/>
    <n v="2081963"/>
    <n v="49"/>
    <n v="43632.244897959186"/>
    <n v="2137980"/>
    <m/>
    <n v="0"/>
    <n v="0"/>
    <m/>
    <m/>
    <n v="0"/>
    <m/>
    <m/>
    <n v="0"/>
    <m/>
    <m/>
    <n v="0"/>
    <n v="16"/>
    <n v="108337.375"/>
    <n v="1418266.2436000002"/>
    <n v="15"/>
    <n v="108667.6"/>
    <n v="1333677.4547999999"/>
    <n v="9"/>
    <n v="83788.333333333328"/>
    <n v="617000.52899999998"/>
    <n v="8"/>
    <n v="94602.5"/>
    <n v="619230.12400000007"/>
    <n v="8"/>
    <n v="77901.875"/>
    <n v="509914.51300000004"/>
    <n v="8"/>
    <n v="83487"/>
    <n v="546472.50719999999"/>
    <n v="1"/>
    <n v="70534"/>
    <n v="57710.918799999999"/>
    <n v="0"/>
    <m/>
    <n v="0"/>
    <m/>
    <m/>
    <n v="0"/>
    <m/>
    <m/>
    <n v="0"/>
    <m/>
    <m/>
    <n v="0"/>
    <m/>
    <m/>
    <n v="0"/>
  </r>
  <r>
    <x v="0"/>
    <s v="Jacksonville State University "/>
    <m/>
    <n v="101480"/>
    <x v="2"/>
    <n v="60"/>
    <n v="78014.383333333331"/>
    <n v="4680863"/>
    <n v="65"/>
    <n v="77104.661538461543"/>
    <n v="5011803"/>
    <n v="63"/>
    <n v="61625.253968253972"/>
    <n v="3882391"/>
    <n v="70"/>
    <n v="61498.185714285712"/>
    <n v="4304873"/>
    <n v="79"/>
    <n v="53405.810126582277"/>
    <n v="4219059"/>
    <n v="74"/>
    <n v="52794.770270270274"/>
    <n v="3906813.0000000005"/>
    <n v="87"/>
    <n v="46221.770114942527"/>
    <n v="4021294"/>
    <n v="87"/>
    <n v="45997.919540229886"/>
    <n v="4001819"/>
    <n v="0"/>
    <n v="0"/>
    <n v="0"/>
    <n v="0"/>
    <m/>
    <n v="0"/>
    <m/>
    <m/>
    <n v="0"/>
    <m/>
    <m/>
    <n v="0"/>
    <n v="29"/>
    <n v="94621.482758620696"/>
    <n v="2245159.6186000002"/>
    <n v="25"/>
    <n v="95260.52"/>
    <n v="1948553.9366000001"/>
    <n v="1"/>
    <n v="71000"/>
    <n v="58092.200000000004"/>
    <n v="3"/>
    <n v="81937.666666666672"/>
    <n v="201124.1966"/>
    <n v="2"/>
    <n v="75142"/>
    <n v="122962.36880000001"/>
    <n v="1"/>
    <n v="84000"/>
    <n v="68728.800000000003"/>
    <n v="1"/>
    <n v="88382"/>
    <n v="72314.152400000006"/>
    <n v="1"/>
    <n v="88382"/>
    <n v="72314.152400000006"/>
    <m/>
    <m/>
    <n v="0"/>
    <m/>
    <m/>
    <n v="0"/>
    <m/>
    <m/>
    <n v="0"/>
    <m/>
    <m/>
    <n v="0"/>
  </r>
  <r>
    <x v="0"/>
    <s v="Troy University"/>
    <m/>
    <n v="102368"/>
    <x v="2"/>
    <n v="39"/>
    <n v="75131.564102564109"/>
    <n v="2930131.0000000005"/>
    <n v="41"/>
    <n v="74425.658536585368"/>
    <n v="3051452"/>
    <n v="74"/>
    <n v="63253.554054054053"/>
    <n v="4680763"/>
    <n v="66"/>
    <n v="64259.696969696968"/>
    <n v="4241140"/>
    <n v="108"/>
    <n v="55145.907407407409"/>
    <n v="5955758"/>
    <n v="128"/>
    <n v="54718.1171875"/>
    <n v="7003919"/>
    <n v="9"/>
    <n v="44211.333333333336"/>
    <n v="397902"/>
    <n v="8"/>
    <n v="41606.625"/>
    <n v="332853"/>
    <n v="31"/>
    <n v="41386.580645161288"/>
    <n v="1282984"/>
    <n v="51"/>
    <n v="43292.156862745098"/>
    <n v="2207900"/>
    <m/>
    <m/>
    <n v="0"/>
    <m/>
    <m/>
    <n v="0"/>
    <n v="33"/>
    <n v="91401.212121212127"/>
    <n v="2467887.568"/>
    <n v="40"/>
    <n v="95214.024999999994"/>
    <n v="3116164.6102"/>
    <n v="38"/>
    <n v="76745.447368421053"/>
    <n v="2386138.7514"/>
    <n v="40"/>
    <n v="83431.3"/>
    <n v="2730539.5863999999"/>
    <n v="35"/>
    <n v="63312.685714285712"/>
    <n v="1813085.3808000002"/>
    <n v="35"/>
    <n v="61924.514285714286"/>
    <n v="1773332.3156000001"/>
    <n v="7"/>
    <n v="39799"/>
    <n v="227944.79260000002"/>
    <n v="6"/>
    <n v="46432.166666666664"/>
    <n v="227944.79260000002"/>
    <n v="11"/>
    <n v="43940.36363636364"/>
    <n v="395472.06080000009"/>
    <n v="18"/>
    <n v="41458.777777777781"/>
    <n v="610588.29560000007"/>
    <m/>
    <m/>
    <n v="0"/>
    <m/>
    <m/>
    <n v="0"/>
  </r>
  <r>
    <x v="0"/>
    <s v="University of South Alabama"/>
    <m/>
    <n v="102094"/>
    <x v="2"/>
    <n v="72"/>
    <n v="89026.472222222219"/>
    <n v="6409906"/>
    <n v="72"/>
    <n v="88060.416666666672"/>
    <n v="6340350"/>
    <n v="83"/>
    <n v="65767.337349397596"/>
    <n v="5458689"/>
    <n v="85"/>
    <n v="65650.75294117647"/>
    <n v="5580314"/>
    <n v="113"/>
    <n v="55435.088495575219"/>
    <n v="6264165"/>
    <n v="106"/>
    <n v="55380.547169811318"/>
    <n v="5870338"/>
    <n v="62"/>
    <n v="43399.887096774197"/>
    <n v="2690793"/>
    <n v="64"/>
    <n v="43305.640625"/>
    <n v="2771561"/>
    <n v="1"/>
    <n v="47881"/>
    <n v="47881"/>
    <n v="1"/>
    <n v="47881"/>
    <n v="47881"/>
    <m/>
    <m/>
    <n v="0"/>
    <m/>
    <m/>
    <n v="0"/>
    <n v="48"/>
    <n v="102477.10416666667"/>
    <n v="4024644.7982000001"/>
    <n v="47"/>
    <n v="100651.82978723405"/>
    <n v="3870606.3752000001"/>
    <n v="28"/>
    <n v="85957.71428571429"/>
    <n v="1969256.8512000002"/>
    <n v="27"/>
    <n v="84719.037037037036"/>
    <n v="1871562.1348000001"/>
    <n v="45"/>
    <n v="74297.022222222222"/>
    <n v="2735542.0612000003"/>
    <n v="51"/>
    <n v="74455.627450980392"/>
    <n v="3106899.3134000003"/>
    <n v="51"/>
    <n v="62050.549019607846"/>
    <n v="2589257.7196"/>
    <n v="61"/>
    <n v="61227.360655737706"/>
    <n v="3055869.8158"/>
    <m/>
    <m/>
    <n v="0"/>
    <m/>
    <m/>
    <n v="0"/>
    <m/>
    <m/>
    <n v="0"/>
    <m/>
    <m/>
    <n v="0"/>
  </r>
  <r>
    <x v="0"/>
    <s v="Alabama State University "/>
    <m/>
    <n v="100724"/>
    <x v="3"/>
    <n v="56"/>
    <n v="86091.607142857145"/>
    <n v="4821130"/>
    <n v="59"/>
    <n v="87086.03389830509"/>
    <n v="5138076"/>
    <n v="52"/>
    <n v="66893.403846153844"/>
    <n v="3478457"/>
    <n v="54"/>
    <n v="67757.555555555562"/>
    <n v="3658908.0000000005"/>
    <n v="63"/>
    <n v="55011.444444444445"/>
    <n v="3465721"/>
    <n v="76"/>
    <n v="56013.447368421053"/>
    <n v="4257022"/>
    <n v="54"/>
    <n v="45054.370370370372"/>
    <n v="2432936"/>
    <n v="53"/>
    <n v="46175.622641509435"/>
    <n v="2447308"/>
    <m/>
    <n v="0"/>
    <n v="0"/>
    <m/>
    <m/>
    <n v="0"/>
    <m/>
    <m/>
    <n v="0"/>
    <m/>
    <m/>
    <n v="0"/>
    <n v="2"/>
    <n v="84629.5"/>
    <n v="138487.7138"/>
    <n v="1"/>
    <n v="76752"/>
    <n v="62798.486400000002"/>
    <n v="3"/>
    <n v="86570.333333333328"/>
    <n v="212495.54020000002"/>
    <n v="2"/>
    <n v="72855"/>
    <n v="119219.92200000001"/>
    <n v="6"/>
    <n v="62415.833333333336"/>
    <n v="306411.80900000001"/>
    <n v="4"/>
    <n v="67091"/>
    <n v="219575.42480000001"/>
    <n v="5"/>
    <n v="48655.6"/>
    <n v="199050.05960000001"/>
    <n v="4"/>
    <n v="47257.5"/>
    <n v="154664.34600000002"/>
    <m/>
    <m/>
    <n v="0"/>
    <m/>
    <m/>
    <n v="0"/>
    <m/>
    <m/>
    <n v="0"/>
    <m/>
    <m/>
    <n v="0"/>
  </r>
  <r>
    <x v="0"/>
    <s v="Auburn University at Montgomery"/>
    <m/>
    <n v="100830"/>
    <x v="3"/>
    <n v="43"/>
    <n v="80384.534883720931"/>
    <n v="3456535"/>
    <n v="37"/>
    <n v="81686.810810810814"/>
    <n v="3022412"/>
    <n v="49"/>
    <n v="66288.775510204083"/>
    <n v="3248150"/>
    <n v="49"/>
    <n v="64441.428571428572"/>
    <n v="3157630"/>
    <n v="58"/>
    <n v="52467.241379310348"/>
    <n v="3043100"/>
    <n v="52"/>
    <n v="52586.153846153844"/>
    <n v="2734480"/>
    <n v="6"/>
    <n v="41200"/>
    <n v="247200"/>
    <n v="6"/>
    <n v="36500"/>
    <n v="219000"/>
    <m/>
    <n v="0"/>
    <n v="0"/>
    <m/>
    <m/>
    <n v="0"/>
    <m/>
    <m/>
    <n v="0"/>
    <m/>
    <m/>
    <n v="0"/>
    <n v="10"/>
    <n v="93443.199999999997"/>
    <n v="764552.26240000001"/>
    <n v="9"/>
    <n v="89784.777777777781"/>
    <n v="661157.14659999998"/>
    <n v="12"/>
    <n v="88536.166666666672"/>
    <n v="869283.49880000006"/>
    <n v="14"/>
    <n v="87504.857142857145"/>
    <n v="1002350.6376"/>
    <n v="4"/>
    <n v="61764.5"/>
    <n v="202142.85560000001"/>
    <n v="7"/>
    <n v="64331.714285714283"/>
    <n v="368453.46040000004"/>
    <n v="3"/>
    <n v="58166.666666666664"/>
    <n v="142775.9"/>
    <n v="4"/>
    <n v="54919"/>
    <n v="179738.9032"/>
    <n v="1"/>
    <n v="146320"/>
    <n v="119719.024"/>
    <n v="2"/>
    <n v="90660"/>
    <n v="148356.024"/>
    <m/>
    <m/>
    <n v="0"/>
    <m/>
    <m/>
    <n v="0"/>
  </r>
  <r>
    <x v="0"/>
    <s v="University of North Alabama"/>
    <m/>
    <n v="101879"/>
    <x v="3"/>
    <n v="70"/>
    <n v="76198.042857142864"/>
    <n v="5333863"/>
    <n v="74"/>
    <n v="76153.689189189186"/>
    <n v="5635373"/>
    <n v="51"/>
    <n v="64685.705882352944"/>
    <n v="3298971"/>
    <n v="52"/>
    <n v="65875.153846153844"/>
    <n v="3425508"/>
    <n v="76"/>
    <n v="54703.684210526313"/>
    <n v="4157480"/>
    <n v="79"/>
    <n v="54918.810126582277"/>
    <n v="4338586"/>
    <n v="29"/>
    <n v="47880.65517241379"/>
    <n v="1388539"/>
    <n v="24"/>
    <n v="47679.458333333336"/>
    <n v="1144307"/>
    <m/>
    <n v="0"/>
    <n v="0"/>
    <m/>
    <m/>
    <n v="0"/>
    <m/>
    <m/>
    <n v="0"/>
    <m/>
    <m/>
    <n v="0"/>
    <n v="5"/>
    <n v="90974.6"/>
    <n v="372177.08860000002"/>
    <n v="5"/>
    <n v="90974.6"/>
    <n v="372177.08860000002"/>
    <n v="1"/>
    <n v="42258"/>
    <n v="34575.495600000002"/>
    <m/>
    <m/>
    <n v="0"/>
    <n v="4"/>
    <n v="64207.25"/>
    <n v="210137.4878"/>
    <n v="4"/>
    <n v="65743.75"/>
    <n v="215166.14500000002"/>
    <m/>
    <m/>
    <n v="0"/>
    <m/>
    <m/>
    <n v="0"/>
    <m/>
    <m/>
    <n v="0"/>
    <m/>
    <m/>
    <n v="0"/>
    <m/>
    <m/>
    <n v="0"/>
    <m/>
    <m/>
    <n v="0"/>
  </r>
  <r>
    <x v="0"/>
    <s v="University of Montevallo"/>
    <m/>
    <n v="101709"/>
    <x v="4"/>
    <n v="32"/>
    <n v="77150.78125"/>
    <n v="2468825"/>
    <n v="34"/>
    <n v="75971.470588235301"/>
    <n v="2583030"/>
    <n v="44"/>
    <n v="60265.954545454544"/>
    <n v="2651702"/>
    <n v="42"/>
    <n v="61071.761904761908"/>
    <n v="2565014"/>
    <n v="53"/>
    <n v="50026.377358490565"/>
    <n v="2651398"/>
    <n v="52"/>
    <n v="49170.538461538461"/>
    <n v="2556868"/>
    <n v="8"/>
    <n v="41535"/>
    <n v="332280"/>
    <n v="3"/>
    <n v="42909"/>
    <n v="128727"/>
    <m/>
    <n v="0"/>
    <n v="0"/>
    <m/>
    <m/>
    <n v="0"/>
    <m/>
    <m/>
    <n v="0"/>
    <m/>
    <m/>
    <n v="0"/>
    <m/>
    <m/>
    <n v="0"/>
    <m/>
    <m/>
    <n v="0"/>
    <m/>
    <m/>
    <n v="0"/>
    <m/>
    <m/>
    <n v="0"/>
    <m/>
    <m/>
    <n v="0"/>
    <m/>
    <m/>
    <n v="0"/>
    <m/>
    <m/>
    <n v="0"/>
    <m/>
    <m/>
    <n v="0"/>
    <m/>
    <m/>
    <n v="0"/>
    <m/>
    <m/>
    <n v="0"/>
    <m/>
    <m/>
    <n v="0"/>
    <m/>
    <m/>
    <n v="0"/>
  </r>
  <r>
    <x v="0"/>
    <s v="University of West Alabama"/>
    <m/>
    <n v="101587"/>
    <x v="4"/>
    <n v="16"/>
    <n v="68899.625"/>
    <n v="1102394"/>
    <n v="27"/>
    <n v="61491.296296296299"/>
    <n v="1660265"/>
    <n v="21"/>
    <n v="62229.571428571428"/>
    <n v="1306821"/>
    <n v="24"/>
    <n v="62906.333333333336"/>
    <n v="1509752"/>
    <n v="58"/>
    <n v="49069.879310344826"/>
    <n v="2846053"/>
    <n v="45"/>
    <n v="49731.244444444441"/>
    <n v="2237906"/>
    <n v="13"/>
    <n v="43952"/>
    <n v="571376"/>
    <n v="9"/>
    <n v="41163.777777777781"/>
    <n v="370474"/>
    <n v="4"/>
    <n v="33114"/>
    <n v="132456"/>
    <n v="5"/>
    <n v="31210.400000000001"/>
    <n v="156052"/>
    <m/>
    <m/>
    <n v="0"/>
    <m/>
    <m/>
    <n v="0"/>
    <m/>
    <m/>
    <n v="0"/>
    <m/>
    <m/>
    <n v="0"/>
    <m/>
    <m/>
    <n v="0"/>
    <m/>
    <m/>
    <n v="0"/>
    <m/>
    <m/>
    <n v="0"/>
    <m/>
    <m/>
    <n v="0"/>
    <m/>
    <m/>
    <n v="0"/>
    <m/>
    <m/>
    <n v="0"/>
    <n v="3"/>
    <n v="27244"/>
    <n v="66873.122400000007"/>
    <n v="3"/>
    <n v="31000"/>
    <n v="76092.600000000006"/>
    <m/>
    <m/>
    <n v="0"/>
    <m/>
    <m/>
    <n v="0"/>
  </r>
  <r>
    <x v="0"/>
    <s v="Athens State University"/>
    <m/>
    <n v="100812"/>
    <x v="5"/>
    <n v="17"/>
    <n v="83712"/>
    <n v="1423104"/>
    <n v="17"/>
    <n v="84287"/>
    <n v="1432879"/>
    <n v="15"/>
    <n v="73009.2"/>
    <n v="1095138"/>
    <n v="16"/>
    <n v="70319.5"/>
    <n v="1125112"/>
    <n v="33"/>
    <n v="59760.818181818184"/>
    <n v="1972107"/>
    <n v="39"/>
    <n v="60620.256410256414"/>
    <n v="2364190"/>
    <n v="2"/>
    <n v="54976"/>
    <n v="109952"/>
    <n v="2"/>
    <n v="63018"/>
    <n v="126036"/>
    <m/>
    <m/>
    <n v="0"/>
    <m/>
    <m/>
    <n v="0"/>
    <m/>
    <m/>
    <n v="0"/>
    <m/>
    <m/>
    <n v="0"/>
    <n v="4"/>
    <n v="84782.25"/>
    <n v="277475.34779999999"/>
    <n v="4"/>
    <n v="104502.25"/>
    <n v="342014.96380000003"/>
    <n v="5"/>
    <n v="93267.8"/>
    <n v="381558.5698"/>
    <n v="4"/>
    <n v="91814"/>
    <n v="300488.85920000001"/>
    <n v="5"/>
    <n v="81826.8"/>
    <n v="334753.4388"/>
    <n v="3"/>
    <n v="82174"/>
    <n v="201704.30040000001"/>
    <n v="1"/>
    <n v="22000"/>
    <n v="18000.400000000001"/>
    <n v="1"/>
    <n v="22000"/>
    <n v="18000.400000000001"/>
    <m/>
    <m/>
    <n v="0"/>
    <m/>
    <m/>
    <n v="0"/>
    <m/>
    <m/>
    <n v="0"/>
    <m/>
    <m/>
    <n v="0"/>
  </r>
  <r>
    <x v="0"/>
    <s v="Jefferson State Community College"/>
    <m/>
    <n v="101505"/>
    <x v="6"/>
    <m/>
    <m/>
    <n v="0"/>
    <m/>
    <m/>
    <n v="0"/>
    <m/>
    <m/>
    <n v="0"/>
    <m/>
    <m/>
    <n v="0"/>
    <m/>
    <m/>
    <n v="0"/>
    <m/>
    <m/>
    <n v="0"/>
    <m/>
    <m/>
    <n v="0"/>
    <m/>
    <m/>
    <n v="0"/>
    <m/>
    <m/>
    <n v="0"/>
    <m/>
    <m/>
    <n v="0"/>
    <n v="128"/>
    <n v="53127.234375"/>
    <n v="6800286"/>
    <n v="120"/>
    <n v="53171.566666666666"/>
    <n v="6380588"/>
    <m/>
    <m/>
    <n v="0"/>
    <m/>
    <m/>
    <n v="0"/>
    <m/>
    <m/>
    <n v="0"/>
    <m/>
    <m/>
    <n v="0"/>
    <m/>
    <m/>
    <n v="0"/>
    <m/>
    <m/>
    <n v="0"/>
    <m/>
    <m/>
    <n v="0"/>
    <m/>
    <m/>
    <n v="0"/>
    <m/>
    <m/>
    <n v="0"/>
    <m/>
    <m/>
    <n v="0"/>
    <n v="26"/>
    <n v="67560.11538461539"/>
    <n v="1437219.8466000003"/>
    <n v="16"/>
    <n v="60408.4375"/>
    <n v="790818.93700000003"/>
  </r>
  <r>
    <x v="0"/>
    <s v="John C. Calhoun State Community College "/>
    <m/>
    <n v="101514"/>
    <x v="6"/>
    <m/>
    <m/>
    <n v="0"/>
    <m/>
    <m/>
    <n v="0"/>
    <m/>
    <m/>
    <n v="0"/>
    <m/>
    <m/>
    <n v="0"/>
    <m/>
    <m/>
    <n v="0"/>
    <m/>
    <m/>
    <n v="0"/>
    <m/>
    <m/>
    <n v="0"/>
    <m/>
    <m/>
    <n v="0"/>
    <m/>
    <m/>
    <n v="0"/>
    <m/>
    <m/>
    <n v="0"/>
    <n v="141"/>
    <n v="54329.163120567377"/>
    <n v="7660412"/>
    <n v="145"/>
    <n v="54137.331034482755"/>
    <n v="7849912.9999999991"/>
    <m/>
    <m/>
    <n v="0"/>
    <m/>
    <m/>
    <n v="0"/>
    <m/>
    <m/>
    <n v="0"/>
    <m/>
    <m/>
    <n v="0"/>
    <m/>
    <m/>
    <n v="0"/>
    <m/>
    <m/>
    <n v="0"/>
    <m/>
    <m/>
    <n v="0"/>
    <m/>
    <m/>
    <n v="0"/>
    <m/>
    <m/>
    <n v="0"/>
    <m/>
    <m/>
    <n v="0"/>
    <m/>
    <n v="0"/>
    <n v="0"/>
    <m/>
    <m/>
    <n v="0"/>
  </r>
  <r>
    <x v="0"/>
    <s v="Bevill State Community College"/>
    <m/>
    <n v="102429"/>
    <x v="7"/>
    <m/>
    <m/>
    <n v="0"/>
    <m/>
    <m/>
    <n v="0"/>
    <m/>
    <m/>
    <n v="0"/>
    <m/>
    <m/>
    <n v="0"/>
    <m/>
    <m/>
    <n v="0"/>
    <m/>
    <m/>
    <n v="0"/>
    <m/>
    <m/>
    <n v="0"/>
    <m/>
    <m/>
    <n v="0"/>
    <m/>
    <m/>
    <n v="0"/>
    <m/>
    <m/>
    <n v="0"/>
    <n v="112"/>
    <n v="56419.955357142855"/>
    <n v="6319035"/>
    <n v="114"/>
    <n v="56041.26315789474"/>
    <n v="6388704"/>
    <m/>
    <m/>
    <n v="0"/>
    <m/>
    <m/>
    <n v="0"/>
    <m/>
    <m/>
    <n v="0"/>
    <m/>
    <m/>
    <n v="0"/>
    <m/>
    <m/>
    <n v="0"/>
    <m/>
    <m/>
    <n v="0"/>
    <m/>
    <m/>
    <n v="0"/>
    <m/>
    <m/>
    <n v="0"/>
    <m/>
    <m/>
    <n v="0"/>
    <m/>
    <m/>
    <n v="0"/>
    <m/>
    <n v="0"/>
    <n v="0"/>
    <n v="5"/>
    <n v="23447.599999999999"/>
    <n v="95924.131600000008"/>
  </r>
  <r>
    <x v="0"/>
    <s v="Bishop State Community College"/>
    <m/>
    <n v="102030"/>
    <x v="7"/>
    <m/>
    <m/>
    <n v="0"/>
    <m/>
    <m/>
    <n v="0"/>
    <m/>
    <m/>
    <n v="0"/>
    <m/>
    <m/>
    <n v="0"/>
    <m/>
    <m/>
    <n v="0"/>
    <m/>
    <m/>
    <n v="0"/>
    <m/>
    <m/>
    <n v="0"/>
    <m/>
    <m/>
    <n v="0"/>
    <m/>
    <m/>
    <n v="0"/>
    <m/>
    <m/>
    <n v="0"/>
    <n v="88"/>
    <n v="53671.318181818184"/>
    <n v="4723076"/>
    <n v="82"/>
    <n v="55248.341463414632"/>
    <n v="4530364"/>
    <m/>
    <m/>
    <n v="0"/>
    <m/>
    <m/>
    <n v="0"/>
    <m/>
    <m/>
    <n v="0"/>
    <m/>
    <m/>
    <n v="0"/>
    <m/>
    <m/>
    <n v="0"/>
    <m/>
    <m/>
    <n v="0"/>
    <m/>
    <m/>
    <n v="0"/>
    <m/>
    <m/>
    <n v="0"/>
    <m/>
    <m/>
    <n v="0"/>
    <m/>
    <m/>
    <n v="0"/>
    <n v="10"/>
    <n v="48545.2"/>
    <n v="397196.82640000002"/>
    <n v="9"/>
    <n v="51090.888888888891"/>
    <n v="376223.08760000003"/>
  </r>
  <r>
    <x v="0"/>
    <s v="Gadsden State Community College"/>
    <s v="Met criteria for Two-Year 1 in 2009-10 and 2010-11."/>
    <n v="101240"/>
    <x v="7"/>
    <m/>
    <m/>
    <n v="0"/>
    <m/>
    <m/>
    <n v="0"/>
    <m/>
    <m/>
    <n v="0"/>
    <m/>
    <m/>
    <n v="0"/>
    <m/>
    <m/>
    <n v="0"/>
    <m/>
    <m/>
    <n v="0"/>
    <m/>
    <m/>
    <n v="0"/>
    <m/>
    <m/>
    <n v="0"/>
    <m/>
    <m/>
    <n v="0"/>
    <m/>
    <m/>
    <n v="0"/>
    <n v="153"/>
    <n v="53377.503267973858"/>
    <n v="8166758"/>
    <n v="152"/>
    <n v="53533.230263157893"/>
    <n v="8137051"/>
    <m/>
    <m/>
    <n v="0"/>
    <m/>
    <m/>
    <n v="0"/>
    <m/>
    <m/>
    <n v="0"/>
    <m/>
    <m/>
    <n v="0"/>
    <m/>
    <m/>
    <n v="0"/>
    <m/>
    <m/>
    <n v="0"/>
    <m/>
    <m/>
    <n v="0"/>
    <m/>
    <m/>
    <n v="0"/>
    <m/>
    <m/>
    <n v="0"/>
    <m/>
    <m/>
    <n v="0"/>
    <m/>
    <n v="0"/>
    <n v="0"/>
    <n v="1"/>
    <n v="90487"/>
    <n v="74036.463400000008"/>
  </r>
  <r>
    <x v="0"/>
    <s v="George C. Wallace State Community College - Dothan"/>
    <m/>
    <n v="101286"/>
    <x v="7"/>
    <m/>
    <m/>
    <n v="0"/>
    <m/>
    <m/>
    <n v="0"/>
    <m/>
    <m/>
    <n v="0"/>
    <m/>
    <m/>
    <n v="0"/>
    <m/>
    <m/>
    <n v="0"/>
    <m/>
    <m/>
    <n v="0"/>
    <m/>
    <m/>
    <n v="0"/>
    <m/>
    <m/>
    <n v="0"/>
    <m/>
    <m/>
    <n v="0"/>
    <m/>
    <m/>
    <n v="0"/>
    <n v="127"/>
    <n v="51055.330708661415"/>
    <n v="6484027"/>
    <n v="124"/>
    <n v="50961.645161290326"/>
    <n v="6319244"/>
    <m/>
    <m/>
    <n v="0"/>
    <m/>
    <m/>
    <n v="0"/>
    <m/>
    <m/>
    <n v="0"/>
    <m/>
    <m/>
    <n v="0"/>
    <m/>
    <m/>
    <n v="0"/>
    <m/>
    <m/>
    <n v="0"/>
    <m/>
    <m/>
    <n v="0"/>
    <m/>
    <m/>
    <n v="0"/>
    <m/>
    <m/>
    <n v="0"/>
    <m/>
    <m/>
    <n v="0"/>
    <n v="2"/>
    <n v="61925.5"/>
    <n v="101334.8882"/>
    <n v="3"/>
    <n v="71805"/>
    <n v="176252.55300000001"/>
  </r>
  <r>
    <x v="0"/>
    <s v="James H. Faulkner State Community College"/>
    <m/>
    <n v="101161"/>
    <x v="7"/>
    <m/>
    <m/>
    <n v="0"/>
    <m/>
    <m/>
    <n v="0"/>
    <m/>
    <m/>
    <n v="0"/>
    <m/>
    <m/>
    <n v="0"/>
    <m/>
    <m/>
    <n v="0"/>
    <m/>
    <m/>
    <n v="0"/>
    <m/>
    <m/>
    <n v="0"/>
    <m/>
    <m/>
    <n v="0"/>
    <m/>
    <m/>
    <n v="0"/>
    <m/>
    <m/>
    <n v="0"/>
    <n v="57"/>
    <n v="54693.315789473687"/>
    <n v="3117519"/>
    <n v="61"/>
    <n v="53318.229508196724"/>
    <n v="3252412"/>
    <m/>
    <m/>
    <n v="0"/>
    <m/>
    <m/>
    <n v="0"/>
    <m/>
    <m/>
    <n v="0"/>
    <m/>
    <m/>
    <n v="0"/>
    <m/>
    <m/>
    <n v="0"/>
    <m/>
    <m/>
    <n v="0"/>
    <m/>
    <m/>
    <n v="0"/>
    <m/>
    <m/>
    <n v="0"/>
    <m/>
    <m/>
    <n v="0"/>
    <m/>
    <m/>
    <n v="0"/>
    <n v="10"/>
    <n v="78271.399999999994"/>
    <n v="640416.59480000008"/>
    <n v="10"/>
    <n v="79222.3"/>
    <n v="648196.85860000004"/>
  </r>
  <r>
    <x v="0"/>
    <s v="Lawson State Community College "/>
    <m/>
    <n v="101569"/>
    <x v="7"/>
    <m/>
    <m/>
    <n v="0"/>
    <m/>
    <m/>
    <n v="0"/>
    <m/>
    <m/>
    <n v="0"/>
    <m/>
    <m/>
    <n v="0"/>
    <m/>
    <m/>
    <n v="0"/>
    <m/>
    <m/>
    <n v="0"/>
    <m/>
    <m/>
    <n v="0"/>
    <m/>
    <m/>
    <n v="0"/>
    <m/>
    <m/>
    <n v="0"/>
    <m/>
    <m/>
    <n v="0"/>
    <n v="94"/>
    <n v="53429.180851063829"/>
    <n v="5022343"/>
    <n v="95"/>
    <n v="53957.715789473681"/>
    <n v="5125983"/>
    <m/>
    <m/>
    <n v="0"/>
    <m/>
    <m/>
    <n v="0"/>
    <m/>
    <m/>
    <n v="0"/>
    <m/>
    <m/>
    <n v="0"/>
    <m/>
    <m/>
    <n v="0"/>
    <m/>
    <m/>
    <n v="0"/>
    <m/>
    <m/>
    <n v="0"/>
    <m/>
    <m/>
    <n v="0"/>
    <m/>
    <m/>
    <n v="0"/>
    <m/>
    <m/>
    <n v="0"/>
    <m/>
    <n v="0"/>
    <n v="0"/>
    <m/>
    <m/>
    <n v="0"/>
  </r>
  <r>
    <x v="0"/>
    <s v="Northeast Alabama State Community College "/>
    <s v="Reclassified: met the criteria for Two-Year 2 in 2008-09, 2009-10 and 2010-11."/>
    <n v="101897"/>
    <x v="7"/>
    <m/>
    <m/>
    <n v="0"/>
    <m/>
    <m/>
    <n v="0"/>
    <m/>
    <m/>
    <n v="0"/>
    <m/>
    <m/>
    <n v="0"/>
    <m/>
    <m/>
    <n v="0"/>
    <m/>
    <m/>
    <n v="0"/>
    <m/>
    <m/>
    <n v="0"/>
    <m/>
    <m/>
    <n v="0"/>
    <m/>
    <m/>
    <n v="0"/>
    <m/>
    <m/>
    <n v="0"/>
    <n v="43"/>
    <n v="56037.255813953489"/>
    <n v="2409602"/>
    <n v="39"/>
    <n v="55499.230769230766"/>
    <n v="2164470"/>
    <m/>
    <m/>
    <n v="0"/>
    <m/>
    <m/>
    <n v="0"/>
    <m/>
    <m/>
    <n v="0"/>
    <m/>
    <m/>
    <n v="0"/>
    <m/>
    <m/>
    <n v="0"/>
    <m/>
    <m/>
    <n v="0"/>
    <m/>
    <m/>
    <n v="0"/>
    <m/>
    <m/>
    <n v="0"/>
    <m/>
    <m/>
    <n v="0"/>
    <m/>
    <m/>
    <n v="0"/>
    <n v="6"/>
    <n v="84808"/>
    <n v="416339.43360000005"/>
    <n v="12"/>
    <n v="70001.333333333328"/>
    <n v="687301.09120000002"/>
  </r>
  <r>
    <x v="0"/>
    <s v="Northwest-Shoals Community College"/>
    <m/>
    <n v="101736"/>
    <x v="7"/>
    <m/>
    <m/>
    <n v="0"/>
    <m/>
    <m/>
    <n v="0"/>
    <m/>
    <m/>
    <n v="0"/>
    <m/>
    <m/>
    <n v="0"/>
    <m/>
    <m/>
    <n v="0"/>
    <m/>
    <m/>
    <n v="0"/>
    <m/>
    <m/>
    <n v="0"/>
    <m/>
    <m/>
    <n v="0"/>
    <m/>
    <m/>
    <n v="0"/>
    <m/>
    <m/>
    <n v="0"/>
    <n v="81"/>
    <n v="54130.358024691355"/>
    <n v="4384559"/>
    <n v="81"/>
    <n v="54319.444444444445"/>
    <n v="4399875"/>
    <m/>
    <m/>
    <n v="0"/>
    <m/>
    <m/>
    <n v="0"/>
    <m/>
    <m/>
    <n v="0"/>
    <m/>
    <m/>
    <n v="0"/>
    <m/>
    <m/>
    <n v="0"/>
    <m/>
    <m/>
    <n v="0"/>
    <m/>
    <m/>
    <n v="0"/>
    <m/>
    <m/>
    <n v="0"/>
    <m/>
    <m/>
    <n v="0"/>
    <m/>
    <m/>
    <n v="0"/>
    <n v="9"/>
    <n v="48397.888888888891"/>
    <n v="356392.37420000002"/>
    <n v="8"/>
    <n v="49222.625"/>
    <n v="322191.61420000001"/>
  </r>
  <r>
    <x v="0"/>
    <s v="Shelton State Community College"/>
    <s v="Met the criteria for Two-Year 1 in 2010-11."/>
    <n v="102067"/>
    <x v="7"/>
    <m/>
    <m/>
    <n v="0"/>
    <m/>
    <m/>
    <n v="0"/>
    <m/>
    <m/>
    <n v="0"/>
    <m/>
    <m/>
    <n v="0"/>
    <m/>
    <m/>
    <n v="0"/>
    <m/>
    <m/>
    <n v="0"/>
    <m/>
    <m/>
    <n v="0"/>
    <m/>
    <m/>
    <n v="0"/>
    <m/>
    <m/>
    <n v="0"/>
    <m/>
    <m/>
    <n v="0"/>
    <n v="82"/>
    <n v="55554.317073170729"/>
    <n v="4555454"/>
    <n v="81"/>
    <n v="54925.888888888891"/>
    <n v="4448997"/>
    <m/>
    <m/>
    <n v="0"/>
    <m/>
    <m/>
    <n v="0"/>
    <m/>
    <m/>
    <n v="0"/>
    <m/>
    <m/>
    <n v="0"/>
    <m/>
    <m/>
    <n v="0"/>
    <m/>
    <m/>
    <n v="0"/>
    <m/>
    <m/>
    <n v="0"/>
    <m/>
    <m/>
    <n v="0"/>
    <m/>
    <m/>
    <n v="0"/>
    <m/>
    <m/>
    <n v="0"/>
    <m/>
    <n v="0"/>
    <n v="0"/>
    <n v="6"/>
    <n v="49602"/>
    <n v="243506.13840000003"/>
  </r>
  <r>
    <x v="0"/>
    <s v="Southern Union State Community College"/>
    <m/>
    <n v="251260"/>
    <x v="7"/>
    <m/>
    <m/>
    <n v="0"/>
    <m/>
    <m/>
    <n v="0"/>
    <m/>
    <m/>
    <n v="0"/>
    <m/>
    <m/>
    <n v="0"/>
    <m/>
    <m/>
    <n v="0"/>
    <m/>
    <m/>
    <n v="0"/>
    <m/>
    <m/>
    <n v="0"/>
    <m/>
    <m/>
    <n v="0"/>
    <m/>
    <m/>
    <n v="0"/>
    <m/>
    <m/>
    <n v="0"/>
    <n v="90"/>
    <n v="52130.155555555553"/>
    <n v="4691714"/>
    <n v="82"/>
    <n v="51593.024390243903"/>
    <n v="4230628"/>
    <m/>
    <m/>
    <n v="0"/>
    <m/>
    <m/>
    <n v="0"/>
    <m/>
    <m/>
    <n v="0"/>
    <m/>
    <m/>
    <n v="0"/>
    <m/>
    <m/>
    <n v="0"/>
    <m/>
    <m/>
    <n v="0"/>
    <m/>
    <m/>
    <n v="0"/>
    <m/>
    <m/>
    <n v="0"/>
    <m/>
    <m/>
    <n v="0"/>
    <m/>
    <m/>
    <n v="0"/>
    <m/>
    <n v="0"/>
    <n v="0"/>
    <n v="4"/>
    <n v="38890"/>
    <n v="127279.19200000001"/>
  </r>
  <r>
    <x v="0"/>
    <s v="Wallace Community College - Hanceville"/>
    <s v="Met criteria for Two-Year 1 in 2009-10 and 2010-11."/>
    <n v="101295"/>
    <x v="7"/>
    <m/>
    <m/>
    <n v="0"/>
    <m/>
    <m/>
    <n v="0"/>
    <m/>
    <m/>
    <n v="0"/>
    <m/>
    <m/>
    <n v="0"/>
    <m/>
    <m/>
    <n v="0"/>
    <m/>
    <m/>
    <n v="0"/>
    <m/>
    <m/>
    <n v="0"/>
    <m/>
    <m/>
    <n v="0"/>
    <m/>
    <m/>
    <n v="0"/>
    <m/>
    <m/>
    <n v="0"/>
    <n v="123"/>
    <n v="52524.504065040652"/>
    <n v="6460514"/>
    <n v="123"/>
    <n v="52211.235772357722"/>
    <n v="6421982"/>
    <m/>
    <m/>
    <n v="0"/>
    <m/>
    <m/>
    <n v="0"/>
    <m/>
    <m/>
    <n v="0"/>
    <m/>
    <m/>
    <n v="0"/>
    <m/>
    <m/>
    <n v="0"/>
    <m/>
    <m/>
    <n v="0"/>
    <m/>
    <m/>
    <n v="0"/>
    <m/>
    <m/>
    <n v="0"/>
    <m/>
    <m/>
    <n v="0"/>
    <m/>
    <m/>
    <n v="0"/>
    <m/>
    <n v="0"/>
    <n v="0"/>
    <n v="4"/>
    <n v="42430.25"/>
    <n v="138865.72220000002"/>
  </r>
  <r>
    <x v="0"/>
    <s v="Alabama Southern Community College"/>
    <m/>
    <n v="101949"/>
    <x v="8"/>
    <m/>
    <m/>
    <n v="0"/>
    <m/>
    <m/>
    <n v="0"/>
    <m/>
    <m/>
    <n v="0"/>
    <m/>
    <m/>
    <n v="0"/>
    <m/>
    <m/>
    <n v="0"/>
    <m/>
    <m/>
    <n v="0"/>
    <m/>
    <m/>
    <n v="0"/>
    <m/>
    <m/>
    <n v="0"/>
    <m/>
    <m/>
    <n v="0"/>
    <m/>
    <m/>
    <n v="0"/>
    <n v="39"/>
    <n v="52079.948717948719"/>
    <n v="2031118"/>
    <n v="39"/>
    <n v="52220.564102564102"/>
    <n v="2036602"/>
    <m/>
    <m/>
    <n v="0"/>
    <m/>
    <m/>
    <n v="0"/>
    <m/>
    <m/>
    <n v="0"/>
    <m/>
    <m/>
    <n v="0"/>
    <m/>
    <m/>
    <n v="0"/>
    <m/>
    <m/>
    <n v="0"/>
    <m/>
    <m/>
    <n v="0"/>
    <m/>
    <m/>
    <n v="0"/>
    <m/>
    <m/>
    <n v="0"/>
    <m/>
    <m/>
    <n v="0"/>
    <n v="21"/>
    <n v="48555.142857142855"/>
    <n v="834284.17560000008"/>
    <n v="17"/>
    <n v="49493.470588235294"/>
    <n v="688424.47980000009"/>
  </r>
  <r>
    <x v="0"/>
    <s v="Central Alabama Community College"/>
    <s v="Met criteria for Two-Year 2 in 2009-10 and 2010-11."/>
    <n v="100760"/>
    <x v="8"/>
    <m/>
    <m/>
    <n v="0"/>
    <m/>
    <m/>
    <n v="0"/>
    <m/>
    <m/>
    <n v="0"/>
    <m/>
    <m/>
    <n v="0"/>
    <m/>
    <m/>
    <n v="0"/>
    <m/>
    <m/>
    <n v="0"/>
    <m/>
    <m/>
    <n v="0"/>
    <m/>
    <m/>
    <n v="0"/>
    <m/>
    <m/>
    <n v="0"/>
    <m/>
    <m/>
    <n v="0"/>
    <n v="56"/>
    <n v="53358.285714285717"/>
    <n v="2988064"/>
    <n v="52"/>
    <n v="54204.788461538461"/>
    <n v="2818649"/>
    <m/>
    <m/>
    <n v="0"/>
    <m/>
    <m/>
    <n v="0"/>
    <m/>
    <m/>
    <n v="0"/>
    <m/>
    <m/>
    <n v="0"/>
    <m/>
    <m/>
    <n v="0"/>
    <m/>
    <m/>
    <n v="0"/>
    <m/>
    <m/>
    <n v="0"/>
    <m/>
    <m/>
    <n v="0"/>
    <m/>
    <m/>
    <n v="0"/>
    <m/>
    <m/>
    <n v="0"/>
    <m/>
    <n v="0"/>
    <n v="0"/>
    <n v="4"/>
    <n v="67093.5"/>
    <n v="219583.60680000001"/>
  </r>
  <r>
    <x v="0"/>
    <s v="Chattahoochee Valley State Community College "/>
    <m/>
    <n v="101028"/>
    <x v="8"/>
    <m/>
    <m/>
    <n v="0"/>
    <m/>
    <m/>
    <n v="0"/>
    <m/>
    <m/>
    <n v="0"/>
    <m/>
    <m/>
    <n v="0"/>
    <m/>
    <m/>
    <n v="0"/>
    <m/>
    <m/>
    <n v="0"/>
    <m/>
    <m/>
    <n v="0"/>
    <m/>
    <m/>
    <n v="0"/>
    <m/>
    <m/>
    <n v="0"/>
    <m/>
    <m/>
    <n v="0"/>
    <n v="36"/>
    <n v="55551.777777777781"/>
    <n v="1999864"/>
    <n v="34"/>
    <n v="54935.26470588235"/>
    <n v="1867799"/>
    <m/>
    <m/>
    <n v="0"/>
    <m/>
    <m/>
    <n v="0"/>
    <m/>
    <m/>
    <n v="0"/>
    <m/>
    <m/>
    <n v="0"/>
    <m/>
    <m/>
    <n v="0"/>
    <m/>
    <m/>
    <n v="0"/>
    <m/>
    <m/>
    <n v="0"/>
    <m/>
    <m/>
    <n v="0"/>
    <m/>
    <m/>
    <n v="0"/>
    <m/>
    <m/>
    <n v="0"/>
    <m/>
    <n v="0"/>
    <n v="0"/>
    <m/>
    <m/>
    <n v="0"/>
  </r>
  <r>
    <x v="0"/>
    <s v="Enterprise-Ozark Community College"/>
    <s v="Met criteria for Two-Year 2 in 2009-10 and 2010-11."/>
    <n v="101143"/>
    <x v="8"/>
    <m/>
    <m/>
    <n v="0"/>
    <m/>
    <m/>
    <n v="0"/>
    <m/>
    <m/>
    <n v="0"/>
    <m/>
    <m/>
    <n v="0"/>
    <m/>
    <m/>
    <n v="0"/>
    <m/>
    <m/>
    <n v="0"/>
    <m/>
    <m/>
    <n v="0"/>
    <m/>
    <m/>
    <n v="0"/>
    <m/>
    <m/>
    <n v="0"/>
    <m/>
    <m/>
    <n v="0"/>
    <n v="63"/>
    <n v="51570.253968253972"/>
    <n v="3248926"/>
    <n v="69"/>
    <n v="51427.304347826088"/>
    <n v="3548484"/>
    <m/>
    <m/>
    <n v="0"/>
    <m/>
    <m/>
    <n v="0"/>
    <m/>
    <m/>
    <n v="0"/>
    <m/>
    <m/>
    <n v="0"/>
    <m/>
    <m/>
    <n v="0"/>
    <m/>
    <m/>
    <n v="0"/>
    <m/>
    <m/>
    <n v="0"/>
    <m/>
    <m/>
    <n v="0"/>
    <m/>
    <m/>
    <n v="0"/>
    <m/>
    <m/>
    <n v="0"/>
    <m/>
    <n v="0"/>
    <n v="0"/>
    <m/>
    <m/>
    <n v="0"/>
  </r>
  <r>
    <x v="0"/>
    <s v="George Corley Wallace State Community College - Selma"/>
    <m/>
    <n v="101301"/>
    <x v="8"/>
    <m/>
    <m/>
    <n v="0"/>
    <m/>
    <m/>
    <n v="0"/>
    <m/>
    <m/>
    <n v="0"/>
    <m/>
    <m/>
    <n v="0"/>
    <m/>
    <m/>
    <n v="0"/>
    <m/>
    <m/>
    <n v="0"/>
    <m/>
    <m/>
    <n v="0"/>
    <m/>
    <m/>
    <n v="0"/>
    <m/>
    <m/>
    <n v="0"/>
    <m/>
    <m/>
    <n v="0"/>
    <n v="48"/>
    <n v="50403.833333333336"/>
    <n v="2419384"/>
    <n v="52"/>
    <n v="50041.865384615383"/>
    <n v="2602177"/>
    <m/>
    <m/>
    <n v="0"/>
    <m/>
    <m/>
    <n v="0"/>
    <m/>
    <m/>
    <n v="0"/>
    <m/>
    <m/>
    <n v="0"/>
    <m/>
    <m/>
    <n v="0"/>
    <m/>
    <m/>
    <n v="0"/>
    <m/>
    <m/>
    <n v="0"/>
    <m/>
    <m/>
    <n v="0"/>
    <m/>
    <m/>
    <n v="0"/>
    <m/>
    <m/>
    <n v="0"/>
    <m/>
    <n v="0"/>
    <n v="0"/>
    <n v="3"/>
    <n v="38447.333333333336"/>
    <n v="94372.824399999998"/>
  </r>
  <r>
    <x v="0"/>
    <s v="Jefferson Davis Community College"/>
    <m/>
    <n v="101499"/>
    <x v="8"/>
    <m/>
    <m/>
    <n v="0"/>
    <m/>
    <m/>
    <n v="0"/>
    <m/>
    <m/>
    <n v="0"/>
    <m/>
    <m/>
    <n v="0"/>
    <m/>
    <m/>
    <n v="0"/>
    <m/>
    <m/>
    <n v="0"/>
    <m/>
    <m/>
    <n v="0"/>
    <m/>
    <m/>
    <n v="0"/>
    <m/>
    <m/>
    <n v="0"/>
    <m/>
    <m/>
    <n v="0"/>
    <n v="34"/>
    <n v="52342.73529411765"/>
    <n v="1779653"/>
    <n v="33"/>
    <n v="52716.909090909088"/>
    <n v="1739658"/>
    <m/>
    <m/>
    <n v="0"/>
    <m/>
    <m/>
    <n v="0"/>
    <m/>
    <m/>
    <n v="0"/>
    <m/>
    <m/>
    <n v="0"/>
    <m/>
    <m/>
    <n v="0"/>
    <m/>
    <m/>
    <n v="0"/>
    <m/>
    <m/>
    <n v="0"/>
    <m/>
    <m/>
    <n v="0"/>
    <m/>
    <m/>
    <n v="0"/>
    <m/>
    <m/>
    <n v="0"/>
    <n v="5"/>
    <n v="80440.399999999994"/>
    <n v="329081.6764"/>
    <n v="4"/>
    <n v="85681.5"/>
    <n v="280418.41320000001"/>
  </r>
  <r>
    <x v="0"/>
    <s v="Lurleen B. Wallace Community College "/>
    <m/>
    <n v="101602"/>
    <x v="8"/>
    <m/>
    <m/>
    <n v="0"/>
    <m/>
    <m/>
    <n v="0"/>
    <m/>
    <m/>
    <n v="0"/>
    <m/>
    <m/>
    <n v="0"/>
    <m/>
    <m/>
    <n v="0"/>
    <m/>
    <m/>
    <n v="0"/>
    <m/>
    <m/>
    <n v="0"/>
    <m/>
    <m/>
    <n v="0"/>
    <m/>
    <m/>
    <n v="0"/>
    <m/>
    <m/>
    <n v="0"/>
    <n v="51"/>
    <n v="53242.627450980392"/>
    <n v="2715374"/>
    <n v="52"/>
    <n v="51103.076923076922"/>
    <n v="2657360"/>
    <m/>
    <m/>
    <n v="0"/>
    <m/>
    <m/>
    <n v="0"/>
    <m/>
    <m/>
    <n v="0"/>
    <m/>
    <m/>
    <n v="0"/>
    <m/>
    <m/>
    <n v="0"/>
    <m/>
    <m/>
    <n v="0"/>
    <m/>
    <m/>
    <n v="0"/>
    <m/>
    <m/>
    <n v="0"/>
    <m/>
    <m/>
    <n v="0"/>
    <m/>
    <m/>
    <n v="0"/>
    <m/>
    <n v="0"/>
    <n v="0"/>
    <m/>
    <m/>
    <n v="0"/>
  </r>
  <r>
    <x v="0"/>
    <s v="Snead State Community College "/>
    <s v="Met the criteria for Two-Year 2 in 2010-11."/>
    <n v="102076"/>
    <x v="8"/>
    <m/>
    <m/>
    <n v="0"/>
    <m/>
    <m/>
    <n v="0"/>
    <m/>
    <m/>
    <n v="0"/>
    <m/>
    <m/>
    <n v="0"/>
    <m/>
    <m/>
    <n v="0"/>
    <m/>
    <m/>
    <n v="0"/>
    <m/>
    <m/>
    <n v="0"/>
    <m/>
    <m/>
    <n v="0"/>
    <m/>
    <m/>
    <n v="0"/>
    <m/>
    <m/>
    <n v="0"/>
    <n v="18"/>
    <n v="55519.055555555555"/>
    <n v="999343"/>
    <n v="22"/>
    <n v="54464.045454545456"/>
    <n v="1198209"/>
    <m/>
    <m/>
    <n v="0"/>
    <m/>
    <m/>
    <n v="0"/>
    <m/>
    <m/>
    <n v="0"/>
    <m/>
    <m/>
    <n v="0"/>
    <m/>
    <m/>
    <n v="0"/>
    <m/>
    <m/>
    <n v="0"/>
    <m/>
    <m/>
    <n v="0"/>
    <m/>
    <m/>
    <n v="0"/>
    <m/>
    <m/>
    <n v="0"/>
    <m/>
    <m/>
    <n v="0"/>
    <n v="17"/>
    <n v="76851.941176470587"/>
    <n v="1068964.3906"/>
    <n v="15"/>
    <n v="74964.600000000006"/>
    <n v="920040.53580000007"/>
  </r>
  <r>
    <x v="0"/>
    <s v="Trenholm State Technical College "/>
    <m/>
    <n v="102313"/>
    <x v="9"/>
    <m/>
    <m/>
    <n v="0"/>
    <m/>
    <m/>
    <n v="0"/>
    <m/>
    <m/>
    <n v="0"/>
    <m/>
    <m/>
    <n v="0"/>
    <m/>
    <m/>
    <n v="0"/>
    <m/>
    <m/>
    <n v="0"/>
    <m/>
    <m/>
    <n v="0"/>
    <m/>
    <m/>
    <n v="0"/>
    <m/>
    <m/>
    <n v="0"/>
    <m/>
    <m/>
    <n v="0"/>
    <n v="67"/>
    <n v="52134.014925373136"/>
    <n v="3492979"/>
    <n v="69"/>
    <n v="52717.434782608696"/>
    <n v="3637503"/>
    <m/>
    <m/>
    <n v="0"/>
    <m/>
    <m/>
    <n v="0"/>
    <m/>
    <m/>
    <n v="0"/>
    <m/>
    <m/>
    <n v="0"/>
    <m/>
    <m/>
    <n v="0"/>
    <m/>
    <m/>
    <n v="0"/>
    <m/>
    <m/>
    <n v="0"/>
    <m/>
    <m/>
    <n v="0"/>
    <m/>
    <m/>
    <n v="0"/>
    <m/>
    <m/>
    <n v="0"/>
    <n v="7"/>
    <n v="88150.28571428571"/>
    <n v="504871.94640000002"/>
    <n v="7"/>
    <n v="88150.28571428571"/>
    <n v="504871.94640000002"/>
  </r>
  <r>
    <x v="0"/>
    <s v="J.F. Drake State Technical College "/>
    <s v="Met the criteria for Technical Institute 1 in 2010-11."/>
    <n v="101462"/>
    <x v="10"/>
    <m/>
    <m/>
    <n v="0"/>
    <m/>
    <m/>
    <n v="0"/>
    <m/>
    <m/>
    <n v="0"/>
    <m/>
    <m/>
    <n v="0"/>
    <m/>
    <m/>
    <n v="0"/>
    <m/>
    <m/>
    <n v="0"/>
    <m/>
    <m/>
    <n v="0"/>
    <m/>
    <m/>
    <n v="0"/>
    <m/>
    <m/>
    <n v="0"/>
    <m/>
    <m/>
    <n v="0"/>
    <n v="25"/>
    <n v="54039.44"/>
    <n v="1350986"/>
    <n v="24"/>
    <n v="53448.583333333336"/>
    <n v="1282766"/>
    <m/>
    <m/>
    <n v="0"/>
    <m/>
    <m/>
    <n v="0"/>
    <m/>
    <m/>
    <n v="0"/>
    <m/>
    <m/>
    <n v="0"/>
    <m/>
    <m/>
    <n v="0"/>
    <m/>
    <m/>
    <n v="0"/>
    <m/>
    <m/>
    <n v="0"/>
    <m/>
    <m/>
    <n v="0"/>
    <m/>
    <m/>
    <n v="0"/>
    <m/>
    <m/>
    <n v="0"/>
    <m/>
    <n v="0"/>
    <n v="0"/>
    <n v="4"/>
    <n v="30154.5"/>
    <n v="98689.647600000011"/>
  </r>
  <r>
    <x v="0"/>
    <s v="J.F. Ingram State Technical College "/>
    <m/>
    <n v="101471"/>
    <x v="10"/>
    <m/>
    <m/>
    <n v="0"/>
    <m/>
    <m/>
    <n v="0"/>
    <m/>
    <m/>
    <n v="0"/>
    <m/>
    <m/>
    <n v="0"/>
    <m/>
    <m/>
    <n v="0"/>
    <m/>
    <m/>
    <n v="0"/>
    <m/>
    <m/>
    <n v="0"/>
    <m/>
    <m/>
    <n v="0"/>
    <m/>
    <m/>
    <n v="0"/>
    <m/>
    <m/>
    <n v="0"/>
    <n v="17"/>
    <n v="48234.823529411762"/>
    <n v="819992"/>
    <n v="17"/>
    <n v="48086.941176470587"/>
    <n v="817478"/>
    <m/>
    <m/>
    <n v="0"/>
    <m/>
    <m/>
    <n v="0"/>
    <m/>
    <m/>
    <n v="0"/>
    <m/>
    <m/>
    <n v="0"/>
    <m/>
    <m/>
    <n v="0"/>
    <m/>
    <m/>
    <n v="0"/>
    <m/>
    <m/>
    <n v="0"/>
    <m/>
    <m/>
    <n v="0"/>
    <m/>
    <m/>
    <n v="0"/>
    <m/>
    <m/>
    <n v="0"/>
    <n v="21"/>
    <n v="76884.904761904763"/>
    <n v="1321051.8106"/>
    <n v="14"/>
    <n v="86097.928571428565"/>
    <n v="986234.55220000003"/>
  </r>
  <r>
    <x v="0"/>
    <s v="Reid State Technical College "/>
    <m/>
    <n v="101994"/>
    <x v="10"/>
    <m/>
    <m/>
    <n v="0"/>
    <m/>
    <m/>
    <n v="0"/>
    <m/>
    <m/>
    <n v="0"/>
    <m/>
    <m/>
    <n v="0"/>
    <m/>
    <m/>
    <n v="0"/>
    <m/>
    <m/>
    <n v="0"/>
    <m/>
    <m/>
    <n v="0"/>
    <m/>
    <m/>
    <n v="0"/>
    <m/>
    <m/>
    <n v="0"/>
    <m/>
    <m/>
    <n v="0"/>
    <n v="20"/>
    <n v="50049.75"/>
    <n v="1000995"/>
    <n v="20"/>
    <n v="50390.2"/>
    <n v="1007804"/>
    <m/>
    <m/>
    <n v="0"/>
    <m/>
    <m/>
    <n v="0"/>
    <m/>
    <m/>
    <n v="0"/>
    <m/>
    <m/>
    <n v="0"/>
    <m/>
    <m/>
    <n v="0"/>
    <m/>
    <m/>
    <n v="0"/>
    <m/>
    <m/>
    <n v="0"/>
    <m/>
    <m/>
    <n v="0"/>
    <m/>
    <m/>
    <n v="0"/>
    <m/>
    <m/>
    <n v="0"/>
    <n v="6"/>
    <n v="53014.833333333336"/>
    <n v="260260.4198"/>
    <n v="6"/>
    <n v="54097.666666666664"/>
    <n v="265576.26520000002"/>
  </r>
  <r>
    <x v="1"/>
    <s v="University of Arkansas, Fayetteville"/>
    <m/>
    <n v="106397"/>
    <x v="0"/>
    <n v="205"/>
    <n v="102234.86829268292"/>
    <n v="20958148"/>
    <n v="216"/>
    <n v="106586.71296296296"/>
    <n v="23022730"/>
    <n v="160"/>
    <n v="73765.487500000003"/>
    <n v="11802478"/>
    <n v="165"/>
    <n v="74213.272727272721"/>
    <n v="12245189.999999998"/>
    <n v="141"/>
    <n v="69428.191489361707"/>
    <n v="9789375"/>
    <n v="155"/>
    <n v="70544"/>
    <n v="10934320"/>
    <n v="94"/>
    <n v="40695.755319148935"/>
    <n v="3825401"/>
    <n v="100"/>
    <n v="42014.18"/>
    <n v="4201418"/>
    <n v="56"/>
    <n v="43586.410714285717"/>
    <n v="2440839"/>
    <n v="70"/>
    <n v="43871.028571428571"/>
    <n v="3070972"/>
    <m/>
    <m/>
    <n v="0"/>
    <n v="0"/>
    <n v="0"/>
    <n v="0"/>
    <n v="144"/>
    <n v="120085.20138888889"/>
    <n v="14148534.495800002"/>
    <n v="143"/>
    <n v="121053.42657342658"/>
    <n v="14163565.648"/>
    <n v="62"/>
    <n v="86157.548387096773"/>
    <n v="4370634.5776000004"/>
    <n v="53"/>
    <n v="88342.283018867922"/>
    <n v="3830927.7662"/>
    <n v="15"/>
    <n v="75306.066666666666"/>
    <n v="924231.35620000004"/>
    <n v="15"/>
    <n v="77584.399999999994"/>
    <n v="952193.34120000002"/>
    <n v="24"/>
    <n v="52527.416666666664"/>
    <n v="1031470.3756"/>
    <n v="29"/>
    <n v="56785.448275862072"/>
    <n v="1347393.7596"/>
    <n v="7"/>
    <n v="69617.28571428571"/>
    <n v="398726.04220000003"/>
    <n v="6"/>
    <n v="84135.166666666672"/>
    <n v="413036.3602"/>
    <m/>
    <m/>
    <n v="0"/>
    <n v="0"/>
    <n v="0"/>
    <n v="0"/>
  </r>
  <r>
    <x v="1"/>
    <s v="Arkansas State University"/>
    <m/>
    <n v="106458"/>
    <x v="2"/>
    <n v="73"/>
    <n v="74476.643835616444"/>
    <n v="5436795"/>
    <n v="86"/>
    <n v="71929.558139534885"/>
    <n v="6185942"/>
    <n v="111"/>
    <n v="58503.62162162162"/>
    <n v="6493902"/>
    <n v="106"/>
    <n v="58569.264150943396"/>
    <n v="6208342"/>
    <n v="136"/>
    <n v="54125.617647058825"/>
    <n v="7361084"/>
    <n v="134"/>
    <n v="54350.305970149253"/>
    <n v="7282941"/>
    <n v="96"/>
    <n v="36690.0625"/>
    <n v="3522246"/>
    <n v="89"/>
    <n v="34684.415730337081"/>
    <n v="3086913"/>
    <m/>
    <m/>
    <n v="0"/>
    <n v="0"/>
    <n v="0"/>
    <n v="0"/>
    <m/>
    <m/>
    <n v="0"/>
    <n v="0"/>
    <n v="0"/>
    <n v="0"/>
    <n v="22"/>
    <n v="96296.863636363632"/>
    <n v="1733382.0642000001"/>
    <n v="18"/>
    <n v="100073.94444444444"/>
    <n v="1473849.0242000001"/>
    <n v="17"/>
    <n v="86618.117647058825"/>
    <n v="1204806.0456000001"/>
    <n v="20"/>
    <n v="83918.6"/>
    <n v="1373243.9704"/>
    <n v="15"/>
    <n v="42941.333333333336"/>
    <n v="527018.98400000005"/>
    <n v="17"/>
    <n v="72595.76470588235"/>
    <n v="1009763.5296"/>
    <n v="12"/>
    <n v="43168.583333333336"/>
    <n v="423846.41860000003"/>
    <n v="12"/>
    <n v="45289.416666666664"/>
    <n v="444669.60860000004"/>
    <m/>
    <m/>
    <n v="0"/>
    <n v="0"/>
    <n v="0"/>
    <n v="0"/>
    <m/>
    <m/>
    <n v="0"/>
    <n v="0"/>
    <n v="0"/>
    <n v="0"/>
  </r>
  <r>
    <x v="1"/>
    <s v="University of Arkansas at Little Rock"/>
    <m/>
    <n v="106245"/>
    <x v="2"/>
    <n v="110"/>
    <n v="85425.290909090909"/>
    <n v="9396782"/>
    <n v="112"/>
    <n v="83832.267857142855"/>
    <n v="9389214"/>
    <n v="110"/>
    <n v="66280.427272727276"/>
    <n v="7290847"/>
    <n v="109"/>
    <n v="66162.46788990825"/>
    <n v="7211708.9999999991"/>
    <n v="122"/>
    <n v="56955.688524590165"/>
    <n v="6948594"/>
    <n v="102"/>
    <n v="56930.656862745098"/>
    <n v="5806927"/>
    <n v="77"/>
    <n v="40203.441558441562"/>
    <n v="3095665.0000000005"/>
    <n v="70"/>
    <n v="40203.599999999999"/>
    <n v="2814252"/>
    <n v="8"/>
    <n v="39473.75"/>
    <n v="315790"/>
    <n v="4"/>
    <n v="36400"/>
    <n v="145600"/>
    <m/>
    <m/>
    <n v="0"/>
    <n v="0"/>
    <n v="0"/>
    <n v="0"/>
    <n v="38"/>
    <n v="78488.368421052626"/>
    <n v="2440328.9556"/>
    <n v="41"/>
    <n v="94424.707317073175"/>
    <n v="3167590.1166000003"/>
    <n v="16"/>
    <n v="75109.5"/>
    <n v="983273.48640000005"/>
    <n v="20"/>
    <n v="81485.45"/>
    <n v="1333427.9038"/>
    <n v="20"/>
    <n v="24003.8"/>
    <n v="392798.18320000003"/>
    <n v="21"/>
    <n v="55406.476190476191"/>
    <n v="952005.15520000004"/>
    <n v="18"/>
    <n v="42225.5"/>
    <n v="621880.27380000008"/>
    <n v="20"/>
    <n v="46756.4"/>
    <n v="765121.72960000008"/>
    <n v="23"/>
    <n v="8287.391304347826"/>
    <n v="155957.10200000001"/>
    <n v="8"/>
    <n v="44833.375"/>
    <n v="293461.3394"/>
    <m/>
    <m/>
    <n v="0"/>
    <n v="0"/>
    <n v="0"/>
    <n v="0"/>
  </r>
  <r>
    <x v="1"/>
    <s v="University of Central Arkansas "/>
    <m/>
    <n v="106704"/>
    <x v="2"/>
    <n v="62"/>
    <n v="75160.951612903227"/>
    <n v="4659979"/>
    <n v="62"/>
    <n v="75204.483870967742"/>
    <n v="4662678"/>
    <n v="89"/>
    <n v="61421.505617977527"/>
    <n v="5466514"/>
    <n v="101"/>
    <n v="60495.792079207924"/>
    <n v="6110075"/>
    <n v="158"/>
    <n v="54463.234177215192"/>
    <n v="8605191"/>
    <n v="151"/>
    <n v="54741.423841059601"/>
    <n v="8265955"/>
    <n v="92"/>
    <n v="42042.695652173912"/>
    <n v="3867928"/>
    <n v="94"/>
    <n v="39040.361702127659"/>
    <n v="3669794"/>
    <n v="54"/>
    <n v="41221.222222222219"/>
    <n v="2225946"/>
    <n v="51"/>
    <n v="41177.156862745098"/>
    <n v="2100035"/>
    <m/>
    <m/>
    <n v="0"/>
    <n v="0"/>
    <n v="0"/>
    <n v="0"/>
    <n v="24"/>
    <n v="99135.041666666672"/>
    <n v="1946694.9862000002"/>
    <n v="26"/>
    <n v="81868.769230769234"/>
    <n v="1741610.7016"/>
    <n v="14"/>
    <n v="93777.142857142855"/>
    <n v="1074198.416"/>
    <n v="12"/>
    <n v="71997.583333333328"/>
    <n v="706901.07220000005"/>
    <n v="3"/>
    <n v="79875.666666666672"/>
    <n v="196062.81140000001"/>
    <n v="4"/>
    <n v="61677.75"/>
    <n v="201858.94020000001"/>
    <n v="12"/>
    <n v="52996.5"/>
    <n v="520340.83560000005"/>
    <n v="11"/>
    <n v="43272.272727272728"/>
    <n v="389459.109"/>
    <n v="4"/>
    <n v="45181.5"/>
    <n v="147870.01320000002"/>
    <n v="3"/>
    <n v="34829.666666666664"/>
    <n v="85492.899799999999"/>
    <m/>
    <m/>
    <n v="0"/>
    <n v="0"/>
    <n v="0"/>
    <n v="0"/>
  </r>
  <r>
    <x v="1"/>
    <s v="Arkansas Tech University"/>
    <s v="Met the criteria for Four-Year 3 in 2010-11."/>
    <n v="106467"/>
    <x v="3"/>
    <n v="40"/>
    <n v="65051.8"/>
    <n v="2602072"/>
    <n v="42"/>
    <n v="66246.523809523816"/>
    <n v="2782354.0000000005"/>
    <n v="69"/>
    <n v="48348.695652173912"/>
    <n v="3336060"/>
    <n v="66"/>
    <n v="58958.545454545456"/>
    <n v="3891264"/>
    <n v="101"/>
    <n v="47885.316831683165"/>
    <n v="4836417"/>
    <n v="102"/>
    <n v="48283.156862745098"/>
    <n v="4924882"/>
    <n v="26"/>
    <n v="37636.884615384617"/>
    <n v="978559"/>
    <n v="24"/>
    <n v="37019.25"/>
    <n v="888462"/>
    <n v="29"/>
    <n v="42220.551724137928"/>
    <n v="1224396"/>
    <n v="35"/>
    <n v="36957.885714285716"/>
    <n v="1293526"/>
    <m/>
    <m/>
    <n v="0"/>
    <n v="0"/>
    <n v="0"/>
    <n v="0"/>
    <n v="13"/>
    <n v="98634.461538461532"/>
    <n v="1049135.3136"/>
    <n v="11"/>
    <n v="104969.27272727272"/>
    <n v="944744.44839999999"/>
    <n v="6"/>
    <n v="81102.833333333328"/>
    <n v="398150.0294"/>
    <n v="9"/>
    <n v="79088.555555555562"/>
    <n v="582392.30540000007"/>
    <n v="2"/>
    <n v="69313.5"/>
    <n v="113424.61140000001"/>
    <n v="1"/>
    <n v="67626"/>
    <n v="55331.593200000003"/>
    <m/>
    <m/>
    <n v="0"/>
    <n v="0"/>
    <n v="0"/>
    <n v="0"/>
    <n v="8"/>
    <n v="37874.875"/>
    <n v="247913.78180000003"/>
    <n v="0"/>
    <n v="0"/>
    <n v="0"/>
    <m/>
    <m/>
    <n v="0"/>
    <n v="0"/>
    <n v="0"/>
    <n v="0"/>
  </r>
  <r>
    <x v="1"/>
    <s v="Henderson State University"/>
    <m/>
    <n v="107071"/>
    <x v="3"/>
    <n v="55"/>
    <n v="63911.418181818182"/>
    <n v="3515128"/>
    <n v="54"/>
    <n v="62894"/>
    <n v="3396276"/>
    <n v="34"/>
    <n v="52978.676470588238"/>
    <n v="1801275"/>
    <n v="35"/>
    <n v="53047.542857142857"/>
    <n v="1856664"/>
    <n v="35"/>
    <n v="48132.4"/>
    <n v="1684634"/>
    <n v="39"/>
    <n v="48998.769230769234"/>
    <n v="1910952.0000000002"/>
    <n v="29"/>
    <n v="37461.65517241379"/>
    <n v="1086388"/>
    <n v="25"/>
    <n v="38808.639999999999"/>
    <n v="970216"/>
    <m/>
    <m/>
    <n v="0"/>
    <n v="0"/>
    <n v="0"/>
    <n v="0"/>
    <m/>
    <m/>
    <n v="0"/>
    <n v="0"/>
    <n v="0"/>
    <n v="0"/>
    <n v="2"/>
    <n v="80636"/>
    <n v="131952.75040000002"/>
    <n v="3"/>
    <n v="80155"/>
    <n v="196748.46300000002"/>
    <n v="2"/>
    <n v="70330"/>
    <n v="115088.012"/>
    <n v="1"/>
    <n v="68150"/>
    <n v="55760.33"/>
    <n v="4"/>
    <n v="61696.5"/>
    <n v="201920.3052"/>
    <n v="3"/>
    <n v="63282"/>
    <n v="155331.99720000001"/>
    <n v="13"/>
    <n v="48178.461538461539"/>
    <n v="512455.02400000003"/>
    <n v="6"/>
    <n v="48434.166666666664"/>
    <n v="237773.011"/>
    <m/>
    <m/>
    <n v="0"/>
    <n v="0"/>
    <n v="0"/>
    <n v="0"/>
    <m/>
    <m/>
    <n v="0"/>
    <n v="0"/>
    <n v="0"/>
    <n v="0"/>
  </r>
  <r>
    <x v="1"/>
    <s v="Southern Arkansas University"/>
    <s v="Met the criteria for Four-Year 4 in 2009-10 and 2010-11."/>
    <n v="107983"/>
    <x v="4"/>
    <n v="18"/>
    <n v="67610.555555555562"/>
    <n v="1216990"/>
    <n v="17"/>
    <n v="66832.470588235301"/>
    <n v="1136152"/>
    <n v="35"/>
    <n v="55256.257142857146"/>
    <n v="1933969.0000000002"/>
    <n v="34"/>
    <n v="56800.911764705881"/>
    <n v="1931231"/>
    <n v="61"/>
    <n v="49152.475409836065"/>
    <n v="2998301"/>
    <n v="58"/>
    <n v="48927.603448275862"/>
    <n v="2837801"/>
    <n v="22"/>
    <n v="40965.045454545456"/>
    <n v="901231"/>
    <n v="26"/>
    <n v="41315.115384615383"/>
    <n v="1074193"/>
    <m/>
    <m/>
    <n v="0"/>
    <n v="0"/>
    <n v="0"/>
    <n v="0"/>
    <m/>
    <m/>
    <n v="0"/>
    <n v="0"/>
    <n v="0"/>
    <n v="0"/>
    <n v="5"/>
    <n v="73649.2"/>
    <n v="301298.87719999999"/>
    <n v="4"/>
    <n v="101484.25"/>
    <n v="332137.65340000001"/>
    <n v="2"/>
    <n v="99552"/>
    <n v="162906.8928"/>
    <n v="1"/>
    <n v="103544"/>
    <n v="84719.700800000006"/>
    <n v="4"/>
    <n v="61795.25"/>
    <n v="202243.49420000002"/>
    <n v="5"/>
    <n v="66185.399999999994"/>
    <n v="270764.47140000004"/>
    <n v="15"/>
    <n v="46364.4"/>
    <n v="569030.28119999997"/>
    <n v="15"/>
    <n v="47358.866666666669"/>
    <n v="581235.37060000002"/>
    <m/>
    <m/>
    <n v="0"/>
    <n v="1"/>
    <n v="44000"/>
    <n v="36000.800000000003"/>
    <m/>
    <m/>
    <n v="0"/>
    <n v="0"/>
    <n v="0"/>
    <n v="0"/>
  </r>
  <r>
    <x v="1"/>
    <s v="University of Arkansas at Monticello"/>
    <m/>
    <n v="106485"/>
    <x v="4"/>
    <n v="16"/>
    <n v="60179.4375"/>
    <n v="962871"/>
    <n v="16"/>
    <n v="61699.25"/>
    <n v="987188"/>
    <n v="24"/>
    <n v="57118.833333333336"/>
    <n v="1370852"/>
    <n v="28"/>
    <n v="57021.357142857145"/>
    <n v="1596598"/>
    <n v="34"/>
    <n v="43955.23529411765"/>
    <n v="1494478"/>
    <n v="31"/>
    <n v="45827.322580645159"/>
    <n v="1420647"/>
    <n v="23"/>
    <n v="40610.434782608696"/>
    <n v="934040"/>
    <n v="22"/>
    <n v="39993.818181818184"/>
    <n v="879864"/>
    <n v="6"/>
    <n v="38520.833333333336"/>
    <n v="231125"/>
    <n v="13"/>
    <n v="38807.769230769234"/>
    <n v="504501.00000000006"/>
    <m/>
    <m/>
    <n v="0"/>
    <n v="0"/>
    <n v="0"/>
    <n v="0"/>
    <n v="6"/>
    <n v="96834.666666666672"/>
    <n v="475380.74560000002"/>
    <n v="4"/>
    <n v="103739.25"/>
    <n v="339517.8174"/>
    <n v="2"/>
    <n v="72828"/>
    <n v="119175.73920000001"/>
    <n v="2"/>
    <n v="74286"/>
    <n v="121561.61040000001"/>
    <n v="6"/>
    <n v="63955"/>
    <n v="313967.886"/>
    <n v="5"/>
    <n v="66068"/>
    <n v="270284.18800000002"/>
    <n v="8"/>
    <n v="48831.125"/>
    <n v="319629.01180000004"/>
    <n v="2"/>
    <n v="62475"/>
    <n v="102234.09000000001"/>
    <n v="23"/>
    <n v="42361.434782608696"/>
    <n v="797182.89660000009"/>
    <n v="28"/>
    <n v="42789.857142857145"/>
    <n v="980298.51120000007"/>
    <m/>
    <m/>
    <n v="0"/>
    <n v="0"/>
    <n v="0"/>
    <n v="0"/>
  </r>
  <r>
    <x v="1"/>
    <s v="University of Arkansas at Fort Smith"/>
    <m/>
    <n v="108092"/>
    <x v="5"/>
    <n v="9"/>
    <n v="73203.777777777781"/>
    <n v="658834"/>
    <n v="10"/>
    <n v="80730.100000000006"/>
    <n v="807301"/>
    <n v="39"/>
    <n v="66907.051282051281"/>
    <n v="2609375"/>
    <n v="39"/>
    <n v="67671.794871794875"/>
    <n v="2639200"/>
    <n v="101"/>
    <n v="53836.900990099013"/>
    <n v="5437527"/>
    <n v="95"/>
    <n v="52792.831578947371"/>
    <n v="5015319"/>
    <n v="39"/>
    <n v="47625.051282051281"/>
    <n v="1857377"/>
    <n v="44"/>
    <n v="45735.022727272728"/>
    <n v="2012341"/>
    <n v="12"/>
    <n v="38928.333333333336"/>
    <n v="467140"/>
    <n v="6"/>
    <n v="38583.333333333336"/>
    <n v="231500"/>
    <m/>
    <m/>
    <n v="0"/>
    <n v="0"/>
    <n v="0"/>
    <n v="0"/>
    <n v="1"/>
    <n v="98075"/>
    <n v="80244.964999999997"/>
    <n v="1"/>
    <n v="98075"/>
    <n v="80244.964999999997"/>
    <n v="2"/>
    <n v="102912"/>
    <n v="168405.19680000001"/>
    <n v="9"/>
    <n v="84329"/>
    <n v="620981.89020000002"/>
    <n v="7"/>
    <n v="79493.28571428571"/>
    <n v="455289.84460000001"/>
    <n v="9"/>
    <n v="70948.222222222219"/>
    <n v="522448.51880000002"/>
    <n v="10"/>
    <n v="58899.1"/>
    <n v="481912.4362"/>
    <n v="11"/>
    <n v="56849.272727272728"/>
    <n v="511654.82440000004"/>
    <n v="2"/>
    <n v="56040"/>
    <n v="91703.856"/>
    <n v="1"/>
    <n v="65000"/>
    <n v="53183"/>
    <m/>
    <m/>
    <n v="0"/>
    <n v="0"/>
    <n v="0"/>
    <n v="0"/>
  </r>
  <r>
    <x v="1"/>
    <s v="University of Arkansas at Pine Bluff"/>
    <s v="Met the criteria for Four-Year 5 in 2010-11."/>
    <n v="106412"/>
    <x v="5"/>
    <n v="18"/>
    <n v="57430.722222222219"/>
    <n v="1033753"/>
    <n v="17"/>
    <n v="57986.941176470587"/>
    <n v="985778"/>
    <n v="17"/>
    <n v="53415.76470588235"/>
    <n v="908068"/>
    <n v="19"/>
    <n v="55012.105263157893"/>
    <n v="1045230"/>
    <n v="27"/>
    <n v="44997.962962962964"/>
    <n v="1214945"/>
    <n v="28"/>
    <n v="46557.785714285717"/>
    <n v="1303618"/>
    <n v="48"/>
    <n v="37321.1875"/>
    <n v="1791417"/>
    <n v="46"/>
    <n v="37562.260869565216"/>
    <n v="1727864"/>
    <m/>
    <m/>
    <n v="0"/>
    <n v="0"/>
    <n v="0"/>
    <n v="0"/>
    <m/>
    <m/>
    <n v="0"/>
    <n v="0"/>
    <n v="0"/>
    <n v="0"/>
    <n v="14"/>
    <n v="73760"/>
    <n v="844906.04800000007"/>
    <n v="13"/>
    <n v="76082.461538461532"/>
    <n v="809258.71039999998"/>
    <n v="15"/>
    <n v="67721.866666666669"/>
    <n v="831150.46960000007"/>
    <n v="15"/>
    <n v="69133.866666666669"/>
    <n v="848479.94560000009"/>
    <n v="21"/>
    <n v="57259.285714285717"/>
    <n v="983840.49900000007"/>
    <n v="19"/>
    <n v="57762.315789473687"/>
    <n v="897961.40880000009"/>
    <n v="13"/>
    <n v="43883.923076923078"/>
    <n v="466775.73620000004"/>
    <n v="14"/>
    <n v="42543.214285714283"/>
    <n v="487324.011"/>
    <m/>
    <m/>
    <n v="0"/>
    <n v="0"/>
    <n v="0"/>
    <n v="0"/>
    <m/>
    <m/>
    <n v="0"/>
    <n v="0"/>
    <n v="0"/>
    <n v="0"/>
  </r>
  <r>
    <x v="1"/>
    <s v="Pulaski Technical College"/>
    <m/>
    <n v="107664"/>
    <x v="6"/>
    <m/>
    <m/>
    <n v="0"/>
    <n v="0"/>
    <n v="0"/>
    <n v="0"/>
    <m/>
    <m/>
    <n v="0"/>
    <n v="0"/>
    <n v="0"/>
    <n v="0"/>
    <m/>
    <m/>
    <n v="0"/>
    <n v="0"/>
    <n v="0"/>
    <n v="0"/>
    <m/>
    <m/>
    <n v="0"/>
    <n v="0"/>
    <n v="0"/>
    <n v="0"/>
    <m/>
    <m/>
    <n v="0"/>
    <n v="0"/>
    <n v="0"/>
    <n v="0"/>
    <n v="144"/>
    <n v="46051.611111111109"/>
    <n v="6631432"/>
    <n v="157"/>
    <n v="47254.757961783442"/>
    <n v="7418997"/>
    <m/>
    <m/>
    <n v="0"/>
    <n v="0"/>
    <n v="0"/>
    <n v="0"/>
    <m/>
    <m/>
    <n v="0"/>
    <n v="0"/>
    <n v="0"/>
    <n v="0"/>
    <m/>
    <m/>
    <n v="0"/>
    <n v="0"/>
    <n v="0"/>
    <n v="0"/>
    <m/>
    <m/>
    <n v="0"/>
    <n v="0"/>
    <n v="0"/>
    <n v="0"/>
    <m/>
    <m/>
    <n v="0"/>
    <n v="0"/>
    <n v="0"/>
    <n v="0"/>
    <n v="14"/>
    <n v="57815"/>
    <n v="662259.26199999999"/>
    <n v="14"/>
    <n v="59984"/>
    <n v="687104.72320000001"/>
  </r>
  <r>
    <x v="1"/>
    <s v="Arkansas State University-Beebe"/>
    <m/>
    <n v="106449"/>
    <x v="7"/>
    <n v="4"/>
    <n v="55042.25"/>
    <n v="220169"/>
    <n v="4"/>
    <n v="56693.5"/>
    <n v="226774"/>
    <n v="6"/>
    <n v="48515.666666666664"/>
    <n v="291094"/>
    <n v="5"/>
    <n v="47763.4"/>
    <n v="238817"/>
    <n v="32"/>
    <n v="45452.0625"/>
    <n v="1454466"/>
    <n v="29"/>
    <n v="46053.931034482761"/>
    <n v="1335564"/>
    <n v="64"/>
    <n v="40022.40625"/>
    <n v="2561434"/>
    <n v="62"/>
    <n v="40489.516129032258"/>
    <n v="2510350"/>
    <m/>
    <m/>
    <n v="0"/>
    <n v="0"/>
    <n v="0"/>
    <n v="0"/>
    <m/>
    <m/>
    <n v="0"/>
    <n v="0"/>
    <n v="0"/>
    <n v="0"/>
    <n v="1"/>
    <n v="73709"/>
    <n v="60308.703800000003"/>
    <n v="1"/>
    <n v="75921"/>
    <n v="62118.5622"/>
    <n v="4"/>
    <n v="80213.75"/>
    <n v="262523.56099999999"/>
    <n v="4"/>
    <n v="82620.25"/>
    <n v="270399.55420000001"/>
    <n v="5"/>
    <n v="59451"/>
    <n v="243214.041"/>
    <n v="5"/>
    <n v="61634.6"/>
    <n v="252147.14860000001"/>
    <n v="6"/>
    <n v="48836.833333333336"/>
    <n v="239749.78220000002"/>
    <n v="11"/>
    <n v="43992.545454545456"/>
    <n v="395941.70760000002"/>
    <m/>
    <m/>
    <n v="0"/>
    <n v="0"/>
    <n v="0"/>
    <n v="0"/>
    <m/>
    <m/>
    <n v="0"/>
    <n v="0"/>
    <n v="0"/>
    <n v="0"/>
  </r>
  <r>
    <x v="1"/>
    <s v="National Park Community College"/>
    <s v="Reclassifed: met the criteria for Two-Year 2 in 2008-09, 2009-10 and 2010-11."/>
    <n v="106980"/>
    <x v="7"/>
    <m/>
    <m/>
    <n v="0"/>
    <n v="0"/>
    <n v="0"/>
    <n v="0"/>
    <m/>
    <m/>
    <n v="0"/>
    <n v="0"/>
    <n v="0"/>
    <n v="0"/>
    <m/>
    <m/>
    <n v="0"/>
    <n v="0"/>
    <n v="0"/>
    <n v="0"/>
    <m/>
    <m/>
    <n v="0"/>
    <n v="0"/>
    <n v="0"/>
    <n v="0"/>
    <m/>
    <m/>
    <n v="0"/>
    <n v="0"/>
    <n v="0"/>
    <n v="0"/>
    <n v="73"/>
    <n v="43233.452054794521"/>
    <n v="3156042"/>
    <n v="77"/>
    <n v="42230.389610389611"/>
    <n v="3251740"/>
    <m/>
    <m/>
    <n v="0"/>
    <n v="0"/>
    <n v="0"/>
    <n v="0"/>
    <m/>
    <m/>
    <n v="0"/>
    <n v="0"/>
    <n v="0"/>
    <n v="0"/>
    <m/>
    <m/>
    <n v="0"/>
    <n v="0"/>
    <n v="0"/>
    <n v="0"/>
    <m/>
    <m/>
    <n v="0"/>
    <n v="0"/>
    <n v="0"/>
    <n v="0"/>
    <m/>
    <m/>
    <n v="0"/>
    <n v="0"/>
    <n v="0"/>
    <n v="0"/>
    <n v="18"/>
    <n v="53402.555555555555"/>
    <n v="786491.47720000008"/>
    <n v="14"/>
    <n v="52941.142857142855"/>
    <n v="606430.20319999999"/>
  </r>
  <r>
    <x v="1"/>
    <s v="Northwest Arkansas Community College "/>
    <s v="Met the criteria for Two-Year 1 in 2009-10 and 2010-11."/>
    <n v="367459"/>
    <x v="7"/>
    <m/>
    <m/>
    <n v="0"/>
    <n v="0"/>
    <n v="0"/>
    <n v="0"/>
    <m/>
    <m/>
    <n v="0"/>
    <n v="0"/>
    <n v="0"/>
    <n v="0"/>
    <m/>
    <m/>
    <n v="0"/>
    <n v="0"/>
    <n v="0"/>
    <n v="0"/>
    <m/>
    <m/>
    <n v="0"/>
    <n v="0"/>
    <n v="0"/>
    <n v="0"/>
    <m/>
    <m/>
    <n v="0"/>
    <n v="0"/>
    <n v="0"/>
    <n v="0"/>
    <n v="132"/>
    <n v="51512.598484848488"/>
    <n v="6799663"/>
    <n v="143"/>
    <n v="50463.328671328672"/>
    <n v="7216256"/>
    <m/>
    <m/>
    <n v="0"/>
    <n v="0"/>
    <n v="0"/>
    <n v="0"/>
    <m/>
    <m/>
    <n v="0"/>
    <n v="0"/>
    <n v="0"/>
    <n v="0"/>
    <m/>
    <m/>
    <n v="0"/>
    <n v="0"/>
    <n v="0"/>
    <n v="0"/>
    <m/>
    <m/>
    <n v="0"/>
    <n v="0"/>
    <n v="0"/>
    <n v="0"/>
    <m/>
    <m/>
    <n v="0"/>
    <n v="0"/>
    <n v="0"/>
    <n v="0"/>
    <n v="1"/>
    <n v="54109"/>
    <n v="44271.983800000002"/>
    <n v="0"/>
    <n v="0"/>
    <n v="0"/>
  </r>
  <r>
    <x v="1"/>
    <s v="Arkansas Northeastern College"/>
    <m/>
    <n v="107327"/>
    <x v="8"/>
    <m/>
    <m/>
    <n v="0"/>
    <n v="0"/>
    <n v="0"/>
    <n v="0"/>
    <m/>
    <m/>
    <n v="0"/>
    <n v="0"/>
    <n v="0"/>
    <n v="0"/>
    <m/>
    <m/>
    <n v="0"/>
    <n v="0"/>
    <n v="0"/>
    <n v="0"/>
    <m/>
    <m/>
    <n v="0"/>
    <n v="0"/>
    <n v="0"/>
    <n v="0"/>
    <m/>
    <m/>
    <n v="0"/>
    <n v="0"/>
    <n v="0"/>
    <n v="0"/>
    <m/>
    <m/>
    <n v="0"/>
    <n v="73"/>
    <n v="43227.493150684932"/>
    <n v="3155607"/>
    <m/>
    <m/>
    <n v="0"/>
    <n v="0"/>
    <n v="0"/>
    <n v="0"/>
    <m/>
    <m/>
    <n v="0"/>
    <n v="0"/>
    <n v="0"/>
    <n v="0"/>
    <m/>
    <m/>
    <n v="0"/>
    <n v="0"/>
    <n v="0"/>
    <n v="0"/>
    <m/>
    <m/>
    <n v="0"/>
    <n v="0"/>
    <n v="0"/>
    <n v="0"/>
    <m/>
    <m/>
    <n v="0"/>
    <n v="0"/>
    <n v="0"/>
    <n v="0"/>
    <m/>
    <m/>
    <n v="0"/>
    <n v="6"/>
    <n v="64897.833333333336"/>
    <n v="318596.44339999999"/>
  </r>
  <r>
    <x v="1"/>
    <s v="Arkansas State University Mountain Home"/>
    <m/>
    <n v="420538"/>
    <x v="8"/>
    <m/>
    <m/>
    <n v="0"/>
    <n v="0"/>
    <n v="0"/>
    <n v="0"/>
    <m/>
    <m/>
    <n v="0"/>
    <n v="0"/>
    <n v="0"/>
    <n v="0"/>
    <n v="11"/>
    <n v="48291.727272727272"/>
    <n v="531209"/>
    <n v="11"/>
    <n v="48291.727272727272"/>
    <n v="531209"/>
    <n v="32"/>
    <n v="36424.125"/>
    <n v="1165572"/>
    <n v="37"/>
    <n v="39908.405405405407"/>
    <n v="1476611"/>
    <m/>
    <m/>
    <n v="0"/>
    <n v="0"/>
    <n v="0"/>
    <n v="0"/>
    <n v="77"/>
    <n v="43566.467532467534"/>
    <n v="3354618"/>
    <n v="0"/>
    <n v="0"/>
    <n v="0"/>
    <m/>
    <m/>
    <n v="0"/>
    <n v="0"/>
    <n v="0"/>
    <n v="0"/>
    <m/>
    <m/>
    <n v="0"/>
    <n v="0"/>
    <n v="0"/>
    <n v="0"/>
    <m/>
    <m/>
    <n v="0"/>
    <n v="0"/>
    <n v="0"/>
    <n v="0"/>
    <m/>
    <m/>
    <n v="0"/>
    <n v="0"/>
    <n v="0"/>
    <n v="0"/>
    <m/>
    <m/>
    <n v="0"/>
    <n v="0"/>
    <n v="0"/>
    <n v="0"/>
    <n v="5"/>
    <n v="65428.4"/>
    <n v="267667.58439999999"/>
    <n v="0"/>
    <n v="0"/>
    <n v="0"/>
  </r>
  <r>
    <x v="1"/>
    <s v="Arkansas State University-Newport"/>
    <m/>
    <n v="440402"/>
    <x v="8"/>
    <m/>
    <m/>
    <n v="0"/>
    <n v="0"/>
    <n v="0"/>
    <n v="0"/>
    <m/>
    <m/>
    <n v="0"/>
    <n v="0"/>
    <n v="0"/>
    <n v="0"/>
    <n v="18"/>
    <n v="40763.722222222219"/>
    <n v="733747"/>
    <n v="18"/>
    <n v="40753.388888888891"/>
    <n v="733561"/>
    <n v="29"/>
    <n v="37386.896551724138"/>
    <n v="1084220"/>
    <n v="27"/>
    <n v="40621.703703703701"/>
    <n v="1096786"/>
    <m/>
    <m/>
    <n v="0"/>
    <n v="0"/>
    <n v="0"/>
    <n v="0"/>
    <m/>
    <m/>
    <n v="0"/>
    <n v="0"/>
    <n v="0"/>
    <n v="0"/>
    <m/>
    <m/>
    <n v="0"/>
    <n v="0"/>
    <n v="0"/>
    <n v="0"/>
    <m/>
    <m/>
    <n v="0"/>
    <n v="0"/>
    <n v="0"/>
    <n v="0"/>
    <n v="3"/>
    <n v="40683"/>
    <n v="99860.491800000003"/>
    <n v="3"/>
    <n v="42633.666666666664"/>
    <n v="104648.59820000001"/>
    <n v="15"/>
    <n v="47128.933333333334"/>
    <n v="578413.39880000008"/>
    <n v="14"/>
    <n v="45095.928571428572"/>
    <n v="516564.84260000003"/>
    <m/>
    <m/>
    <n v="0"/>
    <n v="0"/>
    <n v="0"/>
    <n v="0"/>
    <m/>
    <m/>
    <n v="0"/>
    <n v="0"/>
    <n v="0"/>
    <n v="0"/>
  </r>
  <r>
    <x v="1"/>
    <s v="Black River Technical College"/>
    <s v="Met the criteria for Two-Year 2 in 2010-11."/>
    <n v="106625"/>
    <x v="8"/>
    <m/>
    <m/>
    <n v="0"/>
    <n v="0"/>
    <n v="0"/>
    <n v="0"/>
    <m/>
    <m/>
    <n v="0"/>
    <n v="0"/>
    <n v="0"/>
    <n v="0"/>
    <m/>
    <m/>
    <n v="0"/>
    <n v="0"/>
    <n v="0"/>
    <n v="0"/>
    <m/>
    <m/>
    <n v="0"/>
    <n v="0"/>
    <n v="0"/>
    <n v="0"/>
    <m/>
    <m/>
    <n v="0"/>
    <n v="0"/>
    <n v="0"/>
    <n v="0"/>
    <n v="59"/>
    <n v="41860.186440677964"/>
    <n v="2469751"/>
    <n v="64"/>
    <n v="41392.75"/>
    <n v="2649136"/>
    <m/>
    <m/>
    <n v="0"/>
    <n v="0"/>
    <n v="0"/>
    <n v="0"/>
    <m/>
    <m/>
    <n v="0"/>
    <n v="0"/>
    <n v="0"/>
    <n v="0"/>
    <m/>
    <m/>
    <n v="0"/>
    <n v="0"/>
    <n v="0"/>
    <n v="0"/>
    <m/>
    <m/>
    <n v="0"/>
    <n v="0"/>
    <n v="0"/>
    <n v="0"/>
    <m/>
    <m/>
    <n v="0"/>
    <n v="0"/>
    <n v="0"/>
    <n v="0"/>
    <n v="4"/>
    <n v="47627.75"/>
    <n v="155876.10020000002"/>
    <n v="4"/>
    <n v="48859.5"/>
    <n v="159907.37160000001"/>
  </r>
  <r>
    <x v="1"/>
    <s v="Cossatot Community College of the University of Arkansas"/>
    <m/>
    <n v="106795"/>
    <x v="8"/>
    <m/>
    <m/>
    <n v="0"/>
    <n v="0"/>
    <n v="0"/>
    <n v="0"/>
    <m/>
    <m/>
    <n v="0"/>
    <n v="0"/>
    <n v="0"/>
    <n v="0"/>
    <m/>
    <m/>
    <n v="0"/>
    <n v="0"/>
    <n v="0"/>
    <n v="0"/>
    <m/>
    <m/>
    <n v="0"/>
    <n v="0"/>
    <n v="0"/>
    <n v="0"/>
    <m/>
    <m/>
    <n v="0"/>
    <n v="0"/>
    <n v="0"/>
    <n v="0"/>
    <n v="30"/>
    <n v="40518.666666666664"/>
    <n v="1215560"/>
    <n v="31"/>
    <n v="39934.774193548386"/>
    <n v="1237978"/>
    <m/>
    <m/>
    <n v="0"/>
    <n v="0"/>
    <n v="0"/>
    <n v="0"/>
    <m/>
    <m/>
    <n v="0"/>
    <n v="0"/>
    <n v="0"/>
    <n v="0"/>
    <m/>
    <m/>
    <n v="0"/>
    <n v="0"/>
    <n v="0"/>
    <n v="0"/>
    <m/>
    <m/>
    <n v="0"/>
    <n v="0"/>
    <n v="0"/>
    <n v="0"/>
    <m/>
    <m/>
    <n v="0"/>
    <n v="0"/>
    <n v="0"/>
    <n v="0"/>
    <n v="3"/>
    <n v="39708"/>
    <n v="97467.256800000003"/>
    <n v="3"/>
    <n v="39708.333333333336"/>
    <n v="97468.075000000012"/>
  </r>
  <r>
    <x v="1"/>
    <s v="East Arkansas Community College "/>
    <m/>
    <n v="106883"/>
    <x v="8"/>
    <m/>
    <m/>
    <n v="0"/>
    <n v="0"/>
    <n v="0"/>
    <n v="0"/>
    <m/>
    <m/>
    <n v="0"/>
    <n v="0"/>
    <n v="0"/>
    <n v="0"/>
    <m/>
    <m/>
    <n v="0"/>
    <n v="0"/>
    <n v="0"/>
    <n v="0"/>
    <m/>
    <m/>
    <n v="0"/>
    <n v="0"/>
    <n v="0"/>
    <n v="0"/>
    <m/>
    <m/>
    <n v="0"/>
    <n v="0"/>
    <n v="0"/>
    <n v="0"/>
    <n v="29"/>
    <n v="47739"/>
    <n v="1384431"/>
    <n v="28"/>
    <n v="46553.5"/>
    <n v="1303498"/>
    <m/>
    <m/>
    <n v="0"/>
    <n v="0"/>
    <n v="0"/>
    <n v="0"/>
    <m/>
    <m/>
    <n v="0"/>
    <n v="0"/>
    <n v="0"/>
    <n v="0"/>
    <m/>
    <m/>
    <n v="0"/>
    <n v="0"/>
    <n v="0"/>
    <n v="0"/>
    <m/>
    <m/>
    <n v="0"/>
    <n v="0"/>
    <n v="0"/>
    <n v="0"/>
    <m/>
    <m/>
    <n v="0"/>
    <n v="0"/>
    <n v="0"/>
    <n v="0"/>
    <n v="8"/>
    <n v="48159"/>
    <n v="315229.55040000001"/>
    <n v="6"/>
    <n v="50731.833333333336"/>
    <n v="249052.71620000002"/>
  </r>
  <r>
    <x v="1"/>
    <s v="Mid-South Community College "/>
    <m/>
    <n v="107318"/>
    <x v="8"/>
    <m/>
    <m/>
    <n v="0"/>
    <n v="0"/>
    <n v="0"/>
    <n v="0"/>
    <m/>
    <m/>
    <n v="0"/>
    <n v="0"/>
    <n v="0"/>
    <n v="0"/>
    <m/>
    <m/>
    <n v="0"/>
    <n v="0"/>
    <n v="0"/>
    <n v="0"/>
    <m/>
    <m/>
    <n v="0"/>
    <n v="0"/>
    <n v="0"/>
    <n v="0"/>
    <m/>
    <m/>
    <n v="0"/>
    <n v="0"/>
    <n v="0"/>
    <n v="0"/>
    <n v="23"/>
    <n v="41143"/>
    <n v="946289"/>
    <n v="28"/>
    <n v="41124.25"/>
    <n v="1151479"/>
    <m/>
    <m/>
    <n v="0"/>
    <n v="0"/>
    <n v="0"/>
    <n v="0"/>
    <m/>
    <m/>
    <n v="0"/>
    <n v="0"/>
    <n v="0"/>
    <n v="0"/>
    <m/>
    <m/>
    <n v="0"/>
    <n v="0"/>
    <n v="0"/>
    <n v="0"/>
    <m/>
    <m/>
    <n v="0"/>
    <n v="0"/>
    <n v="0"/>
    <n v="0"/>
    <m/>
    <m/>
    <n v="0"/>
    <n v="0"/>
    <n v="0"/>
    <n v="0"/>
    <n v="8"/>
    <n v="51813"/>
    <n v="339147.1728"/>
    <n v="12"/>
    <n v="56038.333333333336"/>
    <n v="550206.772"/>
  </r>
  <r>
    <x v="1"/>
    <s v="North Arkansas College"/>
    <m/>
    <n v="107460"/>
    <x v="8"/>
    <m/>
    <m/>
    <n v="0"/>
    <n v="0"/>
    <n v="0"/>
    <n v="0"/>
    <m/>
    <m/>
    <n v="0"/>
    <n v="0"/>
    <n v="0"/>
    <n v="0"/>
    <m/>
    <m/>
    <n v="0"/>
    <n v="0"/>
    <n v="0"/>
    <n v="0"/>
    <m/>
    <m/>
    <n v="0"/>
    <n v="0"/>
    <n v="0"/>
    <n v="0"/>
    <m/>
    <m/>
    <n v="0"/>
    <n v="0"/>
    <n v="0"/>
    <n v="0"/>
    <n v="57"/>
    <n v="48230.526315789473"/>
    <n v="2749140"/>
    <n v="56"/>
    <n v="46755.571428571428"/>
    <n v="2618312"/>
    <m/>
    <m/>
    <n v="0"/>
    <n v="0"/>
    <n v="0"/>
    <n v="0"/>
    <m/>
    <m/>
    <n v="0"/>
    <n v="0"/>
    <n v="0"/>
    <n v="0"/>
    <m/>
    <m/>
    <n v="0"/>
    <n v="0"/>
    <n v="0"/>
    <n v="0"/>
    <m/>
    <m/>
    <n v="0"/>
    <n v="0"/>
    <n v="0"/>
    <n v="0"/>
    <m/>
    <m/>
    <n v="0"/>
    <n v="0"/>
    <n v="0"/>
    <n v="0"/>
    <n v="9"/>
    <n v="55377.777777777781"/>
    <n v="407790.88"/>
    <n v="9"/>
    <n v="56043.111111111109"/>
    <n v="412690.26160000003"/>
  </r>
  <r>
    <x v="1"/>
    <s v="Ouachita Technical College "/>
    <m/>
    <n v="107521"/>
    <x v="8"/>
    <m/>
    <m/>
    <n v="0"/>
    <n v="0"/>
    <n v="0"/>
    <n v="0"/>
    <m/>
    <m/>
    <n v="0"/>
    <n v="0"/>
    <n v="0"/>
    <n v="0"/>
    <m/>
    <m/>
    <n v="0"/>
    <n v="0"/>
    <n v="0"/>
    <n v="0"/>
    <m/>
    <m/>
    <n v="0"/>
    <n v="0"/>
    <n v="0"/>
    <n v="0"/>
    <m/>
    <m/>
    <n v="0"/>
    <n v="0"/>
    <n v="0"/>
    <n v="0"/>
    <n v="32"/>
    <n v="41905.625"/>
    <n v="1340980"/>
    <n v="32"/>
    <n v="43168.21875"/>
    <n v="1381383"/>
    <m/>
    <m/>
    <n v="0"/>
    <n v="0"/>
    <n v="0"/>
    <n v="0"/>
    <m/>
    <m/>
    <n v="0"/>
    <n v="0"/>
    <n v="0"/>
    <n v="0"/>
    <m/>
    <m/>
    <n v="0"/>
    <n v="0"/>
    <n v="0"/>
    <n v="0"/>
    <m/>
    <m/>
    <n v="0"/>
    <n v="0"/>
    <n v="0"/>
    <n v="0"/>
    <m/>
    <m/>
    <n v="0"/>
    <n v="0"/>
    <n v="0"/>
    <n v="0"/>
    <n v="7"/>
    <n v="41613"/>
    <n v="238334.29620000001"/>
    <n v="8"/>
    <n v="41268.875"/>
    <n v="270129.54820000002"/>
  </r>
  <r>
    <x v="1"/>
    <s v="Ozarka College "/>
    <m/>
    <n v="107549"/>
    <x v="8"/>
    <m/>
    <m/>
    <n v="0"/>
    <n v="0"/>
    <n v="0"/>
    <n v="0"/>
    <m/>
    <m/>
    <n v="0"/>
    <n v="0"/>
    <n v="0"/>
    <n v="0"/>
    <m/>
    <m/>
    <n v="0"/>
    <n v="0"/>
    <n v="0"/>
    <n v="0"/>
    <m/>
    <m/>
    <n v="0"/>
    <n v="0"/>
    <n v="0"/>
    <n v="0"/>
    <m/>
    <m/>
    <n v="0"/>
    <n v="0"/>
    <n v="0"/>
    <n v="0"/>
    <n v="27"/>
    <n v="39860.888888888891"/>
    <n v="1076244"/>
    <n v="28"/>
    <n v="39972.892857142855"/>
    <n v="1119241"/>
    <m/>
    <m/>
    <n v="0"/>
    <n v="0"/>
    <n v="0"/>
    <n v="0"/>
    <m/>
    <m/>
    <n v="0"/>
    <n v="0"/>
    <n v="0"/>
    <n v="0"/>
    <m/>
    <m/>
    <n v="0"/>
    <n v="0"/>
    <n v="0"/>
    <n v="0"/>
    <m/>
    <m/>
    <n v="0"/>
    <n v="0"/>
    <n v="0"/>
    <n v="0"/>
    <m/>
    <m/>
    <n v="0"/>
    <n v="0"/>
    <n v="0"/>
    <n v="0"/>
    <n v="6"/>
    <n v="48734.166666666664"/>
    <n v="239245.77100000001"/>
    <n v="7"/>
    <n v="48835.428571428572"/>
    <n v="279700.03360000002"/>
  </r>
  <r>
    <x v="1"/>
    <s v="Phillips Community College of the Univ of Arkansas"/>
    <m/>
    <n v="107619"/>
    <x v="8"/>
    <m/>
    <m/>
    <n v="0"/>
    <n v="0"/>
    <n v="0"/>
    <n v="0"/>
    <m/>
    <m/>
    <n v="0"/>
    <n v="0"/>
    <n v="0"/>
    <n v="0"/>
    <m/>
    <m/>
    <n v="0"/>
    <n v="0"/>
    <n v="0"/>
    <n v="0"/>
    <m/>
    <m/>
    <n v="0"/>
    <n v="0"/>
    <n v="0"/>
    <n v="0"/>
    <m/>
    <m/>
    <n v="0"/>
    <n v="0"/>
    <n v="0"/>
    <n v="0"/>
    <n v="66"/>
    <n v="38149.030303030304"/>
    <n v="2517836"/>
    <n v="66"/>
    <n v="38803.07575757576"/>
    <n v="2561003"/>
    <m/>
    <m/>
    <n v="0"/>
    <n v="0"/>
    <n v="0"/>
    <n v="0"/>
    <m/>
    <m/>
    <n v="0"/>
    <n v="0"/>
    <n v="0"/>
    <n v="0"/>
    <m/>
    <m/>
    <n v="0"/>
    <n v="0"/>
    <n v="0"/>
    <n v="0"/>
    <m/>
    <m/>
    <n v="0"/>
    <n v="0"/>
    <n v="0"/>
    <n v="0"/>
    <m/>
    <m/>
    <n v="0"/>
    <n v="0"/>
    <n v="0"/>
    <n v="0"/>
    <n v="13"/>
    <n v="46474.846153846156"/>
    <n v="494334.34860000003"/>
    <n v="13"/>
    <n v="46360.846153846156"/>
    <n v="493121.77620000002"/>
  </r>
  <r>
    <x v="1"/>
    <s v="Rich Mountain Community College "/>
    <m/>
    <n v="107743"/>
    <x v="8"/>
    <m/>
    <m/>
    <n v="0"/>
    <n v="0"/>
    <n v="0"/>
    <n v="0"/>
    <m/>
    <m/>
    <n v="0"/>
    <n v="0"/>
    <n v="0"/>
    <n v="0"/>
    <m/>
    <m/>
    <n v="0"/>
    <n v="0"/>
    <n v="0"/>
    <n v="0"/>
    <m/>
    <m/>
    <n v="0"/>
    <n v="0"/>
    <n v="0"/>
    <n v="0"/>
    <m/>
    <m/>
    <n v="0"/>
    <n v="0"/>
    <n v="0"/>
    <n v="0"/>
    <n v="18"/>
    <n v="48360.833333333336"/>
    <n v="870495"/>
    <n v="19"/>
    <n v="47491.210526315786"/>
    <n v="902333"/>
    <m/>
    <m/>
    <n v="0"/>
    <n v="0"/>
    <n v="0"/>
    <n v="0"/>
    <m/>
    <m/>
    <n v="0"/>
    <n v="0"/>
    <n v="0"/>
    <n v="0"/>
    <m/>
    <m/>
    <n v="0"/>
    <n v="0"/>
    <n v="0"/>
    <n v="0"/>
    <m/>
    <m/>
    <n v="0"/>
    <n v="0"/>
    <n v="0"/>
    <n v="0"/>
    <m/>
    <m/>
    <n v="0"/>
    <n v="0"/>
    <n v="0"/>
    <n v="0"/>
    <n v="2"/>
    <n v="50889"/>
    <n v="83274.759600000005"/>
    <n v="2"/>
    <n v="37396.5"/>
    <n v="61195.632600000004"/>
  </r>
  <r>
    <x v="1"/>
    <s v="South Arkansas Community College"/>
    <m/>
    <n v="107974"/>
    <x v="8"/>
    <m/>
    <m/>
    <n v="0"/>
    <n v="0"/>
    <n v="0"/>
    <n v="0"/>
    <m/>
    <m/>
    <n v="0"/>
    <n v="0"/>
    <n v="0"/>
    <n v="0"/>
    <m/>
    <m/>
    <n v="0"/>
    <n v="0"/>
    <n v="0"/>
    <n v="0"/>
    <m/>
    <m/>
    <n v="0"/>
    <n v="0"/>
    <n v="0"/>
    <n v="0"/>
    <m/>
    <m/>
    <n v="0"/>
    <n v="0"/>
    <n v="0"/>
    <n v="0"/>
    <n v="31"/>
    <n v="47160.451612903227"/>
    <n v="1461974"/>
    <n v="32"/>
    <n v="44506"/>
    <n v="1424192"/>
    <m/>
    <m/>
    <n v="0"/>
    <n v="0"/>
    <n v="0"/>
    <n v="0"/>
    <m/>
    <m/>
    <n v="0"/>
    <n v="0"/>
    <n v="0"/>
    <n v="0"/>
    <m/>
    <m/>
    <n v="0"/>
    <n v="0"/>
    <n v="0"/>
    <n v="0"/>
    <m/>
    <m/>
    <n v="0"/>
    <n v="0"/>
    <n v="0"/>
    <n v="0"/>
    <m/>
    <m/>
    <n v="0"/>
    <n v="0"/>
    <n v="0"/>
    <n v="0"/>
    <n v="28"/>
    <n v="50443.607142857145"/>
    <n v="1155642.8622000001"/>
    <n v="29"/>
    <n v="50320.137931034486"/>
    <n v="1193986.1688000001"/>
  </r>
  <r>
    <x v="1"/>
    <s v="Southeast Arkansas College"/>
    <m/>
    <n v="107637"/>
    <x v="8"/>
    <m/>
    <m/>
    <n v="0"/>
    <n v="0"/>
    <n v="0"/>
    <n v="0"/>
    <m/>
    <m/>
    <n v="0"/>
    <n v="0"/>
    <n v="0"/>
    <n v="0"/>
    <m/>
    <m/>
    <n v="0"/>
    <n v="0"/>
    <n v="0"/>
    <n v="0"/>
    <m/>
    <m/>
    <n v="0"/>
    <n v="0"/>
    <n v="0"/>
    <n v="0"/>
    <m/>
    <m/>
    <n v="0"/>
    <n v="0"/>
    <n v="0"/>
    <n v="0"/>
    <n v="37"/>
    <n v="46226.135135135133"/>
    <n v="1710367"/>
    <n v="43"/>
    <n v="42465.860465116282"/>
    <n v="1826032.0000000002"/>
    <m/>
    <m/>
    <n v="0"/>
    <n v="0"/>
    <n v="0"/>
    <n v="0"/>
    <m/>
    <m/>
    <n v="0"/>
    <n v="0"/>
    <n v="0"/>
    <n v="0"/>
    <m/>
    <m/>
    <n v="0"/>
    <n v="0"/>
    <n v="0"/>
    <n v="0"/>
    <m/>
    <m/>
    <n v="0"/>
    <n v="0"/>
    <n v="0"/>
    <n v="0"/>
    <m/>
    <m/>
    <n v="0"/>
    <n v="0"/>
    <n v="0"/>
    <n v="0"/>
    <n v="6"/>
    <n v="54426"/>
    <n v="267188.11920000002"/>
    <n v="5"/>
    <n v="53877.4"/>
    <n v="220412.44340000002"/>
  </r>
  <r>
    <x v="1"/>
    <s v="Southern Arkansas University Tech"/>
    <m/>
    <n v="107992"/>
    <x v="8"/>
    <m/>
    <m/>
    <n v="0"/>
    <n v="0"/>
    <n v="0"/>
    <n v="0"/>
    <m/>
    <m/>
    <n v="0"/>
    <n v="0"/>
    <n v="0"/>
    <n v="0"/>
    <m/>
    <m/>
    <n v="0"/>
    <n v="0"/>
    <n v="0"/>
    <n v="0"/>
    <m/>
    <m/>
    <n v="0"/>
    <n v="0"/>
    <n v="0"/>
    <n v="0"/>
    <m/>
    <m/>
    <n v="0"/>
    <n v="0"/>
    <n v="0"/>
    <n v="0"/>
    <n v="23"/>
    <n v="42625.695652173912"/>
    <n v="980391"/>
    <n v="22"/>
    <n v="42151.36363636364"/>
    <n v="927330.00000000012"/>
    <m/>
    <m/>
    <n v="0"/>
    <n v="0"/>
    <n v="0"/>
    <n v="0"/>
    <m/>
    <m/>
    <n v="0"/>
    <n v="0"/>
    <n v="0"/>
    <n v="0"/>
    <m/>
    <m/>
    <n v="0"/>
    <n v="0"/>
    <n v="0"/>
    <n v="0"/>
    <m/>
    <m/>
    <n v="0"/>
    <n v="0"/>
    <n v="0"/>
    <n v="0"/>
    <m/>
    <m/>
    <n v="0"/>
    <n v="0"/>
    <n v="0"/>
    <n v="0"/>
    <n v="9"/>
    <n v="46817.222222222219"/>
    <n v="344752.66100000002"/>
    <n v="9"/>
    <n v="45626.555555555555"/>
    <n v="335984.82980000001"/>
  </r>
  <r>
    <x v="1"/>
    <s v="University of Arkansas Community College at Batesville"/>
    <m/>
    <n v="106999"/>
    <x v="8"/>
    <m/>
    <m/>
    <n v="0"/>
    <n v="0"/>
    <n v="0"/>
    <n v="0"/>
    <m/>
    <m/>
    <n v="0"/>
    <n v="0"/>
    <n v="0"/>
    <n v="0"/>
    <m/>
    <m/>
    <n v="0"/>
    <n v="0"/>
    <n v="0"/>
    <n v="0"/>
    <m/>
    <m/>
    <n v="0"/>
    <n v="0"/>
    <n v="0"/>
    <n v="0"/>
    <m/>
    <m/>
    <n v="0"/>
    <n v="0"/>
    <n v="0"/>
    <n v="0"/>
    <n v="29"/>
    <n v="39759.827586206899"/>
    <n v="1153035"/>
    <n v="31"/>
    <n v="40681.483870967742"/>
    <n v="1261126"/>
    <m/>
    <m/>
    <n v="0"/>
    <n v="0"/>
    <n v="0"/>
    <n v="0"/>
    <m/>
    <m/>
    <n v="0"/>
    <n v="0"/>
    <n v="0"/>
    <n v="0"/>
    <m/>
    <m/>
    <n v="0"/>
    <n v="0"/>
    <n v="0"/>
    <n v="0"/>
    <m/>
    <m/>
    <n v="0"/>
    <n v="0"/>
    <n v="0"/>
    <n v="0"/>
    <m/>
    <m/>
    <n v="0"/>
    <n v="0"/>
    <n v="0"/>
    <n v="0"/>
    <n v="20"/>
    <n v="46377.15"/>
    <n v="758915.68260000006"/>
    <n v="18"/>
    <n v="50229.722222222219"/>
    <n v="739763.25699999998"/>
  </r>
  <r>
    <x v="1"/>
    <s v="University of Arkansas Community College at Hope"/>
    <m/>
    <n v="107725"/>
    <x v="8"/>
    <m/>
    <m/>
    <n v="0"/>
    <n v="0"/>
    <n v="0"/>
    <n v="0"/>
    <m/>
    <m/>
    <n v="0"/>
    <n v="0"/>
    <n v="0"/>
    <n v="0"/>
    <m/>
    <m/>
    <n v="0"/>
    <n v="0"/>
    <n v="0"/>
    <n v="0"/>
    <m/>
    <m/>
    <n v="0"/>
    <n v="0"/>
    <n v="0"/>
    <n v="0"/>
    <m/>
    <m/>
    <n v="0"/>
    <n v="0"/>
    <n v="0"/>
    <n v="0"/>
    <n v="35"/>
    <n v="39671.314285714288"/>
    <n v="1388496"/>
    <n v="32"/>
    <n v="39593.5"/>
    <n v="1266992"/>
    <m/>
    <m/>
    <n v="0"/>
    <n v="0"/>
    <n v="0"/>
    <n v="0"/>
    <m/>
    <m/>
    <n v="0"/>
    <n v="0"/>
    <n v="0"/>
    <n v="0"/>
    <m/>
    <m/>
    <n v="0"/>
    <n v="0"/>
    <n v="0"/>
    <n v="0"/>
    <m/>
    <m/>
    <n v="0"/>
    <n v="0"/>
    <n v="0"/>
    <n v="0"/>
    <m/>
    <m/>
    <n v="0"/>
    <n v="0"/>
    <n v="0"/>
    <n v="0"/>
    <n v="5"/>
    <n v="63059.6"/>
    <n v="257976.8236"/>
    <n v="6"/>
    <n v="61883"/>
    <n v="303796.02360000001"/>
  </r>
  <r>
    <x v="1"/>
    <s v="University of Arkansas Community College at Morrilton"/>
    <m/>
    <n v="107585"/>
    <x v="8"/>
    <m/>
    <m/>
    <n v="0"/>
    <n v="0"/>
    <n v="0"/>
    <n v="0"/>
    <m/>
    <m/>
    <n v="0"/>
    <n v="0"/>
    <n v="0"/>
    <n v="0"/>
    <m/>
    <m/>
    <n v="0"/>
    <n v="0"/>
    <n v="0"/>
    <n v="0"/>
    <m/>
    <m/>
    <n v="0"/>
    <n v="0"/>
    <n v="0"/>
    <n v="0"/>
    <m/>
    <m/>
    <n v="0"/>
    <n v="0"/>
    <n v="0"/>
    <n v="0"/>
    <n v="60"/>
    <n v="39525"/>
    <n v="2371500"/>
    <n v="68"/>
    <n v="40233.823529411762"/>
    <n v="2735900"/>
    <m/>
    <m/>
    <n v="0"/>
    <n v="0"/>
    <n v="0"/>
    <n v="0"/>
    <m/>
    <m/>
    <n v="0"/>
    <n v="0"/>
    <n v="0"/>
    <n v="0"/>
    <m/>
    <m/>
    <n v="0"/>
    <n v="0"/>
    <n v="0"/>
    <n v="0"/>
    <m/>
    <m/>
    <n v="0"/>
    <n v="0"/>
    <n v="0"/>
    <n v="0"/>
    <m/>
    <m/>
    <n v="0"/>
    <n v="0"/>
    <n v="0"/>
    <n v="0"/>
    <m/>
    <m/>
    <n v="0"/>
    <n v="0"/>
    <n v="0"/>
    <n v="0"/>
  </r>
  <r>
    <x v="2"/>
    <s v="University of Delaware"/>
    <m/>
    <n v="130943"/>
    <x v="0"/>
    <n v="338"/>
    <n v="133938"/>
    <n v="45271044"/>
    <n v="340"/>
    <n v="135635"/>
    <n v="46115900"/>
    <n v="325"/>
    <n v="89943"/>
    <n v="29231475"/>
    <n v="330"/>
    <n v="91859"/>
    <n v="30313470"/>
    <n v="271"/>
    <n v="76216"/>
    <n v="20654536"/>
    <n v="275"/>
    <n v="78538"/>
    <n v="21597950"/>
    <n v="95"/>
    <n v="60577"/>
    <n v="5754815"/>
    <n v="94"/>
    <n v="61766"/>
    <n v="5806004"/>
    <n v="0"/>
    <m/>
    <n v="0"/>
    <n v="0"/>
    <m/>
    <n v="0"/>
    <m/>
    <m/>
    <n v="0"/>
    <m/>
    <m/>
    <n v="0"/>
    <n v="41"/>
    <n v="154782"/>
    <n v="5192347.9284000006"/>
    <n v="39"/>
    <n v="153510"/>
    <n v="4898473.398"/>
    <n v="17"/>
    <n v="104556"/>
    <n v="1454311.2264"/>
    <n v="20"/>
    <n v="108597"/>
    <n v="1777081.3080000002"/>
    <n v="16"/>
    <n v="84656"/>
    <n v="1108248.6272"/>
    <n v="15"/>
    <n v="81047"/>
    <n v="994689.83100000001"/>
    <n v="9"/>
    <n v="67403"/>
    <n v="496342.21140000003"/>
    <n v="13"/>
    <n v="65579"/>
    <n v="697537.59140000003"/>
    <n v="0"/>
    <m/>
    <n v="0"/>
    <n v="0"/>
    <m/>
    <n v="0"/>
    <m/>
    <m/>
    <n v="0"/>
    <m/>
    <m/>
    <n v="0"/>
  </r>
  <r>
    <x v="2"/>
    <s v="Delaware State University"/>
    <s v="Met the criteria for Four-Year 3 in 2010-11."/>
    <n v="130934"/>
    <x v="3"/>
    <n v="27"/>
    <n v="82539"/>
    <n v="2228553"/>
    <n v="20"/>
    <n v="80156"/>
    <n v="1603120"/>
    <n v="56"/>
    <n v="67908"/>
    <n v="3802848"/>
    <n v="62"/>
    <n v="67605"/>
    <n v="4191510"/>
    <n v="48"/>
    <n v="61894"/>
    <n v="2970912"/>
    <n v="53"/>
    <n v="61599"/>
    <n v="3264747"/>
    <n v="3"/>
    <n v="45715"/>
    <n v="137145"/>
    <n v="11"/>
    <n v="56856"/>
    <n v="625416"/>
    <n v="1"/>
    <n v="38786"/>
    <n v="38786"/>
    <n v="2"/>
    <n v="41893"/>
    <n v="83786"/>
    <m/>
    <m/>
    <n v="0"/>
    <m/>
    <m/>
    <n v="0"/>
    <n v="18"/>
    <n v="98383"/>
    <n v="1448945.4708"/>
    <n v="16"/>
    <n v="95348"/>
    <n v="1248219.7376000001"/>
    <n v="24"/>
    <n v="68318"/>
    <n v="1341546.9024"/>
    <n v="24"/>
    <n v="69440"/>
    <n v="1363579.392"/>
    <n v="12"/>
    <n v="61750"/>
    <n v="606286.20000000007"/>
    <n v="10"/>
    <n v="61421"/>
    <n v="502546.62200000003"/>
    <n v="1"/>
    <n v="75752"/>
    <n v="61980.286400000005"/>
    <n v="0"/>
    <m/>
    <n v="0"/>
    <m/>
    <m/>
    <n v="0"/>
    <m/>
    <m/>
    <n v="0"/>
    <m/>
    <m/>
    <n v="0"/>
    <m/>
    <m/>
    <n v="0"/>
  </r>
  <r>
    <x v="2"/>
    <s v="Delaware Technical and Community College--Owens"/>
    <m/>
    <n v="130891"/>
    <x v="7"/>
    <m/>
    <m/>
    <n v="0"/>
    <m/>
    <m/>
    <n v="0"/>
    <m/>
    <m/>
    <n v="0"/>
    <m/>
    <m/>
    <n v="0"/>
    <m/>
    <m/>
    <n v="0"/>
    <m/>
    <m/>
    <n v="0"/>
    <m/>
    <m/>
    <n v="0"/>
    <m/>
    <m/>
    <n v="0"/>
    <m/>
    <m/>
    <n v="0"/>
    <m/>
    <m/>
    <n v="0"/>
    <n v="79"/>
    <n v="62461"/>
    <n v="4934419"/>
    <n v="80"/>
    <n v="63759"/>
    <n v="5100720"/>
    <m/>
    <m/>
    <n v="0"/>
    <m/>
    <m/>
    <n v="0"/>
    <m/>
    <m/>
    <n v="0"/>
    <m/>
    <m/>
    <n v="0"/>
    <m/>
    <m/>
    <n v="0"/>
    <m/>
    <m/>
    <n v="0"/>
    <m/>
    <m/>
    <n v="0"/>
    <m/>
    <m/>
    <n v="0"/>
    <m/>
    <m/>
    <n v="0"/>
    <m/>
    <m/>
    <n v="0"/>
    <n v="38"/>
    <n v="77857"/>
    <n v="2420698.7012"/>
    <n v="41"/>
    <n v="77530"/>
    <n v="2600836.8859999999"/>
  </r>
  <r>
    <x v="2"/>
    <s v="Delaware Technical and Community College--Stanton-Wilmington"/>
    <s v="Met the criteria for Two-Year 1 in 2009-10 and in 2010-11."/>
    <n v="130916"/>
    <x v="7"/>
    <m/>
    <m/>
    <n v="0"/>
    <m/>
    <m/>
    <n v="0"/>
    <m/>
    <m/>
    <n v="0"/>
    <m/>
    <m/>
    <n v="0"/>
    <m/>
    <m/>
    <n v="0"/>
    <m/>
    <m/>
    <n v="0"/>
    <m/>
    <m/>
    <n v="0"/>
    <m/>
    <m/>
    <n v="0"/>
    <m/>
    <m/>
    <n v="0"/>
    <m/>
    <m/>
    <n v="0"/>
    <n v="131"/>
    <n v="62463"/>
    <n v="8182653"/>
    <n v="134"/>
    <n v="63911"/>
    <n v="8564074"/>
    <m/>
    <m/>
    <n v="0"/>
    <m/>
    <m/>
    <n v="0"/>
    <m/>
    <m/>
    <n v="0"/>
    <m/>
    <m/>
    <n v="0"/>
    <m/>
    <m/>
    <n v="0"/>
    <m/>
    <m/>
    <n v="0"/>
    <m/>
    <m/>
    <n v="0"/>
    <m/>
    <m/>
    <n v="0"/>
    <m/>
    <m/>
    <n v="0"/>
    <m/>
    <m/>
    <n v="0"/>
    <n v="47"/>
    <n v="78237"/>
    <n v="3008635.1298000002"/>
    <n v="45"/>
    <n v="78306"/>
    <n v="2883148.6140000001"/>
  </r>
  <r>
    <x v="2"/>
    <s v="Delaware Technical and Community College--Terry"/>
    <m/>
    <n v="130907"/>
    <x v="8"/>
    <m/>
    <m/>
    <n v="0"/>
    <m/>
    <m/>
    <n v="0"/>
    <m/>
    <m/>
    <n v="0"/>
    <m/>
    <m/>
    <n v="0"/>
    <m/>
    <m/>
    <n v="0"/>
    <m/>
    <m/>
    <n v="0"/>
    <m/>
    <m/>
    <n v="0"/>
    <m/>
    <m/>
    <n v="0"/>
    <m/>
    <m/>
    <n v="0"/>
    <m/>
    <m/>
    <n v="0"/>
    <n v="60"/>
    <n v="61808"/>
    <n v="3708480"/>
    <n v="60"/>
    <n v="63681"/>
    <n v="3820860"/>
    <m/>
    <m/>
    <n v="0"/>
    <m/>
    <m/>
    <n v="0"/>
    <m/>
    <m/>
    <n v="0"/>
    <m/>
    <m/>
    <n v="0"/>
    <m/>
    <m/>
    <n v="0"/>
    <m/>
    <m/>
    <n v="0"/>
    <m/>
    <m/>
    <n v="0"/>
    <m/>
    <m/>
    <n v="0"/>
    <m/>
    <m/>
    <n v="0"/>
    <m/>
    <m/>
    <n v="0"/>
    <n v="21"/>
    <n v="78582"/>
    <n v="1350211.6404000001"/>
    <n v="24"/>
    <n v="77979"/>
    <n v="1531258.0272000001"/>
  </r>
  <r>
    <x v="3"/>
    <s v="Florida International University"/>
    <m/>
    <n v="133951"/>
    <x v="0"/>
    <n v="192"/>
    <n v="108693.78953125002"/>
    <n v="20869207.590000004"/>
    <n v="198"/>
    <n v="112485.42545454546"/>
    <n v="22272114.240000002"/>
    <n v="250"/>
    <n v="76961.629440000019"/>
    <n v="19240407.360000003"/>
    <n v="248"/>
    <n v="81294.390846774186"/>
    <n v="20161008.93"/>
    <n v="216"/>
    <n v="72399.994444444455"/>
    <n v="15638398.800000003"/>
    <n v="211"/>
    <n v="73105.763270142183"/>
    <n v="15425316.050000001"/>
    <n v="93"/>
    <n v="52911.172043010753"/>
    <n v="4920739"/>
    <n v="111"/>
    <n v="53853.389009009006"/>
    <n v="5977726.1799999997"/>
    <n v="41"/>
    <n v="60236.756097560974"/>
    <n v="2469707"/>
    <n v="40"/>
    <n v="65280"/>
    <n v="2611200"/>
    <m/>
    <m/>
    <n v="0"/>
    <m/>
    <m/>
    <n v="0"/>
    <n v="15"/>
    <n v="171217.99266666669"/>
    <n v="2101358.4239980001"/>
    <n v="17"/>
    <n v="197040.34882352941"/>
    <n v="2740713.0279259998"/>
    <n v="13"/>
    <n v="128350.01076923076"/>
    <n v="1365207.7245479999"/>
    <n v="11"/>
    <n v="119851.94545454545"/>
    <n v="1078691.47948"/>
    <n v="6"/>
    <n v="100801.70666666667"/>
    <n v="494855.73836800002"/>
    <n v="8"/>
    <n v="102716.58875"/>
    <n v="672341.70332199999"/>
    <n v="7"/>
    <n v="92415.71"/>
    <n v="529301.73745400005"/>
    <n v="9"/>
    <n v="86410.183333333334"/>
    <n v="636307.30803000007"/>
    <n v="8"/>
    <n v="78682.816250000003"/>
    <n v="515026.24204600003"/>
    <n v="7"/>
    <n v="88181.349999999991"/>
    <n v="505049.86398999998"/>
    <m/>
    <m/>
    <n v="0"/>
    <m/>
    <m/>
    <n v="0"/>
  </r>
  <r>
    <x v="3"/>
    <s v="Florida State University "/>
    <m/>
    <n v="134097"/>
    <x v="0"/>
    <n v="431"/>
    <n v="103921.64965197215"/>
    <n v="44790231"/>
    <n v="442"/>
    <n v="103432.64027149322"/>
    <n v="45717227"/>
    <n v="355"/>
    <n v="72933.078873239443"/>
    <n v="25891243.000000004"/>
    <n v="342"/>
    <n v="73725.54678362573"/>
    <n v="25214137"/>
    <n v="273"/>
    <n v="70818.593406593413"/>
    <n v="19333476"/>
    <n v="239"/>
    <n v="72372.456066945611"/>
    <n v="17297017"/>
    <n v="8"/>
    <n v="36474"/>
    <n v="291792"/>
    <n v="4"/>
    <n v="34267.5"/>
    <n v="137070"/>
    <n v="122"/>
    <n v="52600.918030000001"/>
    <n v="6417311.9996600002"/>
    <n v="117"/>
    <n v="52866.837606837609"/>
    <n v="6185420"/>
    <m/>
    <m/>
    <n v="0"/>
    <m/>
    <m/>
    <n v="0"/>
    <n v="4"/>
    <n v="163413.5"/>
    <n v="534819.70279999997"/>
    <n v="5"/>
    <n v="149330.79999999999"/>
    <n v="610912.30280000006"/>
    <n v="1"/>
    <n v="123020"/>
    <n v="100654.96400000001"/>
    <m/>
    <m/>
    <n v="0"/>
    <n v="1"/>
    <n v="65000"/>
    <n v="53183"/>
    <n v="1"/>
    <n v="66000"/>
    <n v="54001.200000000004"/>
    <m/>
    <m/>
    <n v="0"/>
    <n v="1"/>
    <n v="36000"/>
    <n v="29455.200000000001"/>
    <n v="98"/>
    <n v="67709.806122448979"/>
    <n v="5429216.0102000004"/>
    <n v="97"/>
    <n v="67485.47422680413"/>
    <n v="5356011.656200001"/>
    <m/>
    <m/>
    <n v="0"/>
    <m/>
    <m/>
    <n v="0"/>
  </r>
  <r>
    <x v="3"/>
    <s v="University of Central Florida "/>
    <m/>
    <n v="132903"/>
    <x v="0"/>
    <n v="196"/>
    <n v="111081.27040816327"/>
    <n v="21771929"/>
    <n v="200"/>
    <n v="111912.2"/>
    <n v="22382440"/>
    <n v="301"/>
    <n v="76171.953488372092"/>
    <n v="22927758"/>
    <n v="296"/>
    <n v="76835.138513513521"/>
    <n v="22743201.000000004"/>
    <n v="200"/>
    <n v="64463.945"/>
    <n v="12892789"/>
    <n v="198"/>
    <n v="63603.984848484848"/>
    <n v="12593589"/>
    <n v="225"/>
    <n v="44494.897777777776"/>
    <n v="10011352"/>
    <n v="256"/>
    <n v="44946.38671875"/>
    <n v="11506275"/>
    <n v="54"/>
    <n v="56036.555555555555"/>
    <n v="3025974"/>
    <n v="62"/>
    <n v="56754.661290322583"/>
    <n v="3518789"/>
    <m/>
    <m/>
    <n v="0"/>
    <m/>
    <m/>
    <n v="0"/>
    <n v="48"/>
    <n v="165258.5625"/>
    <n v="6490298.6802000003"/>
    <n v="46"/>
    <n v="163851.17391304349"/>
    <n v="6166899.4028000003"/>
    <n v="15"/>
    <n v="120800"/>
    <n v="1482578.4000000001"/>
    <n v="19"/>
    <n v="132341.31578947368"/>
    <n v="2057351.6270000001"/>
    <n v="5"/>
    <n v="110683"/>
    <n v="452804.15300000005"/>
    <n v="11"/>
    <n v="132597.27272727274"/>
    <n v="1193401.9740000002"/>
    <n v="50"/>
    <n v="60172.04"/>
    <n v="2461638.1564000002"/>
    <n v="54"/>
    <n v="58996.592592592591"/>
    <n v="2606634.6512000002"/>
    <n v="3"/>
    <n v="96525.333333333328"/>
    <n v="236931.08320000002"/>
    <n v="3"/>
    <n v="97050"/>
    <n v="238218.93000000002"/>
    <m/>
    <m/>
    <n v="0"/>
    <m/>
    <m/>
    <n v="0"/>
  </r>
  <r>
    <x v="3"/>
    <s v="University of Florida"/>
    <m/>
    <n v="134130"/>
    <x v="0"/>
    <n v="479"/>
    <n v="120227.46822546973"/>
    <n v="57588957.280000001"/>
    <n v="470"/>
    <n v="125476.27234042554"/>
    <n v="58973848"/>
    <n v="407"/>
    <n v="76289.744447174453"/>
    <n v="31049925.990000002"/>
    <n v="418"/>
    <n v="81057.363636363632"/>
    <n v="33881978"/>
    <n v="285"/>
    <n v="67276.11922807018"/>
    <n v="19173693.98"/>
    <n v="282"/>
    <n v="73116.907801418434"/>
    <n v="20618968"/>
    <m/>
    <m/>
    <n v="0"/>
    <m/>
    <m/>
    <n v="0"/>
    <n v="126"/>
    <n v="53823.490476190484"/>
    <n v="6781759.8000000007"/>
    <n v="133"/>
    <n v="56910.977443609023"/>
    <n v="7569160"/>
    <m/>
    <m/>
    <n v="0"/>
    <m/>
    <m/>
    <n v="0"/>
    <n v="224"/>
    <n v="134746.18758928572"/>
    <n v="24695850.073564004"/>
    <n v="219"/>
    <n v="140314.27397260274"/>
    <n v="25142325.433200002"/>
    <n v="167"/>
    <n v="90130.382874251489"/>
    <n v="12315361.437708"/>
    <n v="171"/>
    <n v="94579.233918128652"/>
    <n v="13232788.6918"/>
    <n v="236"/>
    <n v="73149.077076271191"/>
    <n v="14124735.667858001"/>
    <n v="232"/>
    <n v="76558.625"/>
    <n v="14532541.938200001"/>
    <m/>
    <m/>
    <n v="0"/>
    <m/>
    <m/>
    <n v="0"/>
    <n v="63"/>
    <n v="72821.151587301589"/>
    <n v="3753682.7724100002"/>
    <n v="67"/>
    <n v="75887.507462686568"/>
    <n v="4160107.6266000001"/>
    <m/>
    <m/>
    <n v="0"/>
    <m/>
    <m/>
    <n v="0"/>
  </r>
  <r>
    <x v="3"/>
    <s v="University of South Florida "/>
    <m/>
    <n v="137351"/>
    <x v="0"/>
    <n v="265"/>
    <n v="107116.69056603774"/>
    <n v="28385923"/>
    <n v="279"/>
    <n v="108733.74551971327"/>
    <n v="30336715"/>
    <n v="313"/>
    <n v="77028.993610223639"/>
    <n v="24110075"/>
    <n v="316"/>
    <n v="77253.465189873416"/>
    <n v="24412095"/>
    <n v="307"/>
    <n v="66074.807947882728"/>
    <n v="20284966.039999999"/>
    <n v="311"/>
    <n v="67640.816720257237"/>
    <n v="21036294"/>
    <n v="132"/>
    <n v="53263.909090909088"/>
    <n v="7030836"/>
    <n v="147"/>
    <n v="53529.394557823129"/>
    <n v="7868821"/>
    <n v="14"/>
    <n v="54160.5"/>
    <n v="758247"/>
    <n v="9"/>
    <n v="52629.111111111109"/>
    <n v="473662"/>
    <m/>
    <m/>
    <n v="0"/>
    <m/>
    <m/>
    <n v="0"/>
    <n v="71"/>
    <n v="130444.14084507042"/>
    <n v="7577787.1188000003"/>
    <n v="68"/>
    <n v="134360.66176470587"/>
    <n v="7475504.7549999999"/>
    <n v="48"/>
    <n v="93584.041666666672"/>
    <n v="3675382.2188000004"/>
    <n v="55"/>
    <n v="95552.654545454541"/>
    <n v="4299965.0071999999"/>
    <n v="57"/>
    <n v="76842.578947368427"/>
    <n v="3583738.0914000003"/>
    <n v="53"/>
    <n v="76724.75471698113"/>
    <n v="3327138.2984000002"/>
    <n v="83"/>
    <n v="58307.674698795177"/>
    <n v="3959709.1734000002"/>
    <n v="77"/>
    <n v="58835.038961038961"/>
    <n v="3706689.8236000002"/>
    <n v="2"/>
    <n v="58939.5"/>
    <n v="96448.597800000003"/>
    <n v="2"/>
    <n v="59807"/>
    <n v="97868.174800000008"/>
    <m/>
    <m/>
    <n v="0"/>
    <m/>
    <m/>
    <n v="0"/>
  </r>
  <r>
    <x v="3"/>
    <s v="Florida Atlantic University "/>
    <m/>
    <n v="133669"/>
    <x v="1"/>
    <n v="193"/>
    <n v="91885.8056476684"/>
    <n v="17733960.490000002"/>
    <n v="189"/>
    <n v="96491.153439153437"/>
    <n v="18236828"/>
    <n v="217"/>
    <n v="70788.164147465461"/>
    <n v="15361031.620000005"/>
    <n v="216"/>
    <n v="72057.481481481474"/>
    <n v="15564415.999999998"/>
    <n v="172"/>
    <n v="62203.706453488383"/>
    <n v="10699037.510000002"/>
    <n v="160"/>
    <n v="64214.393750000003"/>
    <n v="10274303"/>
    <n v="138"/>
    <n v="44021.462028985508"/>
    <n v="6074961.7599999998"/>
    <n v="152"/>
    <n v="46307.21710526316"/>
    <n v="7038697"/>
    <n v="2"/>
    <n v="49873.66"/>
    <n v="99747.32"/>
    <n v="2"/>
    <n v="50924.5"/>
    <n v="101849"/>
    <m/>
    <m/>
    <n v="0"/>
    <m/>
    <m/>
    <n v="0"/>
    <n v="5"/>
    <n v="128613.65400000001"/>
    <n v="526158.45851400006"/>
    <n v="4"/>
    <n v="128481.25"/>
    <n v="420493.435"/>
    <n v="16"/>
    <n v="89270.108124999999"/>
    <n v="1168652.8394860001"/>
    <n v="14"/>
    <n v="94300.28571428571"/>
    <n v="1080190.9128"/>
    <n v="5"/>
    <n v="70468.542000000001"/>
    <n v="288286.80532200006"/>
    <n v="6"/>
    <n v="72221"/>
    <n v="354547.33319999999"/>
    <n v="29"/>
    <n v="62288.638965517239"/>
    <n v="1477972.3676460001"/>
    <n v="30"/>
    <n v="67658.2"/>
    <n v="1660738.1772"/>
    <n v="2"/>
    <n v="82480.264999999999"/>
    <n v="134970.70564600002"/>
    <n v="1"/>
    <n v="72157"/>
    <n v="59038.857400000001"/>
    <m/>
    <m/>
    <n v="0"/>
    <m/>
    <m/>
    <n v="0"/>
  </r>
  <r>
    <x v="3"/>
    <s v="Florida Agricultural &amp; Mechanical University "/>
    <m/>
    <n v="133650"/>
    <x v="2"/>
    <n v="89"/>
    <n v="85846.842696629217"/>
    <n v="7640369"/>
    <n v="85"/>
    <n v="87729.623529411765"/>
    <n v="7457018"/>
    <n v="121"/>
    <n v="71196.760330578516"/>
    <n v="8614808"/>
    <n v="124"/>
    <n v="72496.661290322576"/>
    <n v="8989586"/>
    <n v="120"/>
    <n v="60400.05"/>
    <n v="7248006"/>
    <n v="114"/>
    <n v="61973.973684210527"/>
    <n v="7065033"/>
    <n v="45"/>
    <n v="53821.933333333334"/>
    <n v="2421987"/>
    <n v="42"/>
    <n v="52771.214285714283"/>
    <n v="2216391"/>
    <m/>
    <m/>
    <n v="0"/>
    <n v="0"/>
    <n v="0"/>
    <n v="0"/>
    <m/>
    <m/>
    <n v="0"/>
    <m/>
    <m/>
    <n v="0"/>
    <n v="75"/>
    <n v="105656.38666666667"/>
    <n v="6483604.1677999999"/>
    <n v="74"/>
    <n v="103653.94594594595"/>
    <n v="6275914.7344000004"/>
    <n v="56"/>
    <n v="90128.625"/>
    <n v="4129621.4946000003"/>
    <n v="55"/>
    <n v="90655.2"/>
    <n v="4079574.6552000004"/>
    <n v="58"/>
    <n v="74276.655172413797"/>
    <n v="3524843.2372000003"/>
    <n v="52"/>
    <n v="76161.480769230766"/>
    <n v="3240396.8254"/>
    <n v="26"/>
    <n v="57515.346153846156"/>
    <n v="1223535.4618000002"/>
    <n v="27"/>
    <n v="59160.333333333336"/>
    <n v="1306934.5878000001"/>
    <m/>
    <m/>
    <n v="0"/>
    <m/>
    <m/>
    <n v="0"/>
    <m/>
    <m/>
    <n v="0"/>
    <m/>
    <m/>
    <n v="0"/>
  </r>
  <r>
    <x v="3"/>
    <s v="University of North Florida"/>
    <m/>
    <n v="136172"/>
    <x v="2"/>
    <n v="71"/>
    <n v="92010.611830985916"/>
    <n v="6532753.4400000004"/>
    <n v="67"/>
    <n v="91211.67164179105"/>
    <n v="6111182"/>
    <n v="124"/>
    <n v="66910.524193548394"/>
    <n v="8296905.0000000009"/>
    <n v="127"/>
    <n v="66596.716535433065"/>
    <n v="8457783"/>
    <n v="159"/>
    <n v="54150.38993710692"/>
    <n v="8609912"/>
    <n v="146"/>
    <n v="55262.219178082189"/>
    <n v="8068284"/>
    <n v="77"/>
    <n v="43578.038961038961"/>
    <n v="3355509"/>
    <n v="75"/>
    <n v="43268.386666666665"/>
    <n v="3245129"/>
    <n v="4"/>
    <n v="41000"/>
    <n v="164000"/>
    <n v="1"/>
    <n v="40000"/>
    <n v="40000"/>
    <m/>
    <m/>
    <n v="0"/>
    <m/>
    <m/>
    <n v="0"/>
    <n v="12"/>
    <n v="129503.78166666666"/>
    <n v="1271519.929916"/>
    <n v="10"/>
    <n v="132857"/>
    <n v="1087035.9740000002"/>
    <n v="14"/>
    <n v="103553.78571428571"/>
    <n v="1186187.9046"/>
    <n v="8"/>
    <n v="109326.25"/>
    <n v="715605.902"/>
    <n v="1"/>
    <n v="80000"/>
    <n v="65456"/>
    <n v="4"/>
    <n v="96750"/>
    <n v="316643.40000000002"/>
    <n v="9"/>
    <n v="68225.444444444438"/>
    <n v="502398.52780000004"/>
    <n v="5"/>
    <n v="66643.8"/>
    <n v="272639.78580000001"/>
    <n v="21"/>
    <n v="44505.809523809527"/>
    <n v="764707.72039999999"/>
    <n v="7"/>
    <n v="46103.714285714283"/>
    <n v="264054.41320000001"/>
    <m/>
    <m/>
    <n v="0"/>
    <m/>
    <m/>
    <n v="0"/>
  </r>
  <r>
    <x v="3"/>
    <s v="University of West Florida"/>
    <m/>
    <n v="138354"/>
    <x v="2"/>
    <n v="51"/>
    <n v="87564.470588235301"/>
    <n v="4465788"/>
    <n v="53"/>
    <n v="88849.018867924533"/>
    <n v="4708998"/>
    <n v="76"/>
    <n v="64934.723684210527"/>
    <n v="4935039"/>
    <n v="79"/>
    <n v="65568.936708860754"/>
    <n v="5179946"/>
    <n v="70"/>
    <n v="55248.214285714283"/>
    <n v="3867375"/>
    <n v="68"/>
    <n v="56020.75"/>
    <n v="3809411"/>
    <n v="27"/>
    <n v="43898.111111111109"/>
    <n v="1185249"/>
    <n v="27"/>
    <n v="43700.555555555555"/>
    <n v="1179915"/>
    <n v="10"/>
    <n v="45051.6"/>
    <n v="450516"/>
    <n v="8"/>
    <n v="46864"/>
    <n v="374912"/>
    <m/>
    <m/>
    <n v="0"/>
    <m/>
    <m/>
    <n v="0"/>
    <n v="16"/>
    <n v="110864.0625"/>
    <n v="1451343.615"/>
    <n v="15"/>
    <n v="114868.73333333334"/>
    <n v="1409783.9642"/>
    <n v="11"/>
    <n v="92902.272727272721"/>
    <n v="836139.03499999992"/>
    <n v="10"/>
    <n v="93163"/>
    <n v="762259.66600000008"/>
    <n v="5"/>
    <n v="69147.8"/>
    <n v="282883.64980000001"/>
    <n v="4"/>
    <n v="65911.75"/>
    <n v="215715.9754"/>
    <n v="15"/>
    <n v="53042.8"/>
    <n v="650994.2844"/>
    <n v="10"/>
    <n v="58591.1"/>
    <n v="479392.38020000001"/>
    <n v="31"/>
    <n v="58084.483870967742"/>
    <n v="1473266.4658000001"/>
    <n v="29"/>
    <n v="58929.758620689652"/>
    <n v="1398273.5266"/>
    <m/>
    <m/>
    <n v="0"/>
    <m/>
    <m/>
    <n v="0"/>
  </r>
  <r>
    <x v="3"/>
    <s v="Florida Gulf Coast University"/>
    <m/>
    <n v="433660"/>
    <x v="3"/>
    <n v="43"/>
    <n v="88427.255813953481"/>
    <n v="3802371.9999999995"/>
    <n v="46"/>
    <n v="86391.195652173919"/>
    <n v="3973995.0000000005"/>
    <n v="82"/>
    <n v="69103.85365853658"/>
    <n v="5666516"/>
    <n v="81"/>
    <n v="70359.617283950618"/>
    <n v="5699129"/>
    <n v="102"/>
    <n v="56736.696078431371"/>
    <n v="5787143"/>
    <n v="106"/>
    <n v="55292.943396226416"/>
    <n v="5861052"/>
    <n v="58"/>
    <n v="40568.896551724138"/>
    <n v="2352996"/>
    <n v="70"/>
    <n v="41290.542857142857"/>
    <n v="2890338"/>
    <n v="3"/>
    <n v="44666.666666666664"/>
    <n v="134000"/>
    <n v="0"/>
    <n v="0"/>
    <n v="0"/>
    <m/>
    <m/>
    <n v="0"/>
    <m/>
    <m/>
    <n v="0"/>
    <n v="15"/>
    <n v="116476.46666666666"/>
    <n v="1429515.6754000001"/>
    <n v="18"/>
    <n v="115922.55555555556"/>
    <n v="1707261.0292"/>
    <n v="11"/>
    <n v="97230.909090909088"/>
    <n v="875097.62800000003"/>
    <n v="14"/>
    <n v="94400.142857142855"/>
    <n v="1081334.7564000001"/>
    <n v="13"/>
    <n v="78555.538461538468"/>
    <n v="835563.8404000001"/>
    <n v="18"/>
    <n v="75494.777777777781"/>
    <n v="1111856.8892000001"/>
    <n v="21"/>
    <n v="67270.333333333328"/>
    <n v="1155852.3214"/>
    <n v="20"/>
    <n v="65934.45"/>
    <n v="1078951.3398"/>
    <m/>
    <m/>
    <n v="0"/>
    <m/>
    <m/>
    <n v="0"/>
    <m/>
    <m/>
    <n v="0"/>
    <m/>
    <m/>
    <n v="0"/>
  </r>
  <r>
    <x v="3"/>
    <s v="New College of Florida"/>
    <m/>
    <n v="262129"/>
    <x v="5"/>
    <n v="21"/>
    <n v="85990.142857142855"/>
    <n v="1805793"/>
    <n v="24"/>
    <n v="82860.049583333326"/>
    <n v="1988641.19"/>
    <n v="27"/>
    <n v="67331.444444444438"/>
    <n v="1817948.9999999998"/>
    <n v="24"/>
    <n v="66594.874639999995"/>
    <n v="1598276.9913599999"/>
    <n v="11"/>
    <n v="109469"/>
    <n v="1204159"/>
    <n v="22"/>
    <n v="55388.154999999999"/>
    <n v="1218539.4099999999"/>
    <n v="1"/>
    <n v="42021"/>
    <n v="42021"/>
    <n v="1"/>
    <n v="42020.78"/>
    <n v="42020.78"/>
    <m/>
    <m/>
    <n v="0"/>
    <n v="0"/>
    <n v="0"/>
    <n v="0"/>
    <m/>
    <m/>
    <n v="0"/>
    <m/>
    <m/>
    <n v="0"/>
    <m/>
    <m/>
    <n v="0"/>
    <m/>
    <m/>
    <n v="0"/>
    <m/>
    <m/>
    <n v="0"/>
    <m/>
    <m/>
    <n v="0"/>
    <m/>
    <m/>
    <n v="0"/>
    <m/>
    <m/>
    <n v="0"/>
    <m/>
    <m/>
    <n v="0"/>
    <m/>
    <m/>
    <n v="0"/>
    <m/>
    <m/>
    <n v="0"/>
    <m/>
    <m/>
    <n v="0"/>
    <m/>
    <m/>
    <n v="0"/>
    <m/>
    <m/>
    <n v="0"/>
  </r>
  <r>
    <x v="3"/>
    <s v="Chipola College "/>
    <m/>
    <n v="133021"/>
    <x v="11"/>
    <m/>
    <m/>
    <n v="0"/>
    <m/>
    <m/>
    <n v="0"/>
    <m/>
    <m/>
    <n v="0"/>
    <m/>
    <m/>
    <n v="0"/>
    <m/>
    <m/>
    <n v="0"/>
    <m/>
    <m/>
    <n v="0"/>
    <m/>
    <m/>
    <n v="0"/>
    <m/>
    <m/>
    <n v="0"/>
    <m/>
    <m/>
    <n v="0"/>
    <m/>
    <m/>
    <n v="0"/>
    <n v="43"/>
    <n v="44187"/>
    <n v="1900041"/>
    <n v="43"/>
    <n v="44018"/>
    <n v="1892774"/>
    <m/>
    <m/>
    <n v="0"/>
    <m/>
    <m/>
    <n v="0"/>
    <m/>
    <m/>
    <n v="0"/>
    <m/>
    <m/>
    <n v="0"/>
    <m/>
    <m/>
    <n v="0"/>
    <m/>
    <m/>
    <n v="0"/>
    <m/>
    <m/>
    <n v="0"/>
    <m/>
    <m/>
    <n v="0"/>
    <m/>
    <m/>
    <n v="0"/>
    <m/>
    <m/>
    <n v="0"/>
    <m/>
    <m/>
    <n v="0"/>
    <m/>
    <m/>
    <n v="0"/>
  </r>
  <r>
    <x v="3"/>
    <s v="Daytona State College "/>
    <s v="Formerly Daytona Beacah Community College."/>
    <n v="133386"/>
    <x v="11"/>
    <m/>
    <m/>
    <n v="0"/>
    <m/>
    <m/>
    <n v="0"/>
    <m/>
    <m/>
    <n v="0"/>
    <m/>
    <m/>
    <n v="0"/>
    <m/>
    <m/>
    <n v="0"/>
    <m/>
    <m/>
    <n v="0"/>
    <m/>
    <m/>
    <n v="0"/>
    <m/>
    <m/>
    <n v="0"/>
    <m/>
    <m/>
    <n v="0"/>
    <m/>
    <m/>
    <n v="0"/>
    <n v="274"/>
    <n v="58280"/>
    <n v="15968720"/>
    <n v="307"/>
    <n v="60462"/>
    <n v="18561834"/>
    <m/>
    <m/>
    <n v="0"/>
    <m/>
    <m/>
    <n v="0"/>
    <m/>
    <m/>
    <n v="0"/>
    <m/>
    <m/>
    <n v="0"/>
    <m/>
    <m/>
    <n v="0"/>
    <m/>
    <m/>
    <n v="0"/>
    <m/>
    <m/>
    <n v="0"/>
    <m/>
    <m/>
    <n v="0"/>
    <m/>
    <m/>
    <n v="0"/>
    <m/>
    <m/>
    <n v="0"/>
    <m/>
    <m/>
    <n v="0"/>
    <m/>
    <m/>
    <n v="0"/>
  </r>
  <r>
    <x v="3"/>
    <s v="Edison State College "/>
    <s v="Reclassified: met the criteria for Two-Year with Bachelor's in 2008-09, 2009-10 and 2010-11"/>
    <n v="133508"/>
    <x v="11"/>
    <m/>
    <m/>
    <n v="0"/>
    <m/>
    <m/>
    <n v="0"/>
    <m/>
    <m/>
    <n v="0"/>
    <m/>
    <m/>
    <n v="0"/>
    <m/>
    <m/>
    <n v="0"/>
    <m/>
    <m/>
    <n v="0"/>
    <m/>
    <m/>
    <n v="0"/>
    <m/>
    <m/>
    <n v="0"/>
    <m/>
    <m/>
    <n v="0"/>
    <m/>
    <m/>
    <n v="0"/>
    <n v="124"/>
    <n v="52538"/>
    <n v="6514712"/>
    <n v="140"/>
    <n v="55324"/>
    <n v="7745360"/>
    <m/>
    <m/>
    <n v="0"/>
    <m/>
    <m/>
    <n v="0"/>
    <m/>
    <m/>
    <n v="0"/>
    <m/>
    <m/>
    <n v="0"/>
    <m/>
    <m/>
    <n v="0"/>
    <m/>
    <m/>
    <n v="0"/>
    <m/>
    <m/>
    <n v="0"/>
    <m/>
    <m/>
    <n v="0"/>
    <m/>
    <m/>
    <n v="0"/>
    <m/>
    <m/>
    <n v="0"/>
    <m/>
    <m/>
    <n v="0"/>
    <m/>
    <m/>
    <n v="0"/>
  </r>
  <r>
    <x v="3"/>
    <s v="Miami Dade College "/>
    <m/>
    <n v="135717"/>
    <x v="11"/>
    <m/>
    <m/>
    <n v="0"/>
    <m/>
    <m/>
    <n v="0"/>
    <m/>
    <m/>
    <n v="0"/>
    <m/>
    <m/>
    <n v="0"/>
    <m/>
    <m/>
    <n v="0"/>
    <m/>
    <m/>
    <n v="0"/>
    <m/>
    <m/>
    <n v="0"/>
    <m/>
    <m/>
    <n v="0"/>
    <m/>
    <m/>
    <n v="0"/>
    <m/>
    <m/>
    <n v="0"/>
    <n v="663"/>
    <n v="59987"/>
    <n v="39771381"/>
    <n v="658"/>
    <n v="60235"/>
    <n v="39634630"/>
    <m/>
    <m/>
    <n v="0"/>
    <m/>
    <m/>
    <n v="0"/>
    <m/>
    <m/>
    <n v="0"/>
    <m/>
    <m/>
    <n v="0"/>
    <m/>
    <m/>
    <n v="0"/>
    <m/>
    <m/>
    <n v="0"/>
    <m/>
    <m/>
    <n v="0"/>
    <m/>
    <m/>
    <n v="0"/>
    <m/>
    <m/>
    <n v="0"/>
    <m/>
    <m/>
    <n v="0"/>
    <m/>
    <m/>
    <n v="0"/>
    <m/>
    <m/>
    <n v="0"/>
  </r>
  <r>
    <x v="3"/>
    <s v="Northwest Florida State College"/>
    <m/>
    <n v="136233"/>
    <x v="11"/>
    <m/>
    <m/>
    <n v="0"/>
    <m/>
    <m/>
    <n v="0"/>
    <m/>
    <m/>
    <n v="0"/>
    <m/>
    <m/>
    <n v="0"/>
    <m/>
    <m/>
    <n v="0"/>
    <m/>
    <m/>
    <n v="0"/>
    <m/>
    <m/>
    <n v="0"/>
    <m/>
    <m/>
    <n v="0"/>
    <m/>
    <m/>
    <n v="0"/>
    <m/>
    <m/>
    <n v="0"/>
    <n v="95"/>
    <n v="55024"/>
    <n v="5227280"/>
    <n v="94"/>
    <n v="54723"/>
    <n v="5143962"/>
    <m/>
    <m/>
    <n v="0"/>
    <m/>
    <m/>
    <n v="0"/>
    <m/>
    <m/>
    <n v="0"/>
    <m/>
    <m/>
    <n v="0"/>
    <m/>
    <m/>
    <n v="0"/>
    <m/>
    <m/>
    <n v="0"/>
    <m/>
    <m/>
    <n v="0"/>
    <m/>
    <m/>
    <n v="0"/>
    <m/>
    <m/>
    <n v="0"/>
    <m/>
    <m/>
    <n v="0"/>
    <m/>
    <m/>
    <n v="0"/>
    <m/>
    <m/>
    <n v="0"/>
  </r>
  <r>
    <x v="3"/>
    <s v="St. Petersburg College "/>
    <m/>
    <n v="137078"/>
    <x v="11"/>
    <m/>
    <m/>
    <n v="0"/>
    <m/>
    <m/>
    <n v="0"/>
    <m/>
    <m/>
    <n v="0"/>
    <m/>
    <m/>
    <n v="0"/>
    <m/>
    <m/>
    <n v="0"/>
    <m/>
    <m/>
    <n v="0"/>
    <m/>
    <m/>
    <n v="0"/>
    <m/>
    <m/>
    <n v="0"/>
    <m/>
    <m/>
    <n v="0"/>
    <m/>
    <m/>
    <n v="0"/>
    <n v="309"/>
    <n v="56617"/>
    <n v="17494653"/>
    <n v="325"/>
    <n v="58860"/>
    <n v="19129500"/>
    <m/>
    <m/>
    <n v="0"/>
    <m/>
    <m/>
    <n v="0"/>
    <m/>
    <m/>
    <n v="0"/>
    <m/>
    <m/>
    <n v="0"/>
    <m/>
    <m/>
    <n v="0"/>
    <m/>
    <m/>
    <n v="0"/>
    <m/>
    <m/>
    <n v="0"/>
    <m/>
    <m/>
    <n v="0"/>
    <m/>
    <m/>
    <n v="0"/>
    <m/>
    <m/>
    <n v="0"/>
    <m/>
    <m/>
    <n v="0"/>
    <m/>
    <m/>
    <n v="0"/>
  </r>
  <r>
    <x v="3"/>
    <s v="Brevard Community College "/>
    <m/>
    <n v="132693"/>
    <x v="6"/>
    <m/>
    <m/>
    <n v="0"/>
    <m/>
    <m/>
    <n v="0"/>
    <m/>
    <m/>
    <n v="0"/>
    <m/>
    <m/>
    <n v="0"/>
    <m/>
    <m/>
    <n v="0"/>
    <m/>
    <m/>
    <n v="0"/>
    <m/>
    <m/>
    <n v="0"/>
    <m/>
    <m/>
    <n v="0"/>
    <m/>
    <m/>
    <n v="0"/>
    <m/>
    <m/>
    <n v="0"/>
    <n v="219"/>
    <n v="52544"/>
    <n v="11507136"/>
    <n v="243"/>
    <n v="53659"/>
    <n v="13039137"/>
    <m/>
    <m/>
    <n v="0"/>
    <m/>
    <m/>
    <n v="0"/>
    <m/>
    <m/>
    <n v="0"/>
    <m/>
    <m/>
    <n v="0"/>
    <m/>
    <m/>
    <n v="0"/>
    <m/>
    <m/>
    <n v="0"/>
    <m/>
    <m/>
    <n v="0"/>
    <m/>
    <m/>
    <n v="0"/>
    <m/>
    <m/>
    <n v="0"/>
    <m/>
    <m/>
    <n v="0"/>
    <m/>
    <m/>
    <n v="0"/>
    <m/>
    <m/>
    <n v="0"/>
  </r>
  <r>
    <x v="3"/>
    <s v="Broward College "/>
    <s v="Formerly Broward Community College."/>
    <n v="132709"/>
    <x v="6"/>
    <m/>
    <m/>
    <n v="0"/>
    <m/>
    <m/>
    <n v="0"/>
    <m/>
    <m/>
    <n v="0"/>
    <m/>
    <m/>
    <n v="0"/>
    <m/>
    <m/>
    <n v="0"/>
    <m/>
    <m/>
    <n v="0"/>
    <m/>
    <m/>
    <n v="0"/>
    <m/>
    <m/>
    <n v="0"/>
    <m/>
    <m/>
    <n v="0"/>
    <m/>
    <m/>
    <n v="0"/>
    <n v="367"/>
    <n v="56485"/>
    <n v="20729995"/>
    <n v="382"/>
    <n v="56134"/>
    <n v="21443188"/>
    <m/>
    <m/>
    <n v="0"/>
    <m/>
    <m/>
    <n v="0"/>
    <m/>
    <m/>
    <n v="0"/>
    <m/>
    <m/>
    <n v="0"/>
    <m/>
    <m/>
    <n v="0"/>
    <m/>
    <m/>
    <n v="0"/>
    <m/>
    <m/>
    <n v="0"/>
    <m/>
    <m/>
    <n v="0"/>
    <m/>
    <m/>
    <n v="0"/>
    <m/>
    <m/>
    <n v="0"/>
    <m/>
    <m/>
    <n v="0"/>
    <m/>
    <m/>
    <n v="0"/>
  </r>
  <r>
    <x v="3"/>
    <s v="College of Central Florida"/>
    <s v="Reclassified: met the criteria for Two-Year 1 in 2008-09, 2009-10 and 2010-11. Formerly Central Florida Community College. "/>
    <n v="132851"/>
    <x v="6"/>
    <m/>
    <m/>
    <n v="0"/>
    <m/>
    <m/>
    <n v="0"/>
    <m/>
    <m/>
    <n v="0"/>
    <m/>
    <m/>
    <n v="0"/>
    <m/>
    <m/>
    <n v="0"/>
    <m/>
    <m/>
    <n v="0"/>
    <m/>
    <m/>
    <n v="0"/>
    <m/>
    <m/>
    <n v="0"/>
    <m/>
    <m/>
    <n v="0"/>
    <m/>
    <m/>
    <n v="0"/>
    <n v="116"/>
    <n v="56210"/>
    <n v="6520360"/>
    <n v="127"/>
    <n v="47512"/>
    <n v="6034024"/>
    <m/>
    <m/>
    <n v="0"/>
    <m/>
    <m/>
    <n v="0"/>
    <m/>
    <m/>
    <n v="0"/>
    <m/>
    <m/>
    <n v="0"/>
    <m/>
    <m/>
    <n v="0"/>
    <m/>
    <m/>
    <n v="0"/>
    <m/>
    <m/>
    <n v="0"/>
    <m/>
    <m/>
    <n v="0"/>
    <m/>
    <m/>
    <n v="0"/>
    <m/>
    <m/>
    <n v="0"/>
    <m/>
    <m/>
    <n v="0"/>
    <m/>
    <m/>
    <n v="0"/>
  </r>
  <r>
    <x v="3"/>
    <s v="Florida State College at Jacksonville"/>
    <s v="Formerly Florida Community College at Jacksonville. Met the criteria for Two-Year with Bachelor's in 2009-10 and 2010-11."/>
    <n v="133702"/>
    <x v="6"/>
    <m/>
    <m/>
    <n v="0"/>
    <m/>
    <m/>
    <n v="0"/>
    <m/>
    <m/>
    <n v="0"/>
    <m/>
    <m/>
    <n v="0"/>
    <m/>
    <m/>
    <n v="0"/>
    <m/>
    <m/>
    <n v="0"/>
    <m/>
    <m/>
    <n v="0"/>
    <m/>
    <m/>
    <n v="0"/>
    <m/>
    <m/>
    <n v="0"/>
    <m/>
    <m/>
    <n v="0"/>
    <n v="384"/>
    <n v="47236"/>
    <n v="18138624"/>
    <n v="395"/>
    <n v="48371"/>
    <n v="19106545"/>
    <m/>
    <m/>
    <n v="0"/>
    <m/>
    <m/>
    <n v="0"/>
    <m/>
    <m/>
    <n v="0"/>
    <m/>
    <m/>
    <n v="0"/>
    <m/>
    <m/>
    <n v="0"/>
    <m/>
    <m/>
    <n v="0"/>
    <m/>
    <m/>
    <n v="0"/>
    <m/>
    <m/>
    <n v="0"/>
    <m/>
    <m/>
    <n v="0"/>
    <m/>
    <m/>
    <n v="0"/>
    <m/>
    <m/>
    <n v="0"/>
    <m/>
    <m/>
    <n v="0"/>
  </r>
  <r>
    <x v="3"/>
    <s v="Hillsborough Community College "/>
    <m/>
    <n v="134495"/>
    <x v="6"/>
    <m/>
    <m/>
    <n v="0"/>
    <m/>
    <m/>
    <n v="0"/>
    <m/>
    <m/>
    <n v="0"/>
    <m/>
    <m/>
    <n v="0"/>
    <m/>
    <m/>
    <n v="0"/>
    <m/>
    <m/>
    <n v="0"/>
    <m/>
    <m/>
    <n v="0"/>
    <m/>
    <m/>
    <n v="0"/>
    <m/>
    <m/>
    <n v="0"/>
    <m/>
    <m/>
    <n v="0"/>
    <n v="282"/>
    <n v="51933"/>
    <n v="14645106"/>
    <n v="292"/>
    <n v="52000"/>
    <n v="15184000"/>
    <m/>
    <m/>
    <n v="0"/>
    <m/>
    <m/>
    <n v="0"/>
    <m/>
    <m/>
    <n v="0"/>
    <m/>
    <m/>
    <n v="0"/>
    <m/>
    <m/>
    <n v="0"/>
    <m/>
    <m/>
    <n v="0"/>
    <m/>
    <m/>
    <n v="0"/>
    <m/>
    <m/>
    <n v="0"/>
    <m/>
    <m/>
    <n v="0"/>
    <m/>
    <m/>
    <n v="0"/>
    <m/>
    <m/>
    <n v="0"/>
    <m/>
    <m/>
    <n v="0"/>
  </r>
  <r>
    <x v="3"/>
    <s v="Indian River State College "/>
    <s v="Formerly Indian River Community College. Met the criteria for Two-Year with Bachelor's in 2009-10 and 2010-11."/>
    <n v="134608"/>
    <x v="6"/>
    <m/>
    <m/>
    <n v="0"/>
    <m/>
    <m/>
    <n v="0"/>
    <m/>
    <m/>
    <n v="0"/>
    <m/>
    <m/>
    <n v="0"/>
    <m/>
    <m/>
    <n v="0"/>
    <m/>
    <m/>
    <n v="0"/>
    <m/>
    <m/>
    <n v="0"/>
    <m/>
    <m/>
    <n v="0"/>
    <m/>
    <m/>
    <n v="0"/>
    <m/>
    <m/>
    <n v="0"/>
    <n v="179"/>
    <n v="64633"/>
    <n v="11569307"/>
    <n v="185"/>
    <n v="66822"/>
    <n v="12362070"/>
    <m/>
    <m/>
    <n v="0"/>
    <m/>
    <m/>
    <n v="0"/>
    <m/>
    <m/>
    <n v="0"/>
    <m/>
    <m/>
    <n v="0"/>
    <m/>
    <m/>
    <n v="0"/>
    <m/>
    <m/>
    <n v="0"/>
    <m/>
    <m/>
    <n v="0"/>
    <m/>
    <m/>
    <n v="0"/>
    <m/>
    <m/>
    <n v="0"/>
    <m/>
    <m/>
    <n v="0"/>
    <m/>
    <m/>
    <n v="0"/>
    <m/>
    <m/>
    <n v="0"/>
  </r>
  <r>
    <x v="3"/>
    <s v="Palm Beach State College "/>
    <s v="Formerly Palm Beach Community College."/>
    <n v="136358"/>
    <x v="6"/>
    <m/>
    <m/>
    <n v="0"/>
    <m/>
    <m/>
    <n v="0"/>
    <m/>
    <m/>
    <n v="0"/>
    <m/>
    <m/>
    <n v="0"/>
    <m/>
    <m/>
    <n v="0"/>
    <m/>
    <m/>
    <n v="0"/>
    <m/>
    <m/>
    <n v="0"/>
    <m/>
    <m/>
    <n v="0"/>
    <m/>
    <m/>
    <n v="0"/>
    <m/>
    <m/>
    <n v="0"/>
    <n v="250"/>
    <n v="55491"/>
    <n v="13872750"/>
    <n v="283"/>
    <n v="54910"/>
    <n v="15539530"/>
    <m/>
    <m/>
    <n v="0"/>
    <m/>
    <m/>
    <n v="0"/>
    <m/>
    <m/>
    <n v="0"/>
    <m/>
    <m/>
    <n v="0"/>
    <m/>
    <m/>
    <n v="0"/>
    <m/>
    <m/>
    <n v="0"/>
    <m/>
    <m/>
    <n v="0"/>
    <m/>
    <m/>
    <n v="0"/>
    <m/>
    <m/>
    <n v="0"/>
    <m/>
    <m/>
    <n v="0"/>
    <m/>
    <m/>
    <n v="0"/>
    <m/>
    <m/>
    <n v="0"/>
  </r>
  <r>
    <x v="3"/>
    <s v="Pasco-Hernando Community College "/>
    <m/>
    <n v="136400"/>
    <x v="6"/>
    <m/>
    <m/>
    <n v="0"/>
    <m/>
    <m/>
    <n v="0"/>
    <m/>
    <m/>
    <n v="0"/>
    <m/>
    <m/>
    <n v="0"/>
    <m/>
    <m/>
    <n v="0"/>
    <m/>
    <m/>
    <n v="0"/>
    <m/>
    <m/>
    <n v="0"/>
    <m/>
    <m/>
    <n v="0"/>
    <m/>
    <m/>
    <n v="0"/>
    <m/>
    <m/>
    <n v="0"/>
    <n v="109"/>
    <n v="50611"/>
    <n v="5516599"/>
    <n v="118"/>
    <n v="51207"/>
    <n v="6042426"/>
    <m/>
    <m/>
    <n v="0"/>
    <m/>
    <m/>
    <n v="0"/>
    <m/>
    <m/>
    <n v="0"/>
    <m/>
    <m/>
    <n v="0"/>
    <m/>
    <m/>
    <n v="0"/>
    <m/>
    <m/>
    <n v="0"/>
    <m/>
    <m/>
    <n v="0"/>
    <m/>
    <m/>
    <n v="0"/>
    <m/>
    <m/>
    <n v="0"/>
    <m/>
    <m/>
    <n v="0"/>
    <m/>
    <m/>
    <n v="0"/>
    <m/>
    <m/>
    <n v="0"/>
  </r>
  <r>
    <x v="3"/>
    <s v="Pensacola State College "/>
    <s v="Formerly Pensacola Junior College."/>
    <n v="136473"/>
    <x v="6"/>
    <m/>
    <m/>
    <n v="0"/>
    <m/>
    <m/>
    <n v="0"/>
    <m/>
    <m/>
    <n v="0"/>
    <m/>
    <m/>
    <n v="0"/>
    <m/>
    <m/>
    <n v="0"/>
    <m/>
    <m/>
    <n v="0"/>
    <m/>
    <m/>
    <n v="0"/>
    <m/>
    <m/>
    <n v="0"/>
    <m/>
    <m/>
    <n v="0"/>
    <m/>
    <m/>
    <n v="0"/>
    <n v="196"/>
    <n v="48017"/>
    <n v="9411332"/>
    <n v="192"/>
    <n v="49024"/>
    <n v="9412608"/>
    <m/>
    <m/>
    <n v="0"/>
    <m/>
    <m/>
    <n v="0"/>
    <m/>
    <m/>
    <n v="0"/>
    <m/>
    <m/>
    <n v="0"/>
    <m/>
    <m/>
    <n v="0"/>
    <m/>
    <m/>
    <n v="0"/>
    <m/>
    <m/>
    <n v="0"/>
    <m/>
    <m/>
    <n v="0"/>
    <m/>
    <m/>
    <n v="0"/>
    <m/>
    <m/>
    <n v="0"/>
    <m/>
    <m/>
    <n v="0"/>
    <m/>
    <m/>
    <n v="0"/>
  </r>
  <r>
    <x v="3"/>
    <s v="Polk State College "/>
    <s v="Formerly Polk Community College."/>
    <n v="136516"/>
    <x v="6"/>
    <m/>
    <m/>
    <n v="0"/>
    <m/>
    <m/>
    <n v="0"/>
    <m/>
    <m/>
    <n v="0"/>
    <m/>
    <m/>
    <n v="0"/>
    <m/>
    <m/>
    <n v="0"/>
    <m/>
    <m/>
    <n v="0"/>
    <m/>
    <m/>
    <n v="0"/>
    <m/>
    <m/>
    <n v="0"/>
    <m/>
    <m/>
    <n v="0"/>
    <m/>
    <m/>
    <n v="0"/>
    <n v="125"/>
    <n v="46684"/>
    <n v="5835500"/>
    <n v="125"/>
    <n v="47942"/>
    <n v="5992750"/>
    <m/>
    <m/>
    <n v="0"/>
    <m/>
    <m/>
    <n v="0"/>
    <m/>
    <m/>
    <n v="0"/>
    <m/>
    <m/>
    <n v="0"/>
    <m/>
    <m/>
    <n v="0"/>
    <m/>
    <m/>
    <n v="0"/>
    <m/>
    <m/>
    <n v="0"/>
    <m/>
    <m/>
    <n v="0"/>
    <m/>
    <m/>
    <n v="0"/>
    <m/>
    <m/>
    <n v="0"/>
    <m/>
    <m/>
    <n v="0"/>
    <m/>
    <m/>
    <n v="0"/>
  </r>
  <r>
    <x v="3"/>
    <s v="Santa Fe College "/>
    <s v="Formerly Santa Fe Community College."/>
    <n v="137096"/>
    <x v="6"/>
    <m/>
    <m/>
    <n v="0"/>
    <m/>
    <m/>
    <n v="0"/>
    <m/>
    <m/>
    <n v="0"/>
    <m/>
    <m/>
    <n v="0"/>
    <m/>
    <m/>
    <n v="0"/>
    <m/>
    <m/>
    <n v="0"/>
    <m/>
    <m/>
    <n v="0"/>
    <m/>
    <m/>
    <n v="0"/>
    <m/>
    <m/>
    <n v="0"/>
    <m/>
    <m/>
    <n v="0"/>
    <n v="234"/>
    <n v="45682"/>
    <n v="10689588"/>
    <n v="230"/>
    <n v="48531"/>
    <n v="11162130"/>
    <m/>
    <m/>
    <n v="0"/>
    <m/>
    <m/>
    <n v="0"/>
    <m/>
    <m/>
    <n v="0"/>
    <m/>
    <m/>
    <n v="0"/>
    <m/>
    <m/>
    <n v="0"/>
    <m/>
    <m/>
    <n v="0"/>
    <m/>
    <m/>
    <n v="0"/>
    <m/>
    <m/>
    <n v="0"/>
    <m/>
    <m/>
    <n v="0"/>
    <m/>
    <m/>
    <n v="0"/>
    <m/>
    <m/>
    <n v="0"/>
    <m/>
    <m/>
    <n v="0"/>
  </r>
  <r>
    <x v="3"/>
    <s v="Seminole State College of Florida"/>
    <s v="Formerly Seminole Community College."/>
    <n v="137209"/>
    <x v="6"/>
    <m/>
    <m/>
    <n v="0"/>
    <m/>
    <m/>
    <n v="0"/>
    <m/>
    <m/>
    <n v="0"/>
    <m/>
    <m/>
    <n v="0"/>
    <m/>
    <m/>
    <n v="0"/>
    <m/>
    <m/>
    <n v="0"/>
    <m/>
    <m/>
    <n v="0"/>
    <m/>
    <m/>
    <n v="0"/>
    <m/>
    <m/>
    <n v="0"/>
    <m/>
    <m/>
    <n v="0"/>
    <n v="189"/>
    <n v="53985"/>
    <n v="10203165"/>
    <n v="196"/>
    <n v="56525"/>
    <n v="11078900"/>
    <m/>
    <m/>
    <n v="0"/>
    <m/>
    <m/>
    <n v="0"/>
    <m/>
    <m/>
    <n v="0"/>
    <m/>
    <m/>
    <n v="0"/>
    <m/>
    <m/>
    <n v="0"/>
    <m/>
    <m/>
    <n v="0"/>
    <m/>
    <m/>
    <n v="0"/>
    <m/>
    <m/>
    <n v="0"/>
    <m/>
    <m/>
    <n v="0"/>
    <m/>
    <m/>
    <n v="0"/>
    <m/>
    <m/>
    <n v="0"/>
    <m/>
    <m/>
    <n v="0"/>
  </r>
  <r>
    <x v="3"/>
    <s v="State College of Florida, Manatee-Sarasota"/>
    <m/>
    <n v="135391"/>
    <x v="6"/>
    <m/>
    <m/>
    <n v="0"/>
    <m/>
    <m/>
    <n v="0"/>
    <m/>
    <m/>
    <n v="0"/>
    <m/>
    <m/>
    <n v="0"/>
    <m/>
    <m/>
    <n v="0"/>
    <m/>
    <m/>
    <n v="0"/>
    <m/>
    <m/>
    <n v="0"/>
    <m/>
    <m/>
    <n v="0"/>
    <m/>
    <m/>
    <n v="0"/>
    <m/>
    <m/>
    <n v="0"/>
    <n v="130"/>
    <n v="51859"/>
    <n v="6741670"/>
    <n v="133"/>
    <n v="52853"/>
    <n v="7029449"/>
    <m/>
    <m/>
    <n v="0"/>
    <m/>
    <m/>
    <n v="0"/>
    <m/>
    <m/>
    <n v="0"/>
    <m/>
    <m/>
    <n v="0"/>
    <m/>
    <m/>
    <n v="0"/>
    <m/>
    <m/>
    <n v="0"/>
    <m/>
    <m/>
    <n v="0"/>
    <m/>
    <m/>
    <n v="0"/>
    <m/>
    <m/>
    <n v="0"/>
    <m/>
    <m/>
    <n v="0"/>
    <m/>
    <m/>
    <n v="0"/>
    <m/>
    <m/>
    <n v="0"/>
  </r>
  <r>
    <x v="3"/>
    <s v="Tallahassee Community College "/>
    <m/>
    <n v="137759"/>
    <x v="6"/>
    <m/>
    <m/>
    <n v="0"/>
    <m/>
    <m/>
    <n v="0"/>
    <m/>
    <m/>
    <n v="0"/>
    <m/>
    <m/>
    <n v="0"/>
    <m/>
    <m/>
    <n v="0"/>
    <m/>
    <m/>
    <n v="0"/>
    <m/>
    <m/>
    <n v="0"/>
    <m/>
    <m/>
    <n v="0"/>
    <m/>
    <m/>
    <n v="0"/>
    <m/>
    <m/>
    <n v="0"/>
    <n v="184"/>
    <n v="60324"/>
    <n v="11099616"/>
    <n v="175"/>
    <n v="57951"/>
    <n v="10141425"/>
    <m/>
    <m/>
    <n v="0"/>
    <m/>
    <m/>
    <n v="0"/>
    <m/>
    <m/>
    <n v="0"/>
    <m/>
    <m/>
    <n v="0"/>
    <m/>
    <m/>
    <n v="0"/>
    <m/>
    <m/>
    <n v="0"/>
    <m/>
    <m/>
    <n v="0"/>
    <m/>
    <m/>
    <n v="0"/>
    <m/>
    <m/>
    <n v="0"/>
    <m/>
    <m/>
    <n v="0"/>
    <m/>
    <m/>
    <n v="0"/>
    <m/>
    <m/>
    <n v="0"/>
  </r>
  <r>
    <x v="3"/>
    <s v="Valencia Community College "/>
    <m/>
    <n v="138187"/>
    <x v="6"/>
    <m/>
    <m/>
    <n v="0"/>
    <m/>
    <m/>
    <n v="0"/>
    <m/>
    <m/>
    <n v="0"/>
    <m/>
    <m/>
    <n v="0"/>
    <m/>
    <m/>
    <n v="0"/>
    <m/>
    <m/>
    <n v="0"/>
    <m/>
    <m/>
    <n v="0"/>
    <m/>
    <m/>
    <n v="0"/>
    <m/>
    <m/>
    <n v="0"/>
    <m/>
    <m/>
    <n v="0"/>
    <n v="353"/>
    <n v="53335"/>
    <n v="18827255"/>
    <n v="360"/>
    <n v="54005"/>
    <n v="19441800"/>
    <m/>
    <m/>
    <n v="0"/>
    <m/>
    <m/>
    <n v="0"/>
    <m/>
    <m/>
    <n v="0"/>
    <m/>
    <m/>
    <n v="0"/>
    <m/>
    <m/>
    <n v="0"/>
    <m/>
    <m/>
    <n v="0"/>
    <m/>
    <m/>
    <n v="0"/>
    <m/>
    <m/>
    <n v="0"/>
    <m/>
    <m/>
    <n v="0"/>
    <m/>
    <m/>
    <n v="0"/>
    <m/>
    <m/>
    <n v="0"/>
    <m/>
    <m/>
    <n v="0"/>
  </r>
  <r>
    <x v="3"/>
    <s v="Gulf Coast Community College "/>
    <s v="Met the criteria for Two-Year 1 in 2009-10 and 2010-11."/>
    <n v="134343"/>
    <x v="7"/>
    <m/>
    <m/>
    <n v="0"/>
    <m/>
    <m/>
    <n v="0"/>
    <m/>
    <m/>
    <n v="0"/>
    <m/>
    <m/>
    <n v="0"/>
    <m/>
    <m/>
    <n v="0"/>
    <m/>
    <m/>
    <n v="0"/>
    <m/>
    <m/>
    <n v="0"/>
    <m/>
    <m/>
    <n v="0"/>
    <m/>
    <m/>
    <n v="0"/>
    <m/>
    <m/>
    <n v="0"/>
    <n v="114"/>
    <n v="49226"/>
    <n v="5611764"/>
    <n v="111"/>
    <n v="48551"/>
    <n v="5389161"/>
    <m/>
    <m/>
    <n v="0"/>
    <m/>
    <m/>
    <n v="0"/>
    <m/>
    <m/>
    <n v="0"/>
    <m/>
    <m/>
    <n v="0"/>
    <m/>
    <m/>
    <n v="0"/>
    <m/>
    <m/>
    <n v="0"/>
    <m/>
    <m/>
    <n v="0"/>
    <m/>
    <m/>
    <n v="0"/>
    <m/>
    <m/>
    <n v="0"/>
    <m/>
    <m/>
    <n v="0"/>
    <m/>
    <m/>
    <n v="0"/>
    <m/>
    <m/>
    <n v="0"/>
  </r>
  <r>
    <x v="3"/>
    <s v="Lake City Community College "/>
    <m/>
    <n v="135160"/>
    <x v="7"/>
    <m/>
    <m/>
    <n v="0"/>
    <m/>
    <m/>
    <n v="0"/>
    <m/>
    <m/>
    <n v="0"/>
    <m/>
    <m/>
    <n v="0"/>
    <m/>
    <m/>
    <n v="0"/>
    <m/>
    <m/>
    <n v="0"/>
    <m/>
    <m/>
    <n v="0"/>
    <m/>
    <m/>
    <n v="0"/>
    <m/>
    <m/>
    <n v="0"/>
    <m/>
    <m/>
    <n v="0"/>
    <n v="63"/>
    <n v="43432"/>
    <n v="2736216"/>
    <n v="61"/>
    <n v="45105"/>
    <n v="2751405"/>
    <m/>
    <m/>
    <n v="0"/>
    <m/>
    <m/>
    <n v="0"/>
    <m/>
    <m/>
    <n v="0"/>
    <m/>
    <m/>
    <n v="0"/>
    <m/>
    <m/>
    <n v="0"/>
    <m/>
    <m/>
    <n v="0"/>
    <m/>
    <m/>
    <n v="0"/>
    <m/>
    <m/>
    <n v="0"/>
    <m/>
    <m/>
    <n v="0"/>
    <m/>
    <m/>
    <n v="0"/>
    <m/>
    <m/>
    <n v="0"/>
    <m/>
    <m/>
    <n v="0"/>
  </r>
  <r>
    <x v="3"/>
    <s v="Lake-Sumter Community College "/>
    <m/>
    <n v="135188"/>
    <x v="7"/>
    <m/>
    <m/>
    <n v="0"/>
    <m/>
    <m/>
    <n v="0"/>
    <m/>
    <m/>
    <n v="0"/>
    <m/>
    <m/>
    <n v="0"/>
    <m/>
    <m/>
    <n v="0"/>
    <m/>
    <m/>
    <n v="0"/>
    <m/>
    <m/>
    <n v="0"/>
    <m/>
    <m/>
    <n v="0"/>
    <m/>
    <m/>
    <n v="0"/>
    <m/>
    <m/>
    <n v="0"/>
    <n v="74"/>
    <n v="43463"/>
    <n v="3216262"/>
    <n v="84"/>
    <n v="43669"/>
    <n v="3668196"/>
    <m/>
    <m/>
    <n v="0"/>
    <m/>
    <m/>
    <n v="0"/>
    <m/>
    <m/>
    <n v="0"/>
    <m/>
    <m/>
    <n v="0"/>
    <m/>
    <m/>
    <n v="0"/>
    <m/>
    <m/>
    <n v="0"/>
    <m/>
    <m/>
    <n v="0"/>
    <m/>
    <m/>
    <n v="0"/>
    <m/>
    <m/>
    <n v="0"/>
    <m/>
    <m/>
    <n v="0"/>
    <m/>
    <m/>
    <n v="0"/>
    <m/>
    <m/>
    <n v="0"/>
  </r>
  <r>
    <x v="3"/>
    <s v="South Florida Community College "/>
    <m/>
    <n v="137315"/>
    <x v="7"/>
    <m/>
    <m/>
    <n v="0"/>
    <m/>
    <m/>
    <n v="0"/>
    <m/>
    <m/>
    <n v="0"/>
    <m/>
    <m/>
    <n v="0"/>
    <m/>
    <m/>
    <n v="0"/>
    <m/>
    <m/>
    <n v="0"/>
    <m/>
    <m/>
    <n v="0"/>
    <m/>
    <m/>
    <n v="0"/>
    <m/>
    <m/>
    <n v="0"/>
    <m/>
    <m/>
    <n v="0"/>
    <n v="63"/>
    <n v="46378"/>
    <n v="2921814"/>
    <n v="64"/>
    <n v="47419"/>
    <n v="3034816"/>
    <m/>
    <m/>
    <n v="0"/>
    <m/>
    <m/>
    <n v="0"/>
    <m/>
    <m/>
    <n v="0"/>
    <m/>
    <m/>
    <n v="0"/>
    <m/>
    <m/>
    <n v="0"/>
    <m/>
    <m/>
    <n v="0"/>
    <m/>
    <m/>
    <n v="0"/>
    <m/>
    <m/>
    <n v="0"/>
    <m/>
    <m/>
    <n v="0"/>
    <m/>
    <m/>
    <n v="0"/>
    <m/>
    <m/>
    <n v="0"/>
    <m/>
    <m/>
    <n v="0"/>
  </r>
  <r>
    <x v="3"/>
    <s v="St. Johns River Community College "/>
    <s v="Met the criteria for Two-Year 1 in  2010-11."/>
    <n v="137281"/>
    <x v="7"/>
    <m/>
    <m/>
    <n v="0"/>
    <m/>
    <m/>
    <n v="0"/>
    <m/>
    <m/>
    <n v="0"/>
    <m/>
    <m/>
    <n v="0"/>
    <m/>
    <m/>
    <n v="0"/>
    <m/>
    <m/>
    <n v="0"/>
    <m/>
    <m/>
    <n v="0"/>
    <m/>
    <m/>
    <n v="0"/>
    <m/>
    <m/>
    <n v="0"/>
    <m/>
    <m/>
    <n v="0"/>
    <n v="109"/>
    <n v="46597"/>
    <n v="5079073"/>
    <n v="113"/>
    <n v="45526"/>
    <n v="5144438"/>
    <m/>
    <m/>
    <n v="0"/>
    <m/>
    <m/>
    <n v="0"/>
    <m/>
    <m/>
    <n v="0"/>
    <m/>
    <m/>
    <n v="0"/>
    <m/>
    <m/>
    <n v="0"/>
    <m/>
    <m/>
    <n v="0"/>
    <m/>
    <m/>
    <n v="0"/>
    <m/>
    <m/>
    <n v="0"/>
    <m/>
    <m/>
    <n v="0"/>
    <m/>
    <m/>
    <n v="0"/>
    <m/>
    <m/>
    <n v="0"/>
    <m/>
    <m/>
    <n v="0"/>
  </r>
  <r>
    <x v="3"/>
    <s v="Florida Keys Community College "/>
    <m/>
    <n v="133960"/>
    <x v="8"/>
    <m/>
    <m/>
    <n v="0"/>
    <m/>
    <m/>
    <n v="0"/>
    <m/>
    <m/>
    <n v="0"/>
    <m/>
    <m/>
    <n v="0"/>
    <m/>
    <m/>
    <n v="0"/>
    <m/>
    <m/>
    <n v="0"/>
    <m/>
    <m/>
    <n v="0"/>
    <m/>
    <m/>
    <n v="0"/>
    <m/>
    <m/>
    <n v="0"/>
    <m/>
    <m/>
    <n v="0"/>
    <n v="22"/>
    <n v="52765"/>
    <n v="1160830"/>
    <n v="28"/>
    <n v="57592"/>
    <n v="1612576"/>
    <m/>
    <m/>
    <n v="0"/>
    <m/>
    <m/>
    <n v="0"/>
    <m/>
    <m/>
    <n v="0"/>
    <m/>
    <m/>
    <n v="0"/>
    <m/>
    <m/>
    <n v="0"/>
    <m/>
    <m/>
    <n v="0"/>
    <m/>
    <m/>
    <n v="0"/>
    <m/>
    <m/>
    <n v="0"/>
    <m/>
    <m/>
    <n v="0"/>
    <m/>
    <m/>
    <n v="0"/>
    <m/>
    <m/>
    <n v="0"/>
    <m/>
    <m/>
    <n v="0"/>
  </r>
  <r>
    <x v="3"/>
    <s v="North Florida Community College "/>
    <m/>
    <n v="136145"/>
    <x v="8"/>
    <m/>
    <m/>
    <n v="0"/>
    <m/>
    <m/>
    <n v="0"/>
    <m/>
    <m/>
    <n v="0"/>
    <m/>
    <m/>
    <n v="0"/>
    <m/>
    <m/>
    <n v="0"/>
    <m/>
    <m/>
    <n v="0"/>
    <m/>
    <m/>
    <n v="0"/>
    <m/>
    <m/>
    <n v="0"/>
    <m/>
    <m/>
    <n v="0"/>
    <m/>
    <m/>
    <n v="0"/>
    <n v="27"/>
    <n v="42356"/>
    <n v="1143612"/>
    <n v="29"/>
    <n v="42870"/>
    <n v="1243230"/>
    <m/>
    <m/>
    <n v="0"/>
    <m/>
    <m/>
    <n v="0"/>
    <m/>
    <m/>
    <n v="0"/>
    <m/>
    <m/>
    <n v="0"/>
    <m/>
    <m/>
    <n v="0"/>
    <m/>
    <m/>
    <n v="0"/>
    <m/>
    <m/>
    <n v="0"/>
    <m/>
    <m/>
    <n v="0"/>
    <m/>
    <m/>
    <n v="0"/>
    <m/>
    <m/>
    <n v="0"/>
    <m/>
    <m/>
    <n v="0"/>
    <m/>
    <m/>
    <n v="0"/>
  </r>
  <r>
    <x v="4"/>
    <s v="Georgia State University "/>
    <m/>
    <n v="139940"/>
    <x v="0"/>
    <n v="199"/>
    <n v="120070"/>
    <n v="23893930"/>
    <n v="197"/>
    <n v="119788.21"/>
    <n v="23598277.370000001"/>
    <n v="286"/>
    <n v="78104"/>
    <n v="22337744"/>
    <n v="299"/>
    <n v="78252.649999999994"/>
    <n v="23397542.349999998"/>
    <n v="338"/>
    <n v="66753"/>
    <n v="22562514"/>
    <n v="349"/>
    <n v="67459.56"/>
    <n v="23543386.439999998"/>
    <n v="63"/>
    <n v="50426"/>
    <n v="3176838"/>
    <n v="55"/>
    <n v="53801.1"/>
    <n v="2959060.5"/>
    <n v="149"/>
    <n v="44027"/>
    <n v="6560023"/>
    <n v="149"/>
    <n v="44747.08"/>
    <n v="6667314.9199999999"/>
    <m/>
    <m/>
    <n v="0"/>
    <m/>
    <m/>
    <n v="0"/>
    <n v="6"/>
    <n v="147742"/>
    <n v="725295.02640000009"/>
    <n v="6"/>
    <n v="139895"/>
    <n v="686772.53399999999"/>
    <n v="2"/>
    <n v="100050"/>
    <n v="163721.82"/>
    <m/>
    <m/>
    <n v="0"/>
    <n v="2"/>
    <n v="97382"/>
    <n v="159355.90480000002"/>
    <m/>
    <m/>
    <n v="0"/>
    <n v="3"/>
    <n v="57298"/>
    <n v="140643.67079999999"/>
    <m/>
    <m/>
    <n v="0"/>
    <n v="4"/>
    <n v="66964"/>
    <n v="219159.77920000002"/>
    <n v="4"/>
    <n v="66964"/>
    <n v="219159.77920000002"/>
    <m/>
    <m/>
    <n v="0"/>
    <m/>
    <m/>
    <n v="0"/>
  </r>
  <r>
    <x v="4"/>
    <s v="University of Georgia"/>
    <m/>
    <n v="139959"/>
    <x v="0"/>
    <n v="465"/>
    <n v="110510"/>
    <n v="51387150"/>
    <n v="459"/>
    <n v="110339.2"/>
    <n v="50645692.799999997"/>
    <n v="361"/>
    <n v="78937"/>
    <n v="28496257"/>
    <n v="367"/>
    <n v="78575.05"/>
    <n v="28837043.350000001"/>
    <n v="325"/>
    <n v="73080"/>
    <n v="23751000"/>
    <n v="321"/>
    <n v="76061.37"/>
    <n v="24415699.77"/>
    <n v="31"/>
    <n v="52240"/>
    <n v="1619440"/>
    <n v="41"/>
    <n v="50128.61"/>
    <n v="2055273.01"/>
    <n v="102"/>
    <n v="59057"/>
    <n v="6023814"/>
    <n v="100"/>
    <n v="60755.16"/>
    <n v="6075516"/>
    <m/>
    <m/>
    <n v="0"/>
    <m/>
    <m/>
    <n v="0"/>
    <n v="235"/>
    <n v="124164"/>
    <n v="23873881.427999999"/>
    <n v="225"/>
    <n v="122650"/>
    <n v="22579251.75"/>
    <n v="127"/>
    <n v="94356"/>
    <n v="9804664.0584000014"/>
    <n v="122"/>
    <n v="93869.9"/>
    <n v="9370130.9659599997"/>
    <n v="111"/>
    <n v="83829"/>
    <n v="7613366.5458000004"/>
    <n v="97"/>
    <n v="83934.3"/>
    <n v="6661479.2932200003"/>
    <n v="10"/>
    <n v="62003"/>
    <n v="507308.54600000003"/>
    <n v="10"/>
    <n v="61947.4"/>
    <n v="506853.62680000003"/>
    <n v="8"/>
    <n v="79113"/>
    <n v="517842.0528"/>
    <n v="7"/>
    <n v="66366.600000000006"/>
    <n v="380108.06484000006"/>
    <m/>
    <m/>
    <n v="0"/>
    <m/>
    <m/>
    <n v="0"/>
  </r>
  <r>
    <x v="4"/>
    <s v="Georgia Institute of Technology"/>
    <m/>
    <n v="139755"/>
    <x v="1"/>
    <n v="339"/>
    <n v="132819"/>
    <n v="45025641"/>
    <n v="361"/>
    <n v="131917.4"/>
    <n v="47622181.399999999"/>
    <n v="236"/>
    <n v="95090"/>
    <n v="22441240"/>
    <n v="237"/>
    <n v="93978.86"/>
    <n v="22272989.82"/>
    <n v="245"/>
    <n v="85264"/>
    <n v="20889680"/>
    <n v="223"/>
    <n v="85603.49"/>
    <n v="19089578.27"/>
    <n v="42"/>
    <n v="33398"/>
    <n v="1402716"/>
    <n v="26"/>
    <n v="49219.85"/>
    <n v="1279716.0999999999"/>
    <n v="41"/>
    <n v="60139"/>
    <n v="2465699"/>
    <n v="58"/>
    <n v="61122.14"/>
    <n v="3545084.12"/>
    <m/>
    <m/>
    <n v="0"/>
    <m/>
    <m/>
    <n v="0"/>
    <n v="59"/>
    <n v="226118"/>
    <n v="10915575.1084"/>
    <n v="50"/>
    <n v="226432"/>
    <n v="9263333.120000001"/>
    <n v="5"/>
    <n v="128327"/>
    <n v="524985.75699999998"/>
    <n v="4"/>
    <n v="133696"/>
    <n v="437560.26880000002"/>
    <m/>
    <m/>
    <n v="0"/>
    <m/>
    <m/>
    <n v="0"/>
    <n v="1"/>
    <n v="60000"/>
    <n v="49092"/>
    <m/>
    <m/>
    <n v="0"/>
    <n v="10"/>
    <n v="121319"/>
    <n v="992632.05800000008"/>
    <n v="16"/>
    <n v="83440.75"/>
    <n v="1092339.5464000001"/>
    <m/>
    <m/>
    <n v="0"/>
    <m/>
    <m/>
    <n v="0"/>
  </r>
  <r>
    <x v="4"/>
    <s v="Georgia Southern University"/>
    <m/>
    <n v="139931"/>
    <x v="2"/>
    <n v="130"/>
    <n v="80389"/>
    <n v="10450570"/>
    <n v="144"/>
    <n v="79994.179999999993"/>
    <n v="11519161.919999998"/>
    <n v="176"/>
    <n v="68306"/>
    <n v="12021856"/>
    <n v="174"/>
    <n v="68059.97"/>
    <n v="11842434.779999999"/>
    <n v="252"/>
    <n v="58353"/>
    <n v="14704956"/>
    <n v="252"/>
    <n v="58699.78"/>
    <n v="14792344.560000001"/>
    <n v="112"/>
    <n v="38129"/>
    <n v="4270448"/>
    <n v="108"/>
    <n v="38680.44"/>
    <n v="4177487.5200000005"/>
    <n v="16"/>
    <n v="44033"/>
    <n v="704528"/>
    <n v="23"/>
    <n v="43153"/>
    <n v="992519"/>
    <m/>
    <m/>
    <n v="0"/>
    <m/>
    <m/>
    <n v="0"/>
    <n v="29"/>
    <n v="111503"/>
    <n v="2645720.8834000002"/>
    <n v="27"/>
    <n v="117038"/>
    <n v="2585533.2732000002"/>
    <n v="21"/>
    <n v="84487"/>
    <n v="1451672.5314"/>
    <n v="19"/>
    <n v="84068.1"/>
    <n v="1306905.8689800003"/>
    <n v="9"/>
    <n v="57780"/>
    <n v="425480.364"/>
    <n v="10"/>
    <n v="56252"/>
    <n v="460253.864"/>
    <n v="3"/>
    <n v="53215"/>
    <n v="130621.539"/>
    <n v="1"/>
    <n v="63000"/>
    <n v="51546.600000000006"/>
    <n v="3"/>
    <n v="73627"/>
    <n v="180724.83420000001"/>
    <n v="3"/>
    <n v="73627"/>
    <n v="180724.83420000001"/>
    <m/>
    <m/>
    <n v="0"/>
    <m/>
    <m/>
    <n v="0"/>
  </r>
  <r>
    <x v="4"/>
    <s v="University of West Georgia"/>
    <m/>
    <n v="141334"/>
    <x v="2"/>
    <n v="71"/>
    <n v="77183"/>
    <n v="5479993"/>
    <n v="81"/>
    <n v="80572.44"/>
    <n v="6526367.6400000006"/>
    <n v="92"/>
    <n v="59753"/>
    <n v="5497276"/>
    <n v="90"/>
    <n v="60511.87"/>
    <n v="5446068.2999999998"/>
    <n v="134"/>
    <n v="51537"/>
    <n v="6905958"/>
    <n v="138"/>
    <n v="51408.74"/>
    <n v="7094406.1200000001"/>
    <n v="84"/>
    <n v="38754"/>
    <n v="3255336"/>
    <n v="63"/>
    <n v="37263.19"/>
    <n v="2347580.9700000002"/>
    <n v="23"/>
    <n v="47129"/>
    <n v="1083967"/>
    <n v="39"/>
    <n v="42749.279999999999"/>
    <n v="1667221.92"/>
    <m/>
    <m/>
    <n v="0"/>
    <m/>
    <m/>
    <n v="0"/>
    <n v="13"/>
    <n v="108706"/>
    <n v="1156262.2396"/>
    <n v="18"/>
    <n v="110526"/>
    <n v="1627782.7176000001"/>
    <n v="4"/>
    <n v="93200"/>
    <n v="305024.96000000002"/>
    <n v="8"/>
    <n v="95757"/>
    <n v="626787.01919999998"/>
    <n v="5"/>
    <n v="51317"/>
    <n v="209937.84700000001"/>
    <n v="6"/>
    <n v="64660"/>
    <n v="317428.87200000003"/>
    <n v="3"/>
    <n v="55667"/>
    <n v="136640.2182"/>
    <n v="5"/>
    <n v="51600"/>
    <n v="211095.6"/>
    <n v="1"/>
    <n v="74000"/>
    <n v="60546.8"/>
    <m/>
    <m/>
    <n v="0"/>
    <m/>
    <m/>
    <n v="0"/>
    <m/>
    <m/>
    <n v="0"/>
  </r>
  <r>
    <x v="4"/>
    <s v="Valdosta State University "/>
    <m/>
    <n v="141264"/>
    <x v="2"/>
    <n v="120"/>
    <n v="75660"/>
    <n v="9079200"/>
    <n v="124"/>
    <n v="74843.98"/>
    <n v="9280653.5199999996"/>
    <n v="99"/>
    <n v="60366"/>
    <n v="5976234"/>
    <n v="99"/>
    <n v="60337.04"/>
    <n v="5973366.96"/>
    <n v="119"/>
    <n v="54237"/>
    <n v="6454203"/>
    <n v="129"/>
    <n v="53271.93"/>
    <n v="6872078.9699999997"/>
    <n v="60"/>
    <n v="42331"/>
    <n v="2539860"/>
    <n v="25"/>
    <n v="40047"/>
    <n v="1001175"/>
    <n v="26"/>
    <n v="40334"/>
    <n v="1048684"/>
    <n v="0"/>
    <n v="0"/>
    <n v="0"/>
    <m/>
    <m/>
    <n v="0"/>
    <m/>
    <m/>
    <n v="0"/>
    <n v="3"/>
    <n v="78466"/>
    <n v="192602.64360000001"/>
    <n v="5"/>
    <n v="78913.8"/>
    <n v="322836.35580000002"/>
    <n v="12"/>
    <n v="65857"/>
    <n v="646610.36880000005"/>
    <n v="10"/>
    <n v="64111.5"/>
    <n v="524560.29300000006"/>
    <n v="17"/>
    <n v="59379"/>
    <n v="825926.26260000002"/>
    <n v="17"/>
    <n v="60877.5"/>
    <n v="846769.49849999999"/>
    <n v="15"/>
    <n v="54011"/>
    <n v="662877.00300000003"/>
    <n v="19"/>
    <n v="54855.5"/>
    <n v="852772.63190000004"/>
    <n v="1"/>
    <n v="39795"/>
    <n v="32560.269"/>
    <m/>
    <m/>
    <n v="0"/>
    <m/>
    <m/>
    <n v="0"/>
    <m/>
    <m/>
    <n v="0"/>
  </r>
  <r>
    <x v="4"/>
    <s v="Albany State University "/>
    <m/>
    <n v="138716"/>
    <x v="3"/>
    <n v="26"/>
    <n v="70511"/>
    <n v="1833286"/>
    <n v="28"/>
    <n v="69986"/>
    <n v="1959608"/>
    <n v="38"/>
    <n v="56166"/>
    <n v="2134308"/>
    <n v="45"/>
    <n v="57013"/>
    <n v="2565585"/>
    <n v="61"/>
    <n v="51544"/>
    <n v="3144184"/>
    <n v="56"/>
    <n v="51397.77"/>
    <n v="2878275.1199999996"/>
    <n v="14"/>
    <n v="42173"/>
    <n v="590422"/>
    <n v="14"/>
    <n v="44748.79"/>
    <n v="626483.06000000006"/>
    <m/>
    <m/>
    <n v="0"/>
    <n v="0"/>
    <n v="0"/>
    <n v="0"/>
    <m/>
    <m/>
    <n v="0"/>
    <m/>
    <m/>
    <n v="0"/>
    <m/>
    <m/>
    <n v="0"/>
    <m/>
    <m/>
    <n v="0"/>
    <m/>
    <m/>
    <n v="0"/>
    <m/>
    <m/>
    <n v="0"/>
    <n v="2"/>
    <n v="56688"/>
    <n v="92764.243199999997"/>
    <n v="2"/>
    <n v="56781.5"/>
    <n v="92917.246599999999"/>
    <m/>
    <m/>
    <n v="0"/>
    <m/>
    <m/>
    <n v="0"/>
    <m/>
    <m/>
    <n v="0"/>
    <m/>
    <m/>
    <n v="0"/>
    <m/>
    <m/>
    <n v="0"/>
    <m/>
    <m/>
    <n v="0"/>
  </r>
  <r>
    <x v="4"/>
    <s v="Armstrong Atlantic State University"/>
    <m/>
    <n v="138789"/>
    <x v="3"/>
    <n v="44"/>
    <n v="79659"/>
    <n v="3504996"/>
    <n v="40"/>
    <n v="74969"/>
    <n v="2998760"/>
    <n v="42"/>
    <n v="62633"/>
    <n v="2630586"/>
    <n v="45"/>
    <n v="63220"/>
    <n v="2844900"/>
    <n v="91"/>
    <n v="51253"/>
    <n v="4664023"/>
    <n v="85"/>
    <n v="50388.29"/>
    <n v="4283004.6500000004"/>
    <n v="16"/>
    <n v="44730"/>
    <n v="715680"/>
    <n v="62"/>
    <n v="43925.21"/>
    <n v="2723363.02"/>
    <m/>
    <m/>
    <n v="0"/>
    <n v="0"/>
    <n v="0"/>
    <n v="0"/>
    <m/>
    <m/>
    <n v="0"/>
    <m/>
    <m/>
    <n v="0"/>
    <m/>
    <m/>
    <n v="0"/>
    <n v="1"/>
    <n v="121936"/>
    <n v="99768.035199999998"/>
    <n v="1"/>
    <n v="75326"/>
    <n v="61631.733200000002"/>
    <n v="1"/>
    <n v="75326"/>
    <n v="61631.733200000002"/>
    <n v="9"/>
    <n v="67236"/>
    <n v="495112.45680000004"/>
    <n v="13"/>
    <n v="62133.31"/>
    <n v="660887.1651460001"/>
    <n v="3"/>
    <n v="54853"/>
    <n v="134642.17380000002"/>
    <n v="7"/>
    <n v="53025"/>
    <n v="303695.38500000001"/>
    <m/>
    <m/>
    <n v="0"/>
    <m/>
    <m/>
    <n v="0"/>
    <m/>
    <m/>
    <n v="0"/>
    <m/>
    <m/>
    <n v="0"/>
  </r>
  <r>
    <x v="4"/>
    <s v="Columbus State University"/>
    <m/>
    <n v="139366"/>
    <x v="3"/>
    <n v="50"/>
    <n v="73019"/>
    <n v="3650950"/>
    <n v="46"/>
    <n v="71059.960000000006"/>
    <n v="3268758.16"/>
    <n v="79"/>
    <n v="62641"/>
    <n v="4948639"/>
    <n v="71"/>
    <n v="62361.96"/>
    <n v="4427699.16"/>
    <n v="100"/>
    <n v="50976"/>
    <n v="5097600"/>
    <n v="104"/>
    <n v="52692.5"/>
    <n v="5480020"/>
    <n v="3"/>
    <n v="50242"/>
    <n v="150726"/>
    <n v="3"/>
    <n v="51908.67"/>
    <n v="155726.01"/>
    <n v="12"/>
    <n v="41735"/>
    <n v="500820"/>
    <n v="13"/>
    <n v="40613.08"/>
    <n v="527970.04"/>
    <m/>
    <m/>
    <n v="0"/>
    <m/>
    <m/>
    <n v="0"/>
    <n v="11"/>
    <n v="104291"/>
    <n v="938639.85820000002"/>
    <n v="19"/>
    <n v="96672.9"/>
    <n v="1502857.5688199999"/>
    <n v="2"/>
    <n v="91100"/>
    <n v="149076.04"/>
    <n v="5"/>
    <n v="80678"/>
    <n v="330053.69800000003"/>
    <n v="4"/>
    <n v="54920"/>
    <n v="179742.17600000001"/>
    <n v="4"/>
    <n v="58901.8"/>
    <n v="192773.81104000003"/>
    <m/>
    <m/>
    <n v="0"/>
    <m/>
    <m/>
    <n v="0"/>
    <m/>
    <m/>
    <n v="0"/>
    <n v="2"/>
    <n v="59000"/>
    <n v="96547.6"/>
    <m/>
    <m/>
    <n v="0"/>
    <m/>
    <m/>
    <n v="0"/>
  </r>
  <r>
    <x v="4"/>
    <s v="Georgia College and State University"/>
    <m/>
    <n v="139861"/>
    <x v="3"/>
    <n v="60"/>
    <n v="69055"/>
    <n v="4143300"/>
    <n v="61"/>
    <n v="68356.490000000005"/>
    <n v="4169745.89"/>
    <n v="61"/>
    <n v="58236"/>
    <n v="3552396"/>
    <n v="64"/>
    <n v="58628.03"/>
    <n v="3752193.92"/>
    <n v="115"/>
    <n v="52630"/>
    <n v="6052450"/>
    <n v="120"/>
    <n v="52083.13"/>
    <n v="6249975.5999999996"/>
    <n v="14"/>
    <n v="36649"/>
    <n v="513086"/>
    <n v="16"/>
    <n v="37753.279999999999"/>
    <n v="604052.47999999998"/>
    <n v="20"/>
    <n v="43865"/>
    <n v="877300"/>
    <n v="20"/>
    <n v="44640.25"/>
    <n v="892805"/>
    <m/>
    <m/>
    <n v="0"/>
    <m/>
    <m/>
    <n v="0"/>
    <n v="20"/>
    <n v="91520"/>
    <n v="1497633.28"/>
    <n v="19"/>
    <n v="93287.26"/>
    <n v="1450225.086508"/>
    <n v="8"/>
    <n v="86938"/>
    <n v="569061.37280000001"/>
    <n v="11"/>
    <n v="81257.820000000007"/>
    <n v="731336.63156400004"/>
    <n v="2"/>
    <n v="64552"/>
    <n v="105632.8928"/>
    <n v="3"/>
    <n v="65366"/>
    <n v="160447.3836"/>
    <m/>
    <m/>
    <n v="0"/>
    <n v="1"/>
    <n v="44444"/>
    <n v="36364.080800000003"/>
    <n v="1"/>
    <n v="56700"/>
    <n v="46391.94"/>
    <n v="1"/>
    <n v="56700"/>
    <n v="46391.94"/>
    <m/>
    <m/>
    <n v="0"/>
    <m/>
    <m/>
    <n v="0"/>
  </r>
  <r>
    <x v="4"/>
    <s v="Kennesaw State University"/>
    <m/>
    <n v="140164"/>
    <x v="3"/>
    <n v="109"/>
    <n v="84261"/>
    <n v="9184449"/>
    <n v="116"/>
    <n v="85124.67"/>
    <n v="9874461.7200000007"/>
    <n v="149"/>
    <n v="67142"/>
    <n v="10004158"/>
    <n v="153"/>
    <n v="67266.06"/>
    <n v="10291707.18"/>
    <n v="256"/>
    <n v="55983"/>
    <n v="14331648"/>
    <n v="262"/>
    <n v="56381.760000000002"/>
    <n v="14772021.120000001"/>
    <n v="41"/>
    <n v="43541"/>
    <n v="1785181"/>
    <n v="50"/>
    <n v="43180"/>
    <n v="2159000"/>
    <n v="83"/>
    <n v="46674"/>
    <n v="3873942"/>
    <n v="92"/>
    <n v="46817.13"/>
    <n v="4307175.96"/>
    <m/>
    <m/>
    <n v="0"/>
    <m/>
    <m/>
    <n v="0"/>
    <n v="16"/>
    <n v="101911"/>
    <n v="1334137.2831999999"/>
    <n v="20"/>
    <n v="110771.4"/>
    <n v="1812663.1896000002"/>
    <n v="8"/>
    <n v="93484"/>
    <n v="611908.87040000001"/>
    <n v="8"/>
    <n v="95340.88"/>
    <n v="624063.26412800001"/>
    <n v="13"/>
    <n v="79961"/>
    <n v="850513.17260000005"/>
    <n v="11"/>
    <n v="82994"/>
    <n v="746962.59880000004"/>
    <n v="3"/>
    <n v="60804"/>
    <n v="149249.49840000001"/>
    <n v="5"/>
    <n v="52482.6"/>
    <n v="214706.31660000002"/>
    <n v="12"/>
    <n v="73813"/>
    <n v="724725.55920000002"/>
    <n v="13"/>
    <n v="79171.62"/>
    <n v="842116.85329200001"/>
    <m/>
    <m/>
    <n v="0"/>
    <m/>
    <m/>
    <n v="0"/>
  </r>
  <r>
    <x v="4"/>
    <s v="Augusta State University"/>
    <s v="Met the criteria for Four-Year 4 in 2010-11."/>
    <n v="138983"/>
    <x v="4"/>
    <n v="59"/>
    <n v="76026"/>
    <n v="4485534"/>
    <n v="59"/>
    <n v="78371.08"/>
    <n v="4623893.72"/>
    <n v="46"/>
    <n v="57894"/>
    <n v="2663124"/>
    <n v="46"/>
    <n v="56167.15"/>
    <n v="2583688.9"/>
    <n v="86"/>
    <n v="53960"/>
    <n v="4640560"/>
    <n v="86"/>
    <n v="54223.53"/>
    <n v="4663223.58"/>
    <n v="34"/>
    <n v="39043"/>
    <n v="1327462"/>
    <n v="42"/>
    <n v="41273"/>
    <n v="1733466"/>
    <n v="15"/>
    <n v="43278"/>
    <n v="649170"/>
    <n v="19"/>
    <n v="45017"/>
    <n v="855323"/>
    <m/>
    <m/>
    <n v="0"/>
    <m/>
    <m/>
    <n v="0"/>
    <n v="2"/>
    <n v="85989"/>
    <n v="140712.3996"/>
    <n v="2"/>
    <n v="85989"/>
    <n v="140712.3996"/>
    <m/>
    <m/>
    <n v="0"/>
    <m/>
    <m/>
    <n v="0"/>
    <m/>
    <m/>
    <n v="0"/>
    <m/>
    <m/>
    <n v="0"/>
    <n v="1"/>
    <n v="68562"/>
    <n v="56097.428400000004"/>
    <n v="1"/>
    <n v="68562"/>
    <n v="56097.428400000004"/>
    <m/>
    <m/>
    <n v="0"/>
    <m/>
    <m/>
    <n v="0"/>
    <m/>
    <m/>
    <n v="0"/>
    <m/>
    <m/>
    <n v="0"/>
  </r>
  <r>
    <x v="4"/>
    <s v="Fort Valley State University"/>
    <m/>
    <n v="139719"/>
    <x v="4"/>
    <n v="13"/>
    <n v="73823"/>
    <n v="959699"/>
    <n v="20"/>
    <n v="75069.600000000006"/>
    <n v="1501392"/>
    <n v="24"/>
    <n v="51619"/>
    <n v="1238856"/>
    <n v="24"/>
    <n v="57973.63"/>
    <n v="1391367.1199999999"/>
    <n v="22"/>
    <n v="49374"/>
    <n v="1086228"/>
    <n v="55"/>
    <n v="50428.639999999999"/>
    <n v="2773575.2"/>
    <n v="0"/>
    <m/>
    <n v="0"/>
    <n v="6"/>
    <n v="43571.67"/>
    <n v="261430.02"/>
    <m/>
    <m/>
    <n v="0"/>
    <n v="0"/>
    <n v="0"/>
    <n v="0"/>
    <m/>
    <m/>
    <n v="0"/>
    <m/>
    <m/>
    <n v="0"/>
    <n v="1"/>
    <n v="81467"/>
    <n v="66656.299400000004"/>
    <n v="26"/>
    <n v="89467.19"/>
    <n v="1903253.426308"/>
    <n v="1"/>
    <n v="64250"/>
    <n v="52569.350000000006"/>
    <n v="2"/>
    <n v="32126"/>
    <n v="52570.986400000002"/>
    <n v="20"/>
    <n v="48803"/>
    <n v="798612.29200000002"/>
    <n v="4"/>
    <n v="61585"/>
    <n v="201555.38800000001"/>
    <n v="15"/>
    <n v="44422"/>
    <n v="545191.20600000001"/>
    <m/>
    <m/>
    <n v="0"/>
    <n v="7"/>
    <n v="41132"/>
    <n v="235579.41680000001"/>
    <m/>
    <m/>
    <n v="0"/>
    <m/>
    <m/>
    <n v="0"/>
    <m/>
    <m/>
    <n v="0"/>
  </r>
  <r>
    <x v="4"/>
    <s v="Georgia Southwestern State University"/>
    <m/>
    <n v="139764"/>
    <x v="4"/>
    <n v="19"/>
    <n v="71497"/>
    <n v="1358443"/>
    <n v="18"/>
    <n v="71464"/>
    <n v="1286352"/>
    <n v="24"/>
    <n v="59342"/>
    <n v="1424208"/>
    <n v="27"/>
    <n v="60662.78"/>
    <n v="1637895.06"/>
    <n v="38"/>
    <n v="51688"/>
    <n v="1964144"/>
    <n v="38"/>
    <n v="50241.05"/>
    <n v="1909159.9000000001"/>
    <n v="9"/>
    <n v="46513"/>
    <n v="418617"/>
    <n v="8"/>
    <n v="48118"/>
    <n v="384944"/>
    <n v="4"/>
    <n v="41291"/>
    <n v="165164"/>
    <n v="10"/>
    <n v="42611.6"/>
    <n v="426116"/>
    <m/>
    <m/>
    <n v="0"/>
    <m/>
    <m/>
    <n v="0"/>
    <n v="2"/>
    <n v="94112"/>
    <n v="154004.8768"/>
    <n v="1"/>
    <n v="89742"/>
    <n v="73426.904399999999"/>
    <m/>
    <m/>
    <n v="0"/>
    <m/>
    <m/>
    <n v="0"/>
    <m/>
    <m/>
    <n v="0"/>
    <m/>
    <m/>
    <n v="0"/>
    <m/>
    <m/>
    <n v="0"/>
    <m/>
    <m/>
    <n v="0"/>
    <m/>
    <m/>
    <n v="0"/>
    <m/>
    <m/>
    <n v="0"/>
    <m/>
    <m/>
    <n v="0"/>
    <m/>
    <m/>
    <n v="0"/>
  </r>
  <r>
    <x v="4"/>
    <s v="North Georgia College and State University"/>
    <s v="Met the criteria for Four-Year 4 in 2010-11."/>
    <n v="140669"/>
    <x v="4"/>
    <n v="30"/>
    <n v="72768"/>
    <n v="2183040"/>
    <n v="32"/>
    <n v="72280.63"/>
    <n v="2312980.16"/>
    <n v="53"/>
    <n v="64211"/>
    <n v="3403183"/>
    <n v="61"/>
    <n v="63312.33"/>
    <n v="3862052.13"/>
    <n v="93"/>
    <n v="51253"/>
    <n v="4766529"/>
    <n v="86"/>
    <n v="52350.09"/>
    <n v="4502107.7399999993"/>
    <n v="22"/>
    <n v="43269"/>
    <n v="951918"/>
    <n v="30"/>
    <n v="42942.6"/>
    <n v="1288278"/>
    <m/>
    <m/>
    <n v="0"/>
    <n v="5"/>
    <n v="39678.199999999997"/>
    <n v="198391"/>
    <m/>
    <m/>
    <n v="0"/>
    <m/>
    <m/>
    <n v="0"/>
    <n v="10"/>
    <n v="97141"/>
    <n v="794807.66200000001"/>
    <n v="12"/>
    <n v="97398.42"/>
    <n v="956296.64692800003"/>
    <n v="2"/>
    <n v="85403"/>
    <n v="139753.46919999999"/>
    <n v="4"/>
    <n v="87448.5"/>
    <n v="286201.45079999999"/>
    <n v="7"/>
    <n v="69611"/>
    <n v="398690.04140000005"/>
    <n v="5"/>
    <n v="74292.2"/>
    <n v="303929.39020000002"/>
    <n v="3"/>
    <n v="60533"/>
    <n v="148584.30180000002"/>
    <n v="3"/>
    <n v="66667"/>
    <n v="163640.81820000001"/>
    <m/>
    <m/>
    <n v="0"/>
    <m/>
    <m/>
    <n v="0"/>
    <m/>
    <m/>
    <n v="0"/>
    <m/>
    <m/>
    <n v="0"/>
  </r>
  <r>
    <x v="4"/>
    <s v="Savannah State University"/>
    <m/>
    <n v="140960"/>
    <x v="4"/>
    <n v="35"/>
    <n v="73473"/>
    <n v="2571555"/>
    <n v="28"/>
    <n v="72334.789999999994"/>
    <n v="2025374.1199999999"/>
    <n v="29"/>
    <n v="63576"/>
    <n v="1843704"/>
    <n v="35"/>
    <n v="62297.51"/>
    <n v="2180412.85"/>
    <n v="51"/>
    <n v="51465"/>
    <n v="2624715"/>
    <n v="48"/>
    <n v="53015.75"/>
    <n v="2544756"/>
    <n v="14"/>
    <n v="40788"/>
    <n v="571032"/>
    <n v="23"/>
    <n v="39164.300000000003"/>
    <n v="900778.9"/>
    <n v="12"/>
    <n v="40562"/>
    <n v="486744"/>
    <n v="15"/>
    <n v="40085.730000000003"/>
    <n v="601285.95000000007"/>
    <m/>
    <m/>
    <n v="0"/>
    <m/>
    <m/>
    <n v="0"/>
    <m/>
    <m/>
    <n v="0"/>
    <m/>
    <m/>
    <n v="0"/>
    <n v="2"/>
    <n v="65442"/>
    <n v="107089.28880000001"/>
    <n v="2"/>
    <n v="65442"/>
    <n v="107089.28880000001"/>
    <n v="5"/>
    <n v="57610"/>
    <n v="235682.51"/>
    <n v="5"/>
    <n v="57596.800000000003"/>
    <n v="235628.50880000001"/>
    <n v="3"/>
    <n v="44505"/>
    <n v="109241.973"/>
    <n v="1"/>
    <n v="48000"/>
    <n v="39273.599999999999"/>
    <m/>
    <m/>
    <n v="0"/>
    <m/>
    <m/>
    <n v="0"/>
    <m/>
    <m/>
    <n v="0"/>
    <m/>
    <m/>
    <n v="0"/>
  </r>
  <r>
    <x v="4"/>
    <s v="Clayton State University"/>
    <s v="Met the criteria for Four-Year 5 in 2009-10 and 2010-11."/>
    <n v="139311"/>
    <x v="5"/>
    <n v="19"/>
    <n v="79056"/>
    <n v="1502064"/>
    <n v="22"/>
    <n v="78552.45"/>
    <n v="1728153.9"/>
    <n v="59"/>
    <n v="63580"/>
    <n v="3751220"/>
    <n v="64"/>
    <n v="61469.09"/>
    <n v="3934021.76"/>
    <n v="69"/>
    <n v="53919"/>
    <n v="3720411"/>
    <n v="67"/>
    <n v="55015.03"/>
    <n v="3686007.01"/>
    <n v="3"/>
    <n v="48633"/>
    <n v="145899"/>
    <n v="7"/>
    <n v="50128.29"/>
    <n v="350898.03"/>
    <n v="16"/>
    <n v="50055"/>
    <n v="800880"/>
    <n v="23"/>
    <n v="50707.09"/>
    <n v="1166263.0699999998"/>
    <m/>
    <m/>
    <n v="0"/>
    <m/>
    <m/>
    <n v="0"/>
    <n v="13"/>
    <n v="109739"/>
    <n v="1167249.8474000001"/>
    <n v="15"/>
    <n v="109044.2"/>
    <n v="1338299.4666000002"/>
    <n v="12"/>
    <n v="87694"/>
    <n v="861014.7696"/>
    <n v="11"/>
    <n v="82956.45"/>
    <n v="746624.64128999994"/>
    <n v="4"/>
    <n v="67321"/>
    <n v="220328.16880000001"/>
    <n v="4"/>
    <n v="79304.25"/>
    <n v="259546.94940000001"/>
    <m/>
    <m/>
    <n v="0"/>
    <m/>
    <m/>
    <n v="0"/>
    <n v="1"/>
    <n v="47000"/>
    <n v="38455.4"/>
    <m/>
    <m/>
    <n v="0"/>
    <m/>
    <m/>
    <n v="0"/>
    <m/>
    <m/>
    <n v="0"/>
  </r>
  <r>
    <x v="4"/>
    <s v="Macon State College "/>
    <m/>
    <n v="140322"/>
    <x v="5"/>
    <n v="19"/>
    <n v="77223"/>
    <n v="1467237"/>
    <n v="16"/>
    <n v="75047"/>
    <n v="1200752"/>
    <n v="42"/>
    <n v="59937"/>
    <n v="2517354"/>
    <n v="49"/>
    <n v="57875.8"/>
    <n v="2835914.2"/>
    <n v="105"/>
    <n v="46622"/>
    <n v="4895310"/>
    <n v="89"/>
    <n v="46705.7"/>
    <n v="4156807.3"/>
    <m/>
    <m/>
    <n v="0"/>
    <m/>
    <m/>
    <n v="0"/>
    <n v="10"/>
    <n v="46150"/>
    <n v="461500"/>
    <n v="14"/>
    <n v="43400.1"/>
    <n v="607601.4"/>
    <m/>
    <m/>
    <n v="0"/>
    <m/>
    <m/>
    <n v="0"/>
    <m/>
    <m/>
    <n v="0"/>
    <n v="0"/>
    <m/>
    <n v="0"/>
    <m/>
    <m/>
    <n v="0"/>
    <m/>
    <m/>
    <n v="0"/>
    <m/>
    <m/>
    <n v="0"/>
    <m/>
    <m/>
    <n v="0"/>
    <m/>
    <m/>
    <n v="0"/>
    <m/>
    <m/>
    <n v="0"/>
    <m/>
    <m/>
    <n v="0"/>
    <m/>
    <m/>
    <n v="0"/>
    <m/>
    <m/>
    <n v="0"/>
    <m/>
    <m/>
    <n v="0"/>
  </r>
  <r>
    <x v="4"/>
    <s v="Dalton State College "/>
    <m/>
    <n v="139463"/>
    <x v="11"/>
    <n v="20"/>
    <n v="75592"/>
    <n v="1511840"/>
    <n v="16"/>
    <n v="76959.3"/>
    <n v="1231348.8"/>
    <n v="47"/>
    <n v="57250"/>
    <n v="2690750"/>
    <n v="46"/>
    <n v="57057.5"/>
    <n v="2624645"/>
    <n v="60"/>
    <n v="47644"/>
    <n v="2858640"/>
    <n v="65"/>
    <n v="47361"/>
    <n v="3078465"/>
    <n v="15"/>
    <n v="41892"/>
    <n v="628380"/>
    <n v="7"/>
    <n v="42013.4"/>
    <n v="294093.8"/>
    <m/>
    <m/>
    <n v="0"/>
    <n v="5"/>
    <n v="34200.199999999997"/>
    <n v="171001"/>
    <m/>
    <m/>
    <n v="0"/>
    <m/>
    <m/>
    <n v="0"/>
    <m/>
    <m/>
    <n v="0"/>
    <n v="1"/>
    <n v="120000"/>
    <n v="98184"/>
    <m/>
    <m/>
    <n v="0"/>
    <n v="1"/>
    <n v="57500"/>
    <n v="47046.5"/>
    <m/>
    <m/>
    <n v="0"/>
    <m/>
    <m/>
    <n v="0"/>
    <m/>
    <m/>
    <n v="0"/>
    <m/>
    <m/>
    <n v="0"/>
    <m/>
    <m/>
    <n v="0"/>
    <m/>
    <m/>
    <n v="0"/>
    <m/>
    <m/>
    <n v="0"/>
    <m/>
    <m/>
    <n v="0"/>
  </r>
  <r>
    <x v="4"/>
    <s v="Gainesville State College "/>
    <s v="Reclassified: met the criteria for Two-Year with Bachelors in 2008-09, 2009-10 and 2010-11."/>
    <n v="139773"/>
    <x v="11"/>
    <n v="29"/>
    <n v="61115"/>
    <n v="1772335"/>
    <n v="36"/>
    <n v="61450.5"/>
    <n v="2212218"/>
    <n v="40"/>
    <n v="48438"/>
    <n v="1937520"/>
    <n v="35"/>
    <n v="48810"/>
    <n v="1708350"/>
    <n v="85"/>
    <n v="40516"/>
    <n v="3443860"/>
    <n v="84"/>
    <n v="41739"/>
    <n v="3506076"/>
    <n v="31"/>
    <n v="38980"/>
    <n v="1208380"/>
    <n v="13"/>
    <n v="39885.300000000003"/>
    <n v="518508.9"/>
    <m/>
    <m/>
    <n v="0"/>
    <n v="25"/>
    <n v="37494.9"/>
    <n v="937372.5"/>
    <m/>
    <m/>
    <n v="0"/>
    <m/>
    <m/>
    <n v="0"/>
    <n v="1"/>
    <n v="101743"/>
    <n v="83246.122600000002"/>
    <n v="1"/>
    <n v="103761"/>
    <n v="84897.250200000009"/>
    <n v="3"/>
    <n v="52473"/>
    <n v="128800.2258"/>
    <n v="5"/>
    <n v="57118.2"/>
    <n v="233670.55620000002"/>
    <n v="7"/>
    <n v="49900"/>
    <n v="285797.26"/>
    <n v="5"/>
    <n v="50633.599999999999"/>
    <n v="207142.0576"/>
    <m/>
    <m/>
    <n v="0"/>
    <n v="1"/>
    <n v="49000"/>
    <n v="40091.800000000003"/>
    <m/>
    <m/>
    <n v="0"/>
    <m/>
    <m/>
    <n v="0"/>
    <m/>
    <m/>
    <n v="0"/>
    <m/>
    <m/>
    <n v="0"/>
  </r>
  <r>
    <x v="4"/>
    <s v="Georgia Perimeter College "/>
    <m/>
    <n v="244437"/>
    <x v="6"/>
    <n v="35"/>
    <n v="64596"/>
    <n v="2260860"/>
    <n v="34"/>
    <n v="63335.7"/>
    <n v="2153413.7999999998"/>
    <n v="130"/>
    <n v="55907"/>
    <n v="7267910"/>
    <n v="133"/>
    <n v="55329.5"/>
    <n v="7358823.5"/>
    <n v="109"/>
    <n v="44880"/>
    <n v="4891920"/>
    <n v="106"/>
    <n v="44722.9"/>
    <n v="4740627.4000000004"/>
    <n v="88"/>
    <n v="40004"/>
    <n v="3520352"/>
    <n v="105"/>
    <n v="39627"/>
    <n v="4160835"/>
    <n v="3"/>
    <n v="40823"/>
    <n v="122469"/>
    <n v="10"/>
    <n v="44606.400000000001"/>
    <n v="446064"/>
    <m/>
    <m/>
    <n v="0"/>
    <m/>
    <m/>
    <n v="0"/>
    <n v="2"/>
    <n v="77554"/>
    <n v="126909.3656"/>
    <n v="12"/>
    <n v="91553.3"/>
    <n v="898906.92072000017"/>
    <n v="12"/>
    <n v="70961"/>
    <n v="696723.48239999998"/>
    <n v="29"/>
    <n v="78138.600000000006"/>
    <n v="1854057.0730800005"/>
    <n v="4"/>
    <n v="65912"/>
    <n v="215716.7936"/>
    <n v="10"/>
    <n v="70563.399999999994"/>
    <n v="577349.73880000005"/>
    <n v="8"/>
    <n v="58980"/>
    <n v="386059.48800000001"/>
    <n v="8"/>
    <n v="58615.8"/>
    <n v="383675.58048000006"/>
    <n v="7"/>
    <n v="78360"/>
    <n v="448799.06400000001"/>
    <n v="5"/>
    <n v="58299.8"/>
    <n v="238504.48180000001"/>
    <m/>
    <m/>
    <n v="0"/>
    <m/>
    <m/>
    <n v="0"/>
  </r>
  <r>
    <x v="4"/>
    <s v="Abraham Baldwin Agricultural College "/>
    <s v="Met the criteria for Two-Year with Bachelor's in 2009-10. Did not award any bachelor's for 2010-11 analysis, looses flag."/>
    <n v="138558"/>
    <x v="7"/>
    <n v="11"/>
    <n v="53125"/>
    <n v="584375"/>
    <n v="11"/>
    <n v="52722.73"/>
    <n v="579950.03"/>
    <n v="22"/>
    <n v="48847"/>
    <n v="1074634"/>
    <n v="19"/>
    <n v="48860.05"/>
    <n v="928340.95000000007"/>
    <n v="29"/>
    <n v="43893"/>
    <n v="1272897"/>
    <n v="29"/>
    <n v="43051"/>
    <n v="1248479"/>
    <n v="15"/>
    <n v="40796"/>
    <n v="611940"/>
    <n v="16"/>
    <n v="41574.879999999997"/>
    <n v="665198.07999999996"/>
    <n v="9"/>
    <n v="41173"/>
    <n v="370557"/>
    <n v="12"/>
    <n v="38809"/>
    <n v="465708"/>
    <m/>
    <m/>
    <n v="0"/>
    <m/>
    <m/>
    <n v="0"/>
    <n v="1"/>
    <n v="93403"/>
    <n v="76422.334600000002"/>
    <n v="1"/>
    <n v="79349"/>
    <n v="64923.351800000004"/>
    <n v="3"/>
    <n v="76308"/>
    <n v="187305.61680000002"/>
    <n v="4"/>
    <n v="70813"/>
    <n v="231756.78640000001"/>
    <n v="2"/>
    <n v="67754"/>
    <n v="110872.6456"/>
    <m/>
    <m/>
    <n v="0"/>
    <m/>
    <m/>
    <n v="0"/>
    <m/>
    <m/>
    <n v="0"/>
    <n v="2"/>
    <n v="54141"/>
    <n v="88596.332399999999"/>
    <n v="4"/>
    <n v="56054.5"/>
    <n v="183455.16760000002"/>
    <m/>
    <m/>
    <n v="0"/>
    <m/>
    <m/>
    <n v="0"/>
  </r>
  <r>
    <x v="4"/>
    <s v="Bainbridge College "/>
    <m/>
    <n v="139010"/>
    <x v="7"/>
    <n v="4"/>
    <n v="60446"/>
    <n v="241784"/>
    <n v="5"/>
    <n v="56086.8"/>
    <n v="280434"/>
    <n v="11"/>
    <n v="46599"/>
    <n v="512589"/>
    <n v="8"/>
    <n v="50975.88"/>
    <n v="407807.04"/>
    <n v="17"/>
    <n v="41529"/>
    <n v="705993"/>
    <n v="19"/>
    <n v="41495.74"/>
    <n v="788419.05999999994"/>
    <n v="19"/>
    <n v="35935"/>
    <n v="682765"/>
    <n v="23"/>
    <n v="36281.39"/>
    <n v="834471.97"/>
    <m/>
    <m/>
    <n v="0"/>
    <m/>
    <m/>
    <n v="0"/>
    <m/>
    <m/>
    <n v="0"/>
    <m/>
    <m/>
    <n v="0"/>
    <m/>
    <m/>
    <n v="0"/>
    <m/>
    <m/>
    <n v="0"/>
    <m/>
    <m/>
    <n v="0"/>
    <m/>
    <m/>
    <n v="0"/>
    <n v="5"/>
    <n v="58687"/>
    <n v="240088.51700000002"/>
    <n v="7"/>
    <n v="52652"/>
    <n v="301559.06479999999"/>
    <n v="12"/>
    <n v="33322"/>
    <n v="327168.72480000003"/>
    <n v="13"/>
    <n v="43031.62"/>
    <n v="457710.12929200009"/>
    <m/>
    <m/>
    <n v="0"/>
    <m/>
    <m/>
    <n v="0"/>
    <m/>
    <m/>
    <n v="0"/>
    <m/>
    <m/>
    <n v="0"/>
  </r>
  <r>
    <x v="4"/>
    <s v="College of Coastal Georgia "/>
    <m/>
    <n v="139250"/>
    <x v="7"/>
    <n v="7"/>
    <n v="63718"/>
    <n v="446026"/>
    <n v="5"/>
    <n v="61117"/>
    <n v="305585"/>
    <n v="12"/>
    <n v="58108"/>
    <n v="697296"/>
    <n v="15"/>
    <n v="56734.6"/>
    <n v="851019"/>
    <n v="33"/>
    <n v="49495"/>
    <n v="1633335"/>
    <n v="36"/>
    <n v="50573.4"/>
    <n v="1820642.4000000001"/>
    <n v="7"/>
    <n v="39746"/>
    <n v="278222"/>
    <n v="14"/>
    <n v="43034.6"/>
    <n v="602484.4"/>
    <n v="1"/>
    <n v="45000"/>
    <n v="45000"/>
    <m/>
    <m/>
    <n v="0"/>
    <m/>
    <m/>
    <n v="0"/>
    <m/>
    <m/>
    <n v="0"/>
    <n v="1"/>
    <n v="88500"/>
    <n v="72410.7"/>
    <n v="2"/>
    <n v="95250"/>
    <n v="155867.1"/>
    <m/>
    <m/>
    <n v="0"/>
    <m/>
    <m/>
    <n v="0"/>
    <n v="5"/>
    <n v="66046"/>
    <n v="270194.18599999999"/>
    <n v="9"/>
    <n v="71158.899999999994"/>
    <n v="523999.90782000002"/>
    <n v="5"/>
    <n v="47880"/>
    <n v="195877.08000000002"/>
    <n v="3"/>
    <n v="47037"/>
    <n v="115457.0202"/>
    <m/>
    <m/>
    <n v="0"/>
    <m/>
    <m/>
    <n v="0"/>
    <m/>
    <m/>
    <n v="0"/>
    <m/>
    <m/>
    <n v="0"/>
  </r>
  <r>
    <x v="4"/>
    <s v="Darton College "/>
    <m/>
    <n v="138691"/>
    <x v="7"/>
    <n v="3"/>
    <n v="61390"/>
    <n v="184170"/>
    <n v="3"/>
    <n v="61393.33"/>
    <n v="184179.99"/>
    <n v="8"/>
    <n v="49228"/>
    <n v="393824"/>
    <n v="9"/>
    <n v="48650.33"/>
    <n v="437852.97000000003"/>
    <n v="52"/>
    <n v="43666"/>
    <n v="2270632"/>
    <n v="58"/>
    <n v="44430.05"/>
    <n v="2576942.9000000004"/>
    <n v="28"/>
    <n v="46097"/>
    <n v="1290716"/>
    <n v="23"/>
    <n v="45442.3"/>
    <n v="1045172.9"/>
    <m/>
    <m/>
    <n v="0"/>
    <m/>
    <m/>
    <n v="0"/>
    <m/>
    <m/>
    <n v="0"/>
    <m/>
    <m/>
    <n v="0"/>
    <n v="1"/>
    <n v="85964"/>
    <n v="70335.7448"/>
    <n v="1"/>
    <n v="85965"/>
    <n v="70336.563000000009"/>
    <n v="1"/>
    <n v="92053"/>
    <n v="75317.76460000001"/>
    <n v="1"/>
    <n v="92053"/>
    <n v="75317.76460000001"/>
    <n v="10"/>
    <n v="62310"/>
    <n v="509820.42000000004"/>
    <n v="8"/>
    <n v="62932.5"/>
    <n v="411930.97200000001"/>
    <n v="15"/>
    <n v="46840"/>
    <n v="574867.32000000007"/>
    <n v="18"/>
    <n v="47817.78"/>
    <n v="704241.13672800001"/>
    <m/>
    <m/>
    <n v="0"/>
    <m/>
    <m/>
    <n v="0"/>
    <m/>
    <m/>
    <n v="0"/>
    <m/>
    <m/>
    <n v="0"/>
  </r>
  <r>
    <x v="4"/>
    <s v="Georgia Highlands College"/>
    <m/>
    <n v="139700"/>
    <x v="7"/>
    <n v="17"/>
    <n v="60519"/>
    <n v="1028823"/>
    <n v="17"/>
    <n v="60327.4"/>
    <n v="1025565.8"/>
    <n v="23"/>
    <n v="54916"/>
    <n v="1263068"/>
    <n v="22"/>
    <n v="50501.2"/>
    <n v="1111026.3999999999"/>
    <n v="21"/>
    <n v="44708"/>
    <n v="938868"/>
    <n v="31"/>
    <n v="43289.2"/>
    <n v="1341965.2"/>
    <n v="49"/>
    <n v="42369"/>
    <n v="2076081"/>
    <n v="44"/>
    <n v="40188.6"/>
    <n v="1768298.4"/>
    <m/>
    <m/>
    <n v="0"/>
    <n v="18"/>
    <n v="37269"/>
    <n v="670842"/>
    <m/>
    <m/>
    <n v="0"/>
    <m/>
    <m/>
    <n v="0"/>
    <n v="2"/>
    <n v="95354"/>
    <n v="156037.2856"/>
    <m/>
    <m/>
    <n v="0"/>
    <n v="2"/>
    <n v="73223"/>
    <n v="119822.11720000001"/>
    <m/>
    <m/>
    <n v="0"/>
    <m/>
    <m/>
    <n v="0"/>
    <m/>
    <m/>
    <n v="0"/>
    <n v="1"/>
    <n v="54570"/>
    <n v="44649.173999999999"/>
    <n v="1"/>
    <n v="53500"/>
    <n v="43773.700000000004"/>
    <m/>
    <m/>
    <n v="0"/>
    <m/>
    <m/>
    <n v="0"/>
    <m/>
    <m/>
    <n v="0"/>
    <m/>
    <m/>
    <n v="0"/>
  </r>
  <r>
    <x v="4"/>
    <s v="Gordon College "/>
    <s v="Met the criteria for Two-Year with Bachelor's in 2009-10."/>
    <n v="139968"/>
    <x v="7"/>
    <n v="23"/>
    <n v="60151"/>
    <n v="1383473"/>
    <n v="24"/>
    <n v="65168.3"/>
    <n v="1564039.2000000002"/>
    <n v="40"/>
    <n v="51208"/>
    <n v="2048320"/>
    <n v="39"/>
    <n v="53601.2"/>
    <n v="2090446.7999999998"/>
    <n v="28"/>
    <n v="49087"/>
    <n v="1374436"/>
    <n v="35"/>
    <n v="47449.5"/>
    <n v="1660732.5"/>
    <n v="23"/>
    <n v="45140"/>
    <n v="1038220"/>
    <n v="17"/>
    <n v="40864.199999999997"/>
    <n v="694691.39999999991"/>
    <m/>
    <m/>
    <n v="0"/>
    <m/>
    <m/>
    <n v="0"/>
    <m/>
    <m/>
    <n v="0"/>
    <m/>
    <m/>
    <n v="0"/>
    <m/>
    <m/>
    <n v="0"/>
    <n v="0"/>
    <m/>
    <n v="0"/>
    <m/>
    <m/>
    <n v="0"/>
    <m/>
    <m/>
    <n v="0"/>
    <m/>
    <m/>
    <n v="0"/>
    <m/>
    <m/>
    <n v="0"/>
    <m/>
    <m/>
    <n v="0"/>
    <m/>
    <m/>
    <n v="0"/>
    <m/>
    <m/>
    <n v="0"/>
    <m/>
    <m/>
    <n v="0"/>
    <m/>
    <m/>
    <n v="0"/>
    <m/>
    <m/>
    <n v="0"/>
  </r>
  <r>
    <x v="4"/>
    <s v="Middle Georgia College "/>
    <m/>
    <n v="140483"/>
    <x v="7"/>
    <n v="10"/>
    <n v="59721"/>
    <n v="597210"/>
    <n v="9"/>
    <n v="57939"/>
    <n v="521451"/>
    <n v="24"/>
    <n v="48618"/>
    <n v="1166832"/>
    <n v="30"/>
    <n v="47233.87"/>
    <n v="1417016.1"/>
    <n v="48"/>
    <n v="41338"/>
    <n v="1984224"/>
    <n v="42"/>
    <n v="43594.239999999998"/>
    <n v="1830958.0799999998"/>
    <n v="9"/>
    <n v="43472"/>
    <n v="391248"/>
    <n v="10"/>
    <n v="43590.5"/>
    <n v="435905"/>
    <m/>
    <m/>
    <n v="0"/>
    <m/>
    <m/>
    <n v="0"/>
    <m/>
    <m/>
    <n v="0"/>
    <m/>
    <m/>
    <n v="0"/>
    <n v="1"/>
    <n v="76024"/>
    <n v="62202.836800000005"/>
    <n v="1"/>
    <n v="76024"/>
    <n v="62202.836800000005"/>
    <m/>
    <m/>
    <n v="0"/>
    <m/>
    <m/>
    <n v="0"/>
    <n v="3"/>
    <n v="70085"/>
    <n v="172030.641"/>
    <n v="3"/>
    <n v="64555"/>
    <n v="158456.70300000001"/>
    <n v="20"/>
    <n v="49268"/>
    <n v="806221.55200000003"/>
    <n v="15"/>
    <n v="51271.73"/>
    <n v="629257.94229000004"/>
    <m/>
    <m/>
    <n v="0"/>
    <m/>
    <m/>
    <n v="0"/>
    <m/>
    <m/>
    <n v="0"/>
    <m/>
    <m/>
    <n v="0"/>
  </r>
  <r>
    <x v="4"/>
    <s v="Atlanta Metropolitan College"/>
    <s v="Met the criteria for Two-Year 2 in 2009-10 and 2010-11."/>
    <n v="138901"/>
    <x v="8"/>
    <n v="3"/>
    <n v="59794"/>
    <n v="179382"/>
    <n v="2"/>
    <n v="57928"/>
    <n v="115856"/>
    <n v="14"/>
    <n v="57515"/>
    <n v="805210"/>
    <n v="14"/>
    <n v="56407.43"/>
    <n v="789704.02"/>
    <n v="23"/>
    <n v="46303"/>
    <n v="1064969"/>
    <n v="28"/>
    <n v="46451.15"/>
    <n v="1300632.2"/>
    <n v="4"/>
    <n v="44750"/>
    <n v="179000"/>
    <m/>
    <m/>
    <n v="0"/>
    <m/>
    <m/>
    <n v="0"/>
    <n v="9"/>
    <n v="27555.56"/>
    <n v="248000.04"/>
    <m/>
    <m/>
    <n v="0"/>
    <m/>
    <m/>
    <n v="0"/>
    <n v="4"/>
    <n v="84101"/>
    <n v="275245.75280000002"/>
    <n v="3"/>
    <n v="79070"/>
    <n v="194085.22200000001"/>
    <m/>
    <m/>
    <n v="0"/>
    <n v="1"/>
    <n v="78000"/>
    <n v="63819.600000000006"/>
    <m/>
    <m/>
    <n v="0"/>
    <m/>
    <m/>
    <n v="0"/>
    <m/>
    <m/>
    <n v="0"/>
    <m/>
    <m/>
    <n v="0"/>
    <m/>
    <m/>
    <n v="0"/>
    <m/>
    <m/>
    <n v="0"/>
    <m/>
    <m/>
    <n v="0"/>
    <m/>
    <m/>
    <n v="0"/>
  </r>
  <r>
    <x v="4"/>
    <s v="East Georgia College"/>
    <s v="Met the criteria for Two-Year 2 in 2009-10 and 2010-11."/>
    <n v="139621"/>
    <x v="8"/>
    <n v="1"/>
    <n v="63384"/>
    <n v="63384"/>
    <n v="1"/>
    <n v="63384"/>
    <n v="63384"/>
    <n v="10"/>
    <n v="50640"/>
    <n v="506400"/>
    <n v="12"/>
    <n v="50086.25"/>
    <n v="601035"/>
    <n v="15"/>
    <n v="43939"/>
    <n v="659085"/>
    <n v="20"/>
    <n v="42448.85"/>
    <n v="848977"/>
    <n v="21"/>
    <n v="37871"/>
    <n v="795291"/>
    <n v="27"/>
    <n v="37962.44"/>
    <n v="1024985.8800000001"/>
    <n v="2"/>
    <n v="35500"/>
    <n v="71000"/>
    <m/>
    <m/>
    <n v="0"/>
    <m/>
    <m/>
    <n v="0"/>
    <m/>
    <m/>
    <n v="0"/>
    <n v="1"/>
    <n v="90344"/>
    <n v="73919.460800000001"/>
    <n v="1"/>
    <n v="90344"/>
    <n v="73919.460800000001"/>
    <n v="3"/>
    <n v="72430"/>
    <n v="177786.67800000001"/>
    <n v="3"/>
    <n v="72430"/>
    <n v="177786.67800000001"/>
    <m/>
    <m/>
    <n v="0"/>
    <m/>
    <m/>
    <n v="0"/>
    <m/>
    <m/>
    <n v="0"/>
    <m/>
    <m/>
    <n v="0"/>
    <m/>
    <m/>
    <n v="0"/>
    <m/>
    <m/>
    <n v="0"/>
    <m/>
    <m/>
    <n v="0"/>
    <m/>
    <m/>
    <n v="0"/>
  </r>
  <r>
    <x v="4"/>
    <s v="South Georgia College "/>
    <m/>
    <n v="140997"/>
    <x v="8"/>
    <n v="3"/>
    <n v="54535"/>
    <n v="163605"/>
    <n v="3"/>
    <n v="54217"/>
    <n v="162651"/>
    <n v="9"/>
    <n v="46387"/>
    <n v="417483"/>
    <n v="8"/>
    <n v="47436.9"/>
    <n v="379495.2"/>
    <n v="19"/>
    <n v="43547"/>
    <n v="827393"/>
    <n v="20"/>
    <n v="44319.199999999997"/>
    <n v="886384"/>
    <n v="11"/>
    <n v="39980"/>
    <n v="439780"/>
    <n v="10"/>
    <n v="35820"/>
    <n v="358200"/>
    <m/>
    <m/>
    <n v="0"/>
    <n v="3"/>
    <n v="37333.300000000003"/>
    <n v="111999.90000000001"/>
    <m/>
    <m/>
    <n v="0"/>
    <m/>
    <m/>
    <n v="0"/>
    <m/>
    <m/>
    <n v="0"/>
    <m/>
    <m/>
    <n v="0"/>
    <m/>
    <m/>
    <n v="0"/>
    <m/>
    <m/>
    <n v="0"/>
    <m/>
    <m/>
    <n v="0"/>
    <m/>
    <m/>
    <n v="0"/>
    <m/>
    <m/>
    <n v="0"/>
    <m/>
    <m/>
    <n v="0"/>
    <m/>
    <m/>
    <n v="0"/>
    <m/>
    <m/>
    <n v="0"/>
    <m/>
    <m/>
    <n v="0"/>
    <m/>
    <m/>
    <n v="0"/>
  </r>
  <r>
    <x v="4"/>
    <s v="Waycross College "/>
    <m/>
    <n v="141307"/>
    <x v="8"/>
    <n v="3"/>
    <n v="60341"/>
    <n v="181023"/>
    <n v="2"/>
    <n v="61328.5"/>
    <n v="122657"/>
    <n v="5"/>
    <n v="48980"/>
    <n v="244900"/>
    <n v="5"/>
    <n v="48980"/>
    <n v="244900"/>
    <n v="4"/>
    <n v="40271"/>
    <n v="161084"/>
    <n v="8"/>
    <n v="41135"/>
    <n v="329080"/>
    <n v="12"/>
    <n v="36978"/>
    <n v="443736"/>
    <n v="11"/>
    <n v="36958.199999999997"/>
    <n v="406540.19999999995"/>
    <m/>
    <m/>
    <n v="0"/>
    <m/>
    <m/>
    <n v="0"/>
    <m/>
    <m/>
    <n v="0"/>
    <m/>
    <m/>
    <n v="0"/>
    <m/>
    <m/>
    <n v="0"/>
    <m/>
    <m/>
    <n v="0"/>
    <m/>
    <m/>
    <n v="0"/>
    <m/>
    <m/>
    <n v="0"/>
    <m/>
    <m/>
    <n v="0"/>
    <m/>
    <m/>
    <n v="0"/>
    <m/>
    <m/>
    <n v="0"/>
    <m/>
    <m/>
    <n v="0"/>
    <m/>
    <m/>
    <n v="0"/>
    <m/>
    <m/>
    <n v="0"/>
    <m/>
    <m/>
    <n v="0"/>
    <m/>
    <m/>
    <n v="0"/>
  </r>
  <r>
    <x v="4"/>
    <s v="Albany Technical College"/>
    <m/>
    <n v="138682"/>
    <x v="9"/>
    <m/>
    <m/>
    <n v="0"/>
    <m/>
    <m/>
    <n v="0"/>
    <m/>
    <m/>
    <n v="0"/>
    <m/>
    <m/>
    <n v="0"/>
    <m/>
    <m/>
    <n v="0"/>
    <m/>
    <m/>
    <n v="0"/>
    <m/>
    <m/>
    <n v="0"/>
    <m/>
    <m/>
    <n v="0"/>
    <m/>
    <m/>
    <n v="0"/>
    <m/>
    <m/>
    <n v="0"/>
    <m/>
    <m/>
    <n v="0"/>
    <m/>
    <m/>
    <n v="0"/>
    <m/>
    <m/>
    <n v="0"/>
    <m/>
    <m/>
    <n v="0"/>
    <m/>
    <m/>
    <n v="0"/>
    <m/>
    <m/>
    <n v="0"/>
    <m/>
    <m/>
    <n v="0"/>
    <m/>
    <m/>
    <n v="0"/>
    <m/>
    <m/>
    <n v="0"/>
    <m/>
    <m/>
    <n v="0"/>
    <m/>
    <m/>
    <n v="0"/>
    <m/>
    <m/>
    <n v="0"/>
    <n v="78"/>
    <n v="53102"/>
    <n v="3388948.3992000003"/>
    <n v="85"/>
    <n v="52374"/>
    <n v="3642454.5780000002"/>
  </r>
  <r>
    <x v="4"/>
    <s v="Altamaha Technical College"/>
    <s v="Reclassified: met criteria for Technical Institute or College 1 in 2008-09, 2009-10 and 2010-11."/>
    <n v="366447"/>
    <x v="9"/>
    <m/>
    <m/>
    <n v="0"/>
    <m/>
    <m/>
    <n v="0"/>
    <m/>
    <m/>
    <n v="0"/>
    <m/>
    <m/>
    <n v="0"/>
    <m/>
    <m/>
    <n v="0"/>
    <m/>
    <m/>
    <n v="0"/>
    <m/>
    <m/>
    <n v="0"/>
    <m/>
    <m/>
    <n v="0"/>
    <m/>
    <m/>
    <n v="0"/>
    <m/>
    <m/>
    <n v="0"/>
    <n v="1"/>
    <n v="25332"/>
    <n v="25332"/>
    <m/>
    <m/>
    <n v="0"/>
    <m/>
    <m/>
    <n v="0"/>
    <m/>
    <m/>
    <n v="0"/>
    <m/>
    <m/>
    <n v="0"/>
    <m/>
    <m/>
    <n v="0"/>
    <m/>
    <m/>
    <n v="0"/>
    <m/>
    <m/>
    <n v="0"/>
    <m/>
    <m/>
    <n v="0"/>
    <m/>
    <m/>
    <n v="0"/>
    <m/>
    <m/>
    <n v="0"/>
    <m/>
    <m/>
    <n v="0"/>
    <n v="54"/>
    <n v="49214"/>
    <n v="2174412.3192000003"/>
    <n v="51"/>
    <n v="48370"/>
    <n v="2018393.034"/>
  </r>
  <r>
    <x v="4"/>
    <s v="Athens Technical College"/>
    <m/>
    <n v="246813"/>
    <x v="9"/>
    <m/>
    <m/>
    <n v="0"/>
    <m/>
    <m/>
    <n v="0"/>
    <m/>
    <m/>
    <n v="0"/>
    <m/>
    <m/>
    <n v="0"/>
    <m/>
    <m/>
    <n v="0"/>
    <m/>
    <m/>
    <n v="0"/>
    <m/>
    <m/>
    <n v="0"/>
    <m/>
    <m/>
    <n v="0"/>
    <m/>
    <m/>
    <n v="0"/>
    <m/>
    <m/>
    <n v="0"/>
    <n v="17"/>
    <n v="53709"/>
    <n v="913053"/>
    <n v="15"/>
    <n v="53797"/>
    <n v="806955"/>
    <m/>
    <m/>
    <n v="0"/>
    <m/>
    <m/>
    <n v="0"/>
    <m/>
    <m/>
    <n v="0"/>
    <m/>
    <m/>
    <n v="0"/>
    <m/>
    <m/>
    <n v="0"/>
    <m/>
    <m/>
    <n v="0"/>
    <m/>
    <m/>
    <n v="0"/>
    <m/>
    <m/>
    <n v="0"/>
    <m/>
    <m/>
    <n v="0"/>
    <m/>
    <m/>
    <n v="0"/>
    <n v="72"/>
    <n v="61674"/>
    <n v="3633240.0096"/>
    <n v="82"/>
    <n v="61654"/>
    <n v="4136514.8296000003"/>
  </r>
  <r>
    <x v="4"/>
    <s v="Atlanta Technical College"/>
    <m/>
    <n v="138840"/>
    <x v="9"/>
    <m/>
    <m/>
    <n v="0"/>
    <m/>
    <m/>
    <n v="0"/>
    <m/>
    <m/>
    <n v="0"/>
    <m/>
    <m/>
    <n v="0"/>
    <m/>
    <m/>
    <n v="0"/>
    <m/>
    <m/>
    <n v="0"/>
    <m/>
    <m/>
    <n v="0"/>
    <m/>
    <m/>
    <n v="0"/>
    <m/>
    <m/>
    <n v="0"/>
    <m/>
    <m/>
    <n v="0"/>
    <m/>
    <m/>
    <n v="0"/>
    <m/>
    <m/>
    <n v="0"/>
    <m/>
    <m/>
    <n v="0"/>
    <m/>
    <m/>
    <n v="0"/>
    <m/>
    <m/>
    <n v="0"/>
    <m/>
    <m/>
    <n v="0"/>
    <m/>
    <m/>
    <n v="0"/>
    <m/>
    <m/>
    <n v="0"/>
    <m/>
    <m/>
    <n v="0"/>
    <m/>
    <m/>
    <n v="0"/>
    <m/>
    <m/>
    <n v="0"/>
    <m/>
    <m/>
    <n v="0"/>
    <n v="85"/>
    <n v="55376"/>
    <n v="3851234.6720000003"/>
    <n v="89"/>
    <n v="53404"/>
    <n v="3888868.5992000001"/>
  </r>
  <r>
    <x v="4"/>
    <s v="Augusta Technical College"/>
    <m/>
    <n v="138956"/>
    <x v="9"/>
    <m/>
    <m/>
    <n v="0"/>
    <m/>
    <m/>
    <n v="0"/>
    <m/>
    <m/>
    <n v="0"/>
    <m/>
    <m/>
    <n v="0"/>
    <m/>
    <m/>
    <n v="0"/>
    <m/>
    <m/>
    <n v="0"/>
    <m/>
    <m/>
    <n v="0"/>
    <m/>
    <m/>
    <n v="0"/>
    <m/>
    <m/>
    <n v="0"/>
    <m/>
    <m/>
    <n v="0"/>
    <m/>
    <m/>
    <n v="0"/>
    <n v="1"/>
    <n v="48384"/>
    <n v="48384"/>
    <m/>
    <m/>
    <n v="0"/>
    <m/>
    <m/>
    <n v="0"/>
    <m/>
    <m/>
    <n v="0"/>
    <m/>
    <m/>
    <n v="0"/>
    <m/>
    <m/>
    <n v="0"/>
    <m/>
    <m/>
    <n v="0"/>
    <m/>
    <m/>
    <n v="0"/>
    <m/>
    <m/>
    <n v="0"/>
    <m/>
    <m/>
    <n v="0"/>
    <m/>
    <m/>
    <n v="0"/>
    <n v="133"/>
    <n v="58665"/>
    <n v="6383960.4989999998"/>
    <n v="132"/>
    <n v="58378"/>
    <n v="6304964.1072000004"/>
  </r>
  <r>
    <x v="4"/>
    <s v="Central Georgia Technical College"/>
    <m/>
    <n v="140304"/>
    <x v="9"/>
    <m/>
    <m/>
    <n v="0"/>
    <m/>
    <m/>
    <n v="0"/>
    <m/>
    <m/>
    <n v="0"/>
    <m/>
    <m/>
    <n v="0"/>
    <m/>
    <m/>
    <n v="0"/>
    <m/>
    <m/>
    <n v="0"/>
    <m/>
    <m/>
    <n v="0"/>
    <m/>
    <m/>
    <n v="0"/>
    <m/>
    <m/>
    <n v="0"/>
    <m/>
    <m/>
    <n v="0"/>
    <n v="2"/>
    <n v="59661"/>
    <n v="119322"/>
    <n v="1"/>
    <n v="50329"/>
    <n v="50329"/>
    <m/>
    <m/>
    <n v="0"/>
    <m/>
    <m/>
    <n v="0"/>
    <m/>
    <m/>
    <n v="0"/>
    <m/>
    <m/>
    <n v="0"/>
    <m/>
    <m/>
    <n v="0"/>
    <m/>
    <m/>
    <n v="0"/>
    <m/>
    <m/>
    <n v="0"/>
    <m/>
    <m/>
    <n v="0"/>
    <m/>
    <m/>
    <n v="0"/>
    <m/>
    <m/>
    <n v="0"/>
    <n v="115"/>
    <n v="66322"/>
    <n v="6240435.9460000005"/>
    <n v="120"/>
    <n v="67277"/>
    <n v="6605524.9680000003"/>
  </r>
  <r>
    <x v="4"/>
    <s v="Chattahoochee Technical College"/>
    <m/>
    <n v="140331"/>
    <x v="9"/>
    <m/>
    <m/>
    <n v="0"/>
    <m/>
    <m/>
    <n v="0"/>
    <m/>
    <m/>
    <n v="0"/>
    <m/>
    <m/>
    <n v="0"/>
    <m/>
    <m/>
    <n v="0"/>
    <m/>
    <m/>
    <n v="0"/>
    <m/>
    <m/>
    <n v="0"/>
    <m/>
    <m/>
    <n v="0"/>
    <m/>
    <m/>
    <n v="0"/>
    <m/>
    <m/>
    <n v="0"/>
    <n v="3"/>
    <n v="25756"/>
    <n v="77268"/>
    <n v="1"/>
    <n v="30082"/>
    <n v="30082"/>
    <m/>
    <m/>
    <n v="0"/>
    <m/>
    <m/>
    <n v="0"/>
    <m/>
    <m/>
    <n v="0"/>
    <m/>
    <m/>
    <n v="0"/>
    <m/>
    <m/>
    <n v="0"/>
    <m/>
    <m/>
    <n v="0"/>
    <m/>
    <m/>
    <n v="0"/>
    <m/>
    <m/>
    <n v="0"/>
    <m/>
    <m/>
    <n v="0"/>
    <m/>
    <m/>
    <n v="0"/>
    <n v="155"/>
    <n v="56378"/>
    <n v="7149914.3380000005"/>
    <n v="174"/>
    <n v="58167"/>
    <n v="8281049.6556000002"/>
  </r>
  <r>
    <x v="4"/>
    <s v="Columbus Technical College"/>
    <m/>
    <n v="139357"/>
    <x v="9"/>
    <m/>
    <m/>
    <n v="0"/>
    <m/>
    <m/>
    <n v="0"/>
    <m/>
    <m/>
    <n v="0"/>
    <m/>
    <m/>
    <n v="0"/>
    <m/>
    <m/>
    <n v="0"/>
    <m/>
    <m/>
    <n v="0"/>
    <m/>
    <m/>
    <n v="0"/>
    <m/>
    <m/>
    <n v="0"/>
    <m/>
    <m/>
    <n v="0"/>
    <m/>
    <m/>
    <n v="0"/>
    <m/>
    <m/>
    <n v="0"/>
    <m/>
    <m/>
    <n v="0"/>
    <m/>
    <m/>
    <n v="0"/>
    <m/>
    <m/>
    <n v="0"/>
    <m/>
    <m/>
    <n v="0"/>
    <m/>
    <m/>
    <n v="0"/>
    <m/>
    <m/>
    <n v="0"/>
    <m/>
    <m/>
    <n v="0"/>
    <m/>
    <m/>
    <n v="0"/>
    <m/>
    <m/>
    <n v="0"/>
    <m/>
    <m/>
    <n v="0"/>
    <m/>
    <m/>
    <n v="0"/>
    <n v="74"/>
    <n v="54474"/>
    <n v="3298226.3832"/>
    <n v="72"/>
    <n v="52964"/>
    <n v="3120130.4256000002"/>
  </r>
  <r>
    <x v="4"/>
    <s v="DeKalb Technical College"/>
    <m/>
    <n v="244446"/>
    <x v="9"/>
    <m/>
    <m/>
    <n v="0"/>
    <m/>
    <m/>
    <n v="0"/>
    <m/>
    <m/>
    <n v="0"/>
    <m/>
    <m/>
    <n v="0"/>
    <m/>
    <m/>
    <n v="0"/>
    <m/>
    <m/>
    <n v="0"/>
    <m/>
    <m/>
    <n v="0"/>
    <m/>
    <m/>
    <n v="0"/>
    <m/>
    <m/>
    <n v="0"/>
    <m/>
    <m/>
    <n v="0"/>
    <m/>
    <m/>
    <n v="0"/>
    <m/>
    <m/>
    <n v="0"/>
    <m/>
    <m/>
    <n v="0"/>
    <m/>
    <m/>
    <n v="0"/>
    <m/>
    <m/>
    <n v="0"/>
    <m/>
    <m/>
    <n v="0"/>
    <m/>
    <m/>
    <n v="0"/>
    <m/>
    <m/>
    <n v="0"/>
    <m/>
    <m/>
    <n v="0"/>
    <m/>
    <m/>
    <n v="0"/>
    <m/>
    <m/>
    <n v="0"/>
    <m/>
    <m/>
    <n v="0"/>
    <n v="89"/>
    <n v="60671"/>
    <n v="4418050.0858000005"/>
    <n v="82"/>
    <n v="61144"/>
    <n v="4102297.7056"/>
  </r>
  <r>
    <x v="4"/>
    <s v="Georgia Northwestern Technical College"/>
    <m/>
    <n v="139384"/>
    <x v="9"/>
    <m/>
    <m/>
    <n v="0"/>
    <m/>
    <m/>
    <n v="0"/>
    <m/>
    <m/>
    <n v="0"/>
    <m/>
    <m/>
    <n v="0"/>
    <m/>
    <m/>
    <n v="0"/>
    <m/>
    <m/>
    <n v="0"/>
    <m/>
    <m/>
    <n v="0"/>
    <m/>
    <m/>
    <n v="0"/>
    <m/>
    <m/>
    <n v="0"/>
    <m/>
    <m/>
    <n v="0"/>
    <n v="6"/>
    <n v="59692"/>
    <n v="358152"/>
    <n v="6"/>
    <n v="59692"/>
    <n v="358152"/>
    <m/>
    <m/>
    <n v="0"/>
    <m/>
    <m/>
    <n v="0"/>
    <m/>
    <m/>
    <n v="0"/>
    <m/>
    <m/>
    <n v="0"/>
    <m/>
    <m/>
    <n v="0"/>
    <m/>
    <m/>
    <n v="0"/>
    <m/>
    <m/>
    <n v="0"/>
    <m/>
    <m/>
    <n v="0"/>
    <m/>
    <m/>
    <n v="0"/>
    <m/>
    <m/>
    <n v="0"/>
    <n v="7"/>
    <n v="58586.571428571428"/>
    <n v="335548.7292"/>
    <n v="117"/>
    <n v="58519"/>
    <n v="5601988.7586000003"/>
  </r>
  <r>
    <x v="4"/>
    <s v="Gwinnett Technical College"/>
    <m/>
    <n v="140012"/>
    <x v="9"/>
    <m/>
    <m/>
    <n v="0"/>
    <m/>
    <m/>
    <n v="0"/>
    <m/>
    <m/>
    <n v="0"/>
    <m/>
    <m/>
    <n v="0"/>
    <m/>
    <m/>
    <n v="0"/>
    <m/>
    <m/>
    <n v="0"/>
    <m/>
    <m/>
    <n v="0"/>
    <m/>
    <m/>
    <n v="0"/>
    <m/>
    <m/>
    <n v="0"/>
    <m/>
    <m/>
    <n v="0"/>
    <m/>
    <m/>
    <n v="0"/>
    <m/>
    <m/>
    <n v="0"/>
    <m/>
    <m/>
    <n v="0"/>
    <m/>
    <m/>
    <n v="0"/>
    <m/>
    <m/>
    <n v="0"/>
    <m/>
    <m/>
    <n v="0"/>
    <m/>
    <m/>
    <n v="0"/>
    <m/>
    <m/>
    <n v="0"/>
    <m/>
    <m/>
    <n v="0"/>
    <m/>
    <m/>
    <n v="0"/>
    <m/>
    <m/>
    <n v="0"/>
    <m/>
    <m/>
    <n v="0"/>
    <n v="85"/>
    <n v="68667"/>
    <n v="4775583.8490000004"/>
    <n v="91"/>
    <n v="67471"/>
    <n v="5023634.2702000001"/>
  </r>
  <r>
    <x v="4"/>
    <s v="Heart of Georgia Technical College"/>
    <m/>
    <n v="140076"/>
    <x v="9"/>
    <m/>
    <m/>
    <n v="0"/>
    <m/>
    <m/>
    <n v="0"/>
    <m/>
    <m/>
    <n v="0"/>
    <m/>
    <m/>
    <n v="0"/>
    <m/>
    <m/>
    <n v="0"/>
    <m/>
    <m/>
    <n v="0"/>
    <m/>
    <m/>
    <n v="0"/>
    <m/>
    <m/>
    <n v="0"/>
    <m/>
    <m/>
    <n v="0"/>
    <m/>
    <m/>
    <n v="0"/>
    <m/>
    <m/>
    <n v="0"/>
    <m/>
    <m/>
    <n v="0"/>
    <m/>
    <m/>
    <n v="0"/>
    <m/>
    <m/>
    <n v="0"/>
    <m/>
    <m/>
    <n v="0"/>
    <m/>
    <m/>
    <n v="0"/>
    <m/>
    <m/>
    <n v="0"/>
    <m/>
    <m/>
    <n v="0"/>
    <m/>
    <m/>
    <n v="0"/>
    <m/>
    <m/>
    <n v="0"/>
    <m/>
    <m/>
    <n v="0"/>
    <m/>
    <m/>
    <n v="0"/>
    <n v="44"/>
    <n v="55120"/>
    <n v="1984364.0960000001"/>
    <n v="46"/>
    <n v="53837"/>
    <n v="2026273.9364"/>
  </r>
  <r>
    <x v="4"/>
    <s v="Lanier Technical College"/>
    <m/>
    <n v="140243"/>
    <x v="9"/>
    <m/>
    <m/>
    <n v="0"/>
    <m/>
    <m/>
    <n v="0"/>
    <m/>
    <m/>
    <n v="0"/>
    <m/>
    <m/>
    <n v="0"/>
    <m/>
    <m/>
    <n v="0"/>
    <m/>
    <m/>
    <n v="0"/>
    <m/>
    <m/>
    <n v="0"/>
    <m/>
    <m/>
    <n v="0"/>
    <m/>
    <m/>
    <n v="0"/>
    <m/>
    <m/>
    <n v="0"/>
    <n v="1"/>
    <n v="43074"/>
    <n v="43074"/>
    <n v="1"/>
    <n v="43074"/>
    <n v="43074"/>
    <m/>
    <m/>
    <n v="0"/>
    <m/>
    <m/>
    <n v="0"/>
    <m/>
    <m/>
    <n v="0"/>
    <m/>
    <m/>
    <n v="0"/>
    <m/>
    <m/>
    <n v="0"/>
    <m/>
    <m/>
    <n v="0"/>
    <m/>
    <m/>
    <n v="0"/>
    <m/>
    <m/>
    <n v="0"/>
    <m/>
    <m/>
    <n v="0"/>
    <m/>
    <m/>
    <n v="0"/>
    <n v="74"/>
    <n v="55314"/>
    <n v="3349085.6952"/>
    <n v="78"/>
    <n v="55886"/>
    <n v="3566622.1655999999"/>
  </r>
  <r>
    <x v="4"/>
    <s v="Middle Georgia Technical College"/>
    <m/>
    <n v="140085"/>
    <x v="9"/>
    <m/>
    <m/>
    <n v="0"/>
    <m/>
    <m/>
    <n v="0"/>
    <m/>
    <m/>
    <n v="0"/>
    <m/>
    <m/>
    <n v="0"/>
    <m/>
    <m/>
    <n v="0"/>
    <m/>
    <m/>
    <n v="0"/>
    <m/>
    <m/>
    <n v="0"/>
    <m/>
    <m/>
    <n v="0"/>
    <m/>
    <m/>
    <n v="0"/>
    <m/>
    <m/>
    <n v="0"/>
    <m/>
    <m/>
    <n v="0"/>
    <m/>
    <m/>
    <n v="0"/>
    <m/>
    <m/>
    <n v="0"/>
    <m/>
    <m/>
    <n v="0"/>
    <m/>
    <m/>
    <n v="0"/>
    <m/>
    <m/>
    <n v="0"/>
    <m/>
    <m/>
    <n v="0"/>
    <m/>
    <m/>
    <n v="0"/>
    <m/>
    <m/>
    <n v="0"/>
    <m/>
    <m/>
    <n v="0"/>
    <m/>
    <m/>
    <n v="0"/>
    <m/>
    <m/>
    <n v="0"/>
    <n v="112"/>
    <n v="48572"/>
    <n v="4451060.3648000006"/>
    <n v="100"/>
    <n v="50130"/>
    <n v="4101636.6"/>
  </r>
  <r>
    <x v="4"/>
    <s v="Moultrie Technical College"/>
    <m/>
    <n v="140599"/>
    <x v="9"/>
    <m/>
    <m/>
    <n v="0"/>
    <m/>
    <m/>
    <n v="0"/>
    <m/>
    <m/>
    <n v="0"/>
    <m/>
    <m/>
    <n v="0"/>
    <m/>
    <m/>
    <n v="0"/>
    <m/>
    <m/>
    <n v="0"/>
    <m/>
    <m/>
    <n v="0"/>
    <m/>
    <m/>
    <n v="0"/>
    <m/>
    <m/>
    <n v="0"/>
    <m/>
    <m/>
    <n v="0"/>
    <m/>
    <m/>
    <n v="0"/>
    <m/>
    <m/>
    <n v="0"/>
    <m/>
    <m/>
    <n v="0"/>
    <m/>
    <m/>
    <n v="0"/>
    <m/>
    <m/>
    <n v="0"/>
    <m/>
    <m/>
    <n v="0"/>
    <m/>
    <m/>
    <n v="0"/>
    <m/>
    <m/>
    <n v="0"/>
    <m/>
    <m/>
    <n v="0"/>
    <m/>
    <m/>
    <n v="0"/>
    <m/>
    <m/>
    <n v="0"/>
    <m/>
    <m/>
    <n v="0"/>
    <n v="56"/>
    <n v="51206"/>
    <n v="2346217.9552000002"/>
    <n v="60"/>
    <n v="51726"/>
    <n v="2539332.7919999999"/>
  </r>
  <r>
    <x v="4"/>
    <s v="North Georgia Technical College"/>
    <m/>
    <n v="140678"/>
    <x v="9"/>
    <m/>
    <m/>
    <n v="0"/>
    <m/>
    <m/>
    <n v="0"/>
    <m/>
    <m/>
    <n v="0"/>
    <m/>
    <m/>
    <n v="0"/>
    <m/>
    <m/>
    <n v="0"/>
    <m/>
    <m/>
    <n v="0"/>
    <m/>
    <m/>
    <n v="0"/>
    <m/>
    <m/>
    <n v="0"/>
    <m/>
    <m/>
    <n v="0"/>
    <m/>
    <m/>
    <n v="0"/>
    <m/>
    <m/>
    <n v="0"/>
    <m/>
    <m/>
    <n v="0"/>
    <m/>
    <m/>
    <n v="0"/>
    <m/>
    <m/>
    <n v="0"/>
    <m/>
    <m/>
    <n v="0"/>
    <m/>
    <m/>
    <n v="0"/>
    <m/>
    <m/>
    <n v="0"/>
    <m/>
    <m/>
    <n v="0"/>
    <m/>
    <m/>
    <n v="0"/>
    <m/>
    <m/>
    <n v="0"/>
    <m/>
    <m/>
    <n v="0"/>
    <m/>
    <m/>
    <n v="0"/>
    <n v="72"/>
    <n v="48035"/>
    <n v="2829761.0640000002"/>
    <n v="71"/>
    <n v="48000"/>
    <n v="2788425.6"/>
  </r>
  <r>
    <x v="4"/>
    <s v="Ogeechee Technical College"/>
    <m/>
    <n v="366465"/>
    <x v="9"/>
    <m/>
    <m/>
    <n v="0"/>
    <m/>
    <m/>
    <n v="0"/>
    <m/>
    <m/>
    <n v="0"/>
    <m/>
    <m/>
    <n v="0"/>
    <m/>
    <m/>
    <n v="0"/>
    <m/>
    <m/>
    <n v="0"/>
    <m/>
    <m/>
    <n v="0"/>
    <m/>
    <m/>
    <n v="0"/>
    <m/>
    <m/>
    <n v="0"/>
    <m/>
    <m/>
    <n v="0"/>
    <m/>
    <m/>
    <n v="0"/>
    <m/>
    <m/>
    <n v="0"/>
    <m/>
    <m/>
    <n v="0"/>
    <m/>
    <m/>
    <n v="0"/>
    <m/>
    <m/>
    <n v="0"/>
    <m/>
    <m/>
    <n v="0"/>
    <m/>
    <m/>
    <n v="0"/>
    <m/>
    <m/>
    <n v="0"/>
    <m/>
    <m/>
    <n v="0"/>
    <m/>
    <m/>
    <n v="0"/>
    <m/>
    <m/>
    <n v="0"/>
    <m/>
    <m/>
    <n v="0"/>
    <n v="67"/>
    <n v="51495"/>
    <n v="2822925.003"/>
    <n v="71"/>
    <n v="50957"/>
    <n v="2960204.2354000001"/>
  </r>
  <r>
    <x v="4"/>
    <s v="Okefenokee Technical College"/>
    <m/>
    <n v="248776"/>
    <x v="9"/>
    <m/>
    <m/>
    <n v="0"/>
    <m/>
    <m/>
    <n v="0"/>
    <m/>
    <m/>
    <n v="0"/>
    <m/>
    <m/>
    <n v="0"/>
    <m/>
    <m/>
    <n v="0"/>
    <m/>
    <m/>
    <n v="0"/>
    <m/>
    <m/>
    <n v="0"/>
    <m/>
    <m/>
    <n v="0"/>
    <m/>
    <m/>
    <n v="0"/>
    <m/>
    <m/>
    <n v="0"/>
    <n v="2"/>
    <n v="36726"/>
    <n v="73452"/>
    <n v="2"/>
    <n v="36726"/>
    <n v="73452"/>
    <m/>
    <m/>
    <n v="0"/>
    <m/>
    <m/>
    <n v="0"/>
    <m/>
    <m/>
    <n v="0"/>
    <m/>
    <m/>
    <n v="0"/>
    <m/>
    <m/>
    <n v="0"/>
    <m/>
    <m/>
    <n v="0"/>
    <m/>
    <m/>
    <n v="0"/>
    <m/>
    <m/>
    <n v="0"/>
    <m/>
    <m/>
    <n v="0"/>
    <m/>
    <m/>
    <n v="0"/>
    <n v="47"/>
    <n v="48003"/>
    <n v="1845974.5662"/>
    <n v="50"/>
    <n v="47731"/>
    <n v="1952675.2100000002"/>
  </r>
  <r>
    <x v="4"/>
    <s v="Savannah Technical College"/>
    <m/>
    <n v="140942"/>
    <x v="9"/>
    <m/>
    <m/>
    <n v="0"/>
    <m/>
    <m/>
    <n v="0"/>
    <m/>
    <m/>
    <n v="0"/>
    <m/>
    <m/>
    <n v="0"/>
    <m/>
    <m/>
    <n v="0"/>
    <m/>
    <m/>
    <n v="0"/>
    <m/>
    <m/>
    <n v="0"/>
    <m/>
    <m/>
    <n v="0"/>
    <m/>
    <m/>
    <n v="0"/>
    <m/>
    <m/>
    <n v="0"/>
    <n v="4"/>
    <n v="37507"/>
    <n v="150028"/>
    <n v="2"/>
    <n v="54546"/>
    <n v="109092"/>
    <m/>
    <m/>
    <n v="0"/>
    <m/>
    <m/>
    <n v="0"/>
    <m/>
    <m/>
    <n v="0"/>
    <m/>
    <m/>
    <n v="0"/>
    <m/>
    <m/>
    <n v="0"/>
    <m/>
    <m/>
    <n v="0"/>
    <m/>
    <m/>
    <n v="0"/>
    <m/>
    <m/>
    <n v="0"/>
    <m/>
    <m/>
    <n v="0"/>
    <m/>
    <m/>
    <n v="0"/>
    <n v="81"/>
    <n v="57150"/>
    <n v="3787570.5300000003"/>
    <n v="90"/>
    <n v="53925"/>
    <n v="3970929.1500000004"/>
  </r>
  <r>
    <x v="4"/>
    <s v="South Georgia Technical College"/>
    <m/>
    <n v="141006"/>
    <x v="9"/>
    <m/>
    <m/>
    <n v="0"/>
    <m/>
    <m/>
    <n v="0"/>
    <m/>
    <m/>
    <n v="0"/>
    <m/>
    <m/>
    <n v="0"/>
    <m/>
    <m/>
    <n v="0"/>
    <m/>
    <m/>
    <n v="0"/>
    <m/>
    <m/>
    <n v="0"/>
    <m/>
    <m/>
    <n v="0"/>
    <m/>
    <m/>
    <n v="0"/>
    <m/>
    <m/>
    <n v="0"/>
    <m/>
    <m/>
    <n v="0"/>
    <m/>
    <m/>
    <n v="0"/>
    <m/>
    <m/>
    <n v="0"/>
    <m/>
    <m/>
    <n v="0"/>
    <m/>
    <m/>
    <n v="0"/>
    <m/>
    <m/>
    <n v="0"/>
    <m/>
    <m/>
    <n v="0"/>
    <m/>
    <m/>
    <n v="0"/>
    <m/>
    <m/>
    <n v="0"/>
    <m/>
    <m/>
    <n v="0"/>
    <m/>
    <m/>
    <n v="0"/>
    <m/>
    <m/>
    <n v="0"/>
    <n v="63"/>
    <n v="52170"/>
    <n v="2689186.122"/>
    <n v="64"/>
    <n v="51710"/>
    <n v="2707783.8080000002"/>
  </r>
  <r>
    <x v="4"/>
    <s v="Southeastern Technical College"/>
    <m/>
    <n v="368911"/>
    <x v="9"/>
    <m/>
    <m/>
    <n v="0"/>
    <m/>
    <m/>
    <n v="0"/>
    <m/>
    <m/>
    <n v="0"/>
    <m/>
    <m/>
    <n v="0"/>
    <m/>
    <m/>
    <n v="0"/>
    <m/>
    <m/>
    <n v="0"/>
    <m/>
    <m/>
    <n v="0"/>
    <m/>
    <m/>
    <n v="0"/>
    <m/>
    <m/>
    <n v="0"/>
    <m/>
    <m/>
    <n v="0"/>
    <n v="0"/>
    <m/>
    <n v="0"/>
    <m/>
    <m/>
    <n v="0"/>
    <m/>
    <m/>
    <n v="0"/>
    <m/>
    <m/>
    <n v="0"/>
    <m/>
    <m/>
    <n v="0"/>
    <m/>
    <m/>
    <n v="0"/>
    <m/>
    <m/>
    <n v="0"/>
    <m/>
    <m/>
    <n v="0"/>
    <m/>
    <m/>
    <n v="0"/>
    <m/>
    <m/>
    <n v="0"/>
    <m/>
    <m/>
    <n v="0"/>
    <m/>
    <m/>
    <n v="0"/>
    <n v="70"/>
    <n v="52238"/>
    <n v="2991879.2120000003"/>
    <n v="70"/>
    <n v="51867"/>
    <n v="2970630.5580000002"/>
  </r>
  <r>
    <x v="4"/>
    <s v="Southern Crescent Technical College"/>
    <s v="Is the merger of Flint River Tech. Col. and Griffin Tech.l Col."/>
    <n v="139986"/>
    <x v="9"/>
    <m/>
    <m/>
    <n v="0"/>
    <m/>
    <m/>
    <n v="0"/>
    <m/>
    <m/>
    <n v="0"/>
    <m/>
    <m/>
    <n v="0"/>
    <m/>
    <m/>
    <n v="0"/>
    <m/>
    <m/>
    <n v="0"/>
    <m/>
    <m/>
    <n v="0"/>
    <m/>
    <m/>
    <n v="0"/>
    <m/>
    <m/>
    <n v="0"/>
    <m/>
    <m/>
    <n v="0"/>
    <m/>
    <m/>
    <n v="0"/>
    <m/>
    <m/>
    <n v="0"/>
    <m/>
    <m/>
    <n v="0"/>
    <m/>
    <m/>
    <n v="0"/>
    <m/>
    <m/>
    <n v="0"/>
    <m/>
    <m/>
    <n v="0"/>
    <m/>
    <m/>
    <n v="0"/>
    <m/>
    <m/>
    <n v="0"/>
    <m/>
    <m/>
    <n v="0"/>
    <m/>
    <m/>
    <n v="0"/>
    <m/>
    <m/>
    <n v="0"/>
    <m/>
    <m/>
    <n v="0"/>
    <n v="98"/>
    <n v="52221.714285714283"/>
    <n v="4187325.0496"/>
    <n v="110"/>
    <n v="53461"/>
    <n v="4811596.9220000003"/>
  </r>
  <r>
    <x v="4"/>
    <s v="Southwest Georgia Technical College"/>
    <m/>
    <n v="141158"/>
    <x v="9"/>
    <m/>
    <m/>
    <n v="0"/>
    <m/>
    <m/>
    <n v="0"/>
    <m/>
    <m/>
    <n v="0"/>
    <m/>
    <m/>
    <n v="0"/>
    <m/>
    <m/>
    <n v="0"/>
    <m/>
    <m/>
    <n v="0"/>
    <m/>
    <m/>
    <n v="0"/>
    <m/>
    <m/>
    <n v="0"/>
    <m/>
    <m/>
    <n v="0"/>
    <m/>
    <m/>
    <n v="0"/>
    <m/>
    <m/>
    <n v="0"/>
    <n v="1"/>
    <n v="42744"/>
    <n v="42744"/>
    <m/>
    <m/>
    <n v="0"/>
    <m/>
    <m/>
    <n v="0"/>
    <m/>
    <m/>
    <n v="0"/>
    <m/>
    <m/>
    <n v="0"/>
    <m/>
    <m/>
    <n v="0"/>
    <m/>
    <m/>
    <n v="0"/>
    <m/>
    <m/>
    <n v="0"/>
    <m/>
    <m/>
    <n v="0"/>
    <m/>
    <m/>
    <n v="0"/>
    <m/>
    <m/>
    <n v="0"/>
    <n v="53"/>
    <n v="55497"/>
    <n v="2406605.2061999999"/>
    <n v="47"/>
    <n v="55004"/>
    <n v="2115200.8215999999"/>
  </r>
  <r>
    <x v="4"/>
    <s v="West Georgia Technical College"/>
    <m/>
    <n v="139278"/>
    <x v="9"/>
    <m/>
    <m/>
    <n v="0"/>
    <m/>
    <m/>
    <n v="0"/>
    <m/>
    <m/>
    <n v="0"/>
    <m/>
    <m/>
    <n v="0"/>
    <m/>
    <m/>
    <n v="0"/>
    <m/>
    <m/>
    <n v="0"/>
    <m/>
    <m/>
    <n v="0"/>
    <m/>
    <m/>
    <n v="0"/>
    <m/>
    <m/>
    <n v="0"/>
    <m/>
    <m/>
    <n v="0"/>
    <n v="0"/>
    <m/>
    <n v="0"/>
    <n v="1"/>
    <n v="48858"/>
    <n v="48858"/>
    <m/>
    <m/>
    <n v="0"/>
    <m/>
    <m/>
    <n v="0"/>
    <m/>
    <m/>
    <n v="0"/>
    <m/>
    <m/>
    <n v="0"/>
    <m/>
    <m/>
    <n v="0"/>
    <m/>
    <m/>
    <n v="0"/>
    <m/>
    <m/>
    <n v="0"/>
    <m/>
    <m/>
    <n v="0"/>
    <m/>
    <m/>
    <n v="0"/>
    <m/>
    <m/>
    <n v="0"/>
    <n v="142"/>
    <n v="49911"/>
    <n v="5798879.5884000007"/>
    <n v="145"/>
    <n v="49747"/>
    <n v="5901934.3330000006"/>
  </r>
  <r>
    <x v="4"/>
    <s v="Wiregrass Georgia Technical College"/>
    <s v="Is the merger of East Central Tech. Col. and Valdosta Tech. Col."/>
    <n v="141255"/>
    <x v="9"/>
    <m/>
    <m/>
    <n v="0"/>
    <m/>
    <m/>
    <n v="0"/>
    <m/>
    <m/>
    <n v="0"/>
    <m/>
    <m/>
    <n v="0"/>
    <m/>
    <m/>
    <n v="0"/>
    <m/>
    <m/>
    <n v="0"/>
    <m/>
    <m/>
    <n v="0"/>
    <m/>
    <m/>
    <n v="0"/>
    <m/>
    <m/>
    <n v="0"/>
    <m/>
    <m/>
    <n v="0"/>
    <n v="2"/>
    <n v="29817"/>
    <n v="59634"/>
    <m/>
    <m/>
    <n v="0"/>
    <m/>
    <m/>
    <n v="0"/>
    <m/>
    <m/>
    <n v="0"/>
    <m/>
    <m/>
    <n v="0"/>
    <m/>
    <m/>
    <n v="0"/>
    <m/>
    <m/>
    <n v="0"/>
    <m/>
    <m/>
    <n v="0"/>
    <m/>
    <m/>
    <n v="0"/>
    <m/>
    <m/>
    <n v="0"/>
    <m/>
    <m/>
    <n v="0"/>
    <m/>
    <m/>
    <n v="0"/>
    <n v="115"/>
    <n v="48496.6"/>
    <n v="4563190.5838000001"/>
    <n v="121"/>
    <n v="47846"/>
    <n v="4736859.2612000005"/>
  </r>
  <r>
    <x v="4"/>
    <s v="Sandersville Technical College"/>
    <m/>
    <n v="420431"/>
    <x v="10"/>
    <m/>
    <m/>
    <n v="0"/>
    <m/>
    <m/>
    <n v="0"/>
    <m/>
    <m/>
    <n v="0"/>
    <m/>
    <m/>
    <n v="0"/>
    <m/>
    <m/>
    <n v="0"/>
    <m/>
    <m/>
    <n v="0"/>
    <m/>
    <m/>
    <n v="0"/>
    <m/>
    <m/>
    <n v="0"/>
    <m/>
    <m/>
    <n v="0"/>
    <m/>
    <m/>
    <n v="0"/>
    <n v="1"/>
    <n v="38400"/>
    <n v="38400"/>
    <m/>
    <m/>
    <n v="0"/>
    <m/>
    <m/>
    <n v="0"/>
    <m/>
    <m/>
    <n v="0"/>
    <m/>
    <m/>
    <n v="0"/>
    <m/>
    <m/>
    <n v="0"/>
    <m/>
    <m/>
    <n v="0"/>
    <m/>
    <m/>
    <n v="0"/>
    <m/>
    <m/>
    <n v="0"/>
    <m/>
    <m/>
    <n v="0"/>
    <m/>
    <m/>
    <n v="0"/>
    <m/>
    <m/>
    <n v="0"/>
    <n v="29"/>
    <n v="45881"/>
    <n v="1088655.1918000001"/>
    <n v="29"/>
    <n v="45384"/>
    <n v="1076862.4752"/>
  </r>
  <r>
    <x v="4"/>
    <s v="Georgia Gwinnett College"/>
    <s v="In start up phase."/>
    <n v="447689"/>
    <x v="12"/>
    <n v="5"/>
    <n v="120070"/>
    <n v="600350"/>
    <n v="11"/>
    <n v="107083"/>
    <n v="1177913"/>
    <n v="26"/>
    <n v="76356"/>
    <n v="1985256"/>
    <n v="30"/>
    <n v="77710.399999999994"/>
    <n v="2331312"/>
    <n v="88"/>
    <n v="61630"/>
    <n v="5423440"/>
    <n v="142"/>
    <n v="60739.5"/>
    <n v="8625009"/>
    <n v="4"/>
    <n v="43500"/>
    <n v="174000"/>
    <n v="10"/>
    <n v="47403.199999999997"/>
    <n v="474032"/>
    <m/>
    <m/>
    <n v="0"/>
    <m/>
    <m/>
    <n v="0"/>
    <m/>
    <m/>
    <n v="0"/>
    <m/>
    <m/>
    <n v="0"/>
    <m/>
    <m/>
    <n v="0"/>
    <m/>
    <m/>
    <n v="0"/>
    <m/>
    <m/>
    <n v="0"/>
    <m/>
    <m/>
    <n v="0"/>
    <n v="7"/>
    <n v="53369"/>
    <n v="305665.61060000001"/>
    <n v="6"/>
    <n v="53881.5"/>
    <n v="264515.05979999999"/>
    <n v="2"/>
    <n v="43331"/>
    <n v="70906.848400000003"/>
    <n v="3"/>
    <n v="43237"/>
    <n v="106129.5402"/>
    <m/>
    <m/>
    <n v="0"/>
    <m/>
    <m/>
    <n v="0"/>
    <m/>
    <m/>
    <n v="0"/>
    <m/>
    <m/>
    <n v="0"/>
  </r>
  <r>
    <x v="5"/>
    <s v="University of Kentucky"/>
    <m/>
    <n v="157085"/>
    <x v="0"/>
    <n v="309"/>
    <n v="104845.04207119741"/>
    <n v="32397118"/>
    <n v="305"/>
    <n v="104972.04590163934"/>
    <n v="32016474"/>
    <n v="274"/>
    <n v="74837.354014598546"/>
    <n v="20505435"/>
    <n v="278"/>
    <n v="75337.169064748203"/>
    <n v="20943733"/>
    <n v="219"/>
    <n v="69036.479452054788"/>
    <n v="15118988.999999998"/>
    <n v="220"/>
    <n v="69328.763636363641"/>
    <n v="15252328.000000002"/>
    <n v="2"/>
    <n v="59250"/>
    <n v="118500"/>
    <n v="1"/>
    <n v="50000"/>
    <n v="50000"/>
    <n v="103"/>
    <n v="45350.097087378643"/>
    <n v="4671060"/>
    <n v="134"/>
    <n v="48963.089552238809"/>
    <n v="6561054"/>
    <m/>
    <m/>
    <n v="0"/>
    <m/>
    <m/>
    <n v="0"/>
    <n v="142"/>
    <n v="125246.71126760563"/>
    <n v="14551714.000600001"/>
    <n v="143"/>
    <n v="127679.03496503497"/>
    <n v="14938779.056400001"/>
    <n v="119"/>
    <n v="94824.806722689071"/>
    <n v="9232693.1664000005"/>
    <n v="117"/>
    <n v="94876.239316239313"/>
    <n v="9082445.4639999997"/>
    <n v="95"/>
    <n v="80690.84210526316"/>
    <n v="6272018.466"/>
    <n v="102"/>
    <n v="81892.303921568629"/>
    <n v="6834436.8730000006"/>
    <m/>
    <m/>
    <n v="0"/>
    <m/>
    <m/>
    <n v="0"/>
    <n v="13"/>
    <n v="68642.923076923078"/>
    <n v="730127.31560000009"/>
    <n v="13"/>
    <n v="63319.307692307695"/>
    <n v="673502.14820000005"/>
    <m/>
    <m/>
    <n v="0"/>
    <m/>
    <m/>
    <n v="0"/>
  </r>
  <r>
    <x v="5"/>
    <s v="University of Louisville"/>
    <m/>
    <n v="157289"/>
    <x v="0"/>
    <n v="175"/>
    <n v="99835.731428571424"/>
    <n v="17471253"/>
    <n v="184"/>
    <n v="105476.35326086957"/>
    <n v="19407649"/>
    <n v="163"/>
    <n v="74537.257668711653"/>
    <n v="12149573"/>
    <n v="167"/>
    <n v="74148.604790419166"/>
    <n v="12382817"/>
    <n v="161"/>
    <n v="57641.515527950309"/>
    <n v="9280284"/>
    <n v="163"/>
    <n v="59712.63190184049"/>
    <n v="9733159"/>
    <n v="57"/>
    <n v="47944.052631578947"/>
    <n v="2732811"/>
    <n v="62"/>
    <n v="47852"/>
    <n v="2966824"/>
    <m/>
    <m/>
    <n v="0"/>
    <m/>
    <m/>
    <n v="0"/>
    <m/>
    <m/>
    <n v="0"/>
    <m/>
    <m/>
    <n v="0"/>
    <n v="125"/>
    <n v="120786.912"/>
    <n v="12353481.424800001"/>
    <n v="126"/>
    <n v="127420.76190476191"/>
    <n v="13136214.091200002"/>
    <n v="55"/>
    <n v="98255.090909090912"/>
    <n v="4421577.3459999999"/>
    <n v="56"/>
    <n v="100151.01785714286"/>
    <n v="4588839.5174000002"/>
    <n v="89"/>
    <n v="69472.370786516854"/>
    <n v="5058964.1462000003"/>
    <n v="100"/>
    <n v="75760.58"/>
    <n v="6198730.6556000002"/>
    <n v="37"/>
    <n v="60714.513513513513"/>
    <n v="1838034.7534"/>
    <n v="31"/>
    <n v="69578.967741935485"/>
    <n v="1764814.8536"/>
    <n v="5"/>
    <n v="53452"/>
    <n v="218672.13200000001"/>
    <n v="5"/>
    <n v="40622"/>
    <n v="166184.60200000001"/>
    <m/>
    <m/>
    <n v="0"/>
    <m/>
    <m/>
    <n v="0"/>
  </r>
  <r>
    <x v="5"/>
    <s v="Eastern Kentucky University "/>
    <m/>
    <n v="156620"/>
    <x v="2"/>
    <n v="94"/>
    <n v="84018.638297872341"/>
    <n v="7897752"/>
    <n v="92"/>
    <n v="81265.586956521744"/>
    <n v="7476434"/>
    <n v="126"/>
    <n v="65602.39682539682"/>
    <n v="8265901.9999999991"/>
    <n v="123"/>
    <n v="64641.398373983742"/>
    <n v="7950892"/>
    <n v="153"/>
    <n v="55676.660130718956"/>
    <n v="8518529"/>
    <n v="166"/>
    <n v="56297.283132530123"/>
    <n v="9345349"/>
    <n v="52"/>
    <n v="50807.038461538461"/>
    <n v="2641966"/>
    <n v="54"/>
    <n v="50017.333333333336"/>
    <n v="2700936"/>
    <n v="181"/>
    <n v="49993.386740331494"/>
    <n v="9048803"/>
    <n v="161"/>
    <n v="49839.09316770186"/>
    <n v="8024093.9999999991"/>
    <m/>
    <m/>
    <n v="0"/>
    <m/>
    <m/>
    <n v="0"/>
    <n v="17"/>
    <n v="99160.470588235301"/>
    <n v="1379262.6496000001"/>
    <n v="22"/>
    <n v="97254.090909090912"/>
    <n v="1750612.5380000002"/>
    <n v="10"/>
    <n v="83208.3"/>
    <n v="680810.31060000008"/>
    <n v="8"/>
    <n v="91689.25"/>
    <n v="600161.15480000002"/>
    <n v="4"/>
    <n v="70247.25"/>
    <n v="229905.1998"/>
    <n v="5"/>
    <n v="69447.8"/>
    <n v="284110.9498"/>
    <m/>
    <m/>
    <n v="0"/>
    <m/>
    <m/>
    <n v="0"/>
    <n v="10"/>
    <n v="75758.600000000006"/>
    <n v="619856.8652"/>
    <n v="11"/>
    <n v="72962.363636363632"/>
    <n v="656675.8652"/>
    <m/>
    <m/>
    <n v="0"/>
    <m/>
    <m/>
    <n v="0"/>
  </r>
  <r>
    <x v="5"/>
    <s v="Morehead State University "/>
    <s v="Reclassified: met the criteria for Four-Year 3 in 2008-09, 2009-10 and 2010-11."/>
    <n v="157386"/>
    <x v="2"/>
    <n v="49"/>
    <n v="72124.306122448979"/>
    <n v="3534091"/>
    <n v="49"/>
    <n v="71726.244897959186"/>
    <n v="3514586"/>
    <n v="133"/>
    <n v="60112.962406015038"/>
    <n v="7995024"/>
    <n v="131"/>
    <n v="60169.877862595422"/>
    <n v="7882254"/>
    <n v="95"/>
    <n v="51137.189473684208"/>
    <n v="4858033"/>
    <n v="94"/>
    <n v="50644.553191489358"/>
    <n v="4760588"/>
    <n v="66"/>
    <n v="37089.181818181816"/>
    <n v="2447886"/>
    <n v="70"/>
    <n v="37471.728571428568"/>
    <n v="2623021"/>
    <m/>
    <m/>
    <n v="0"/>
    <m/>
    <m/>
    <n v="0"/>
    <m/>
    <m/>
    <n v="0"/>
    <m/>
    <m/>
    <n v="0"/>
    <n v="14"/>
    <n v="98887.5"/>
    <n v="1132736.5350000001"/>
    <n v="15"/>
    <n v="76942.53333333334"/>
    <n v="944315.71160000004"/>
    <n v="6"/>
    <n v="87225.166666666672"/>
    <n v="428205.78820000001"/>
    <n v="10"/>
    <n v="60756.800000000003"/>
    <n v="497112.13760000002"/>
    <n v="3"/>
    <n v="51179.333333333336"/>
    <n v="125624.79160000001"/>
    <n v="3"/>
    <n v="58820"/>
    <n v="144379.57200000001"/>
    <n v="4"/>
    <n v="53915.75"/>
    <n v="176455.46660000001"/>
    <n v="2"/>
    <n v="46422.5"/>
    <n v="75965.77900000001"/>
    <m/>
    <m/>
    <n v="0"/>
    <m/>
    <m/>
    <n v="0"/>
    <m/>
    <m/>
    <n v="0"/>
    <m/>
    <m/>
    <n v="0"/>
  </r>
  <r>
    <x v="5"/>
    <s v="Murray State University "/>
    <m/>
    <n v="157401"/>
    <x v="2"/>
    <n v="79"/>
    <n v="79904.582278481015"/>
    <n v="6312462"/>
    <n v="74"/>
    <n v="80807.66216216216"/>
    <n v="5979767"/>
    <n v="81"/>
    <n v="61907.172839506173"/>
    <n v="5014481"/>
    <n v="84"/>
    <n v="62175.166666666664"/>
    <n v="5222714"/>
    <n v="116"/>
    <n v="52790.90517241379"/>
    <n v="6123745"/>
    <n v="116"/>
    <n v="52939.922413793101"/>
    <n v="6141031"/>
    <m/>
    <m/>
    <n v="0"/>
    <m/>
    <m/>
    <n v="0"/>
    <n v="73"/>
    <n v="43568.643835616436"/>
    <n v="3180511"/>
    <n v="71"/>
    <n v="42710.915492957749"/>
    <n v="3032475"/>
    <m/>
    <m/>
    <n v="0"/>
    <m/>
    <m/>
    <n v="0"/>
    <n v="23"/>
    <n v="98492"/>
    <n v="1853481.5512000001"/>
    <n v="24"/>
    <n v="97647.791666666672"/>
    <n v="1917490.1554"/>
    <n v="15"/>
    <n v="85371"/>
    <n v="1047758.2830000001"/>
    <n v="12"/>
    <n v="87106.666666666672"/>
    <n v="855248.09600000002"/>
    <n v="2"/>
    <n v="49393"/>
    <n v="80826.705199999997"/>
    <n v="3"/>
    <n v="52438.666666666664"/>
    <n v="128715.95120000001"/>
    <m/>
    <m/>
    <n v="0"/>
    <m/>
    <m/>
    <n v="0"/>
    <n v="17"/>
    <n v="52246.823529411762"/>
    <n v="726721.96720000007"/>
    <n v="17"/>
    <n v="53837.882352941175"/>
    <n v="748852.64080000005"/>
    <m/>
    <m/>
    <n v="0"/>
    <m/>
    <m/>
    <n v="0"/>
  </r>
  <r>
    <x v="5"/>
    <s v="Western Kentucky University "/>
    <m/>
    <n v="157951"/>
    <x v="2"/>
    <n v="129"/>
    <n v="82136.937984496122"/>
    <n v="10595665"/>
    <n v="136"/>
    <n v="83063.911764705888"/>
    <n v="11296692"/>
    <n v="177"/>
    <n v="63420.124293785309"/>
    <n v="11225362"/>
    <n v="179"/>
    <n v="64983.217877094969"/>
    <n v="11631996"/>
    <n v="224"/>
    <n v="52982.089285714283"/>
    <n v="11867988"/>
    <n v="222"/>
    <n v="54425.24324324324"/>
    <n v="12082404"/>
    <n v="135"/>
    <n v="39996.029629629629"/>
    <n v="5399464"/>
    <n v="138"/>
    <n v="41596.521739130432"/>
    <n v="5740320"/>
    <n v="18"/>
    <n v="51994.666666666664"/>
    <n v="935904"/>
    <n v="22"/>
    <n v="54727.090909090912"/>
    <n v="1203996"/>
    <m/>
    <m/>
    <n v="0"/>
    <m/>
    <m/>
    <n v="0"/>
    <n v="22"/>
    <n v="107117.45454545454"/>
    <n v="1928157.0288000002"/>
    <n v="23"/>
    <n v="110956.69565217392"/>
    <n v="2088049.6728000001"/>
    <n v="16"/>
    <n v="92178"/>
    <n v="1206720.6336000001"/>
    <n v="15"/>
    <n v="92244"/>
    <n v="1132110.612"/>
    <n v="3"/>
    <n v="66112"/>
    <n v="162278.51519999999"/>
    <n v="4"/>
    <n v="65373"/>
    <n v="213952.75440000001"/>
    <n v="4"/>
    <n v="57405"/>
    <n v="187875.084"/>
    <n v="3"/>
    <n v="60264"/>
    <n v="147924.01440000001"/>
    <m/>
    <m/>
    <n v="0"/>
    <m/>
    <m/>
    <n v="0"/>
    <m/>
    <m/>
    <n v="0"/>
    <m/>
    <m/>
    <n v="0"/>
  </r>
  <r>
    <x v="5"/>
    <s v="Kentucky State University "/>
    <s v="Reclassified: met the criteria for Four-Year 4 in 2008-09, 2009-10 and 2010-11."/>
    <n v="157058"/>
    <x v="3"/>
    <n v="18"/>
    <n v="73668.5"/>
    <n v="1326033"/>
    <n v="20"/>
    <n v="74116.95"/>
    <n v="1482339"/>
    <n v="31"/>
    <n v="61634.06451612903"/>
    <n v="1910656"/>
    <n v="37"/>
    <n v="58302.945945945947"/>
    <n v="2157209"/>
    <n v="52"/>
    <n v="49128.153846153844"/>
    <n v="2554664"/>
    <n v="46"/>
    <n v="47373.17391304348"/>
    <n v="2179166"/>
    <n v="16"/>
    <n v="41180"/>
    <n v="658880"/>
    <n v="15"/>
    <n v="41248.26666666667"/>
    <n v="618724"/>
    <m/>
    <m/>
    <n v="0"/>
    <m/>
    <m/>
    <n v="0"/>
    <m/>
    <m/>
    <n v="0"/>
    <m/>
    <m/>
    <n v="0"/>
    <n v="2"/>
    <n v="84626"/>
    <n v="138481.98639999999"/>
    <n v="2"/>
    <n v="84626"/>
    <n v="138481.98639999999"/>
    <n v="7"/>
    <n v="79604.142857142855"/>
    <n v="455924.76780000003"/>
    <n v="7"/>
    <n v="81206.571428571435"/>
    <n v="465102.5172"/>
    <n v="2"/>
    <n v="55137.5"/>
    <n v="90227.005000000005"/>
    <n v="2"/>
    <n v="61918.5"/>
    <n v="101323.43340000001"/>
    <m/>
    <m/>
    <n v="0"/>
    <m/>
    <m/>
    <n v="0"/>
    <m/>
    <m/>
    <n v="0"/>
    <m/>
    <m/>
    <n v="0"/>
    <m/>
    <m/>
    <n v="0"/>
    <m/>
    <m/>
    <n v="0"/>
  </r>
  <r>
    <x v="5"/>
    <s v="Northern Kentucky University "/>
    <m/>
    <n v="157447"/>
    <x v="3"/>
    <n v="85"/>
    <n v="93242.317647058822"/>
    <n v="7925597"/>
    <n v="88"/>
    <n v="94214.579545454544"/>
    <n v="8290883"/>
    <n v="131"/>
    <n v="69903.625954198476"/>
    <n v="9157375"/>
    <n v="143"/>
    <n v="68944.38461538461"/>
    <n v="9859047"/>
    <n v="148"/>
    <n v="62625.736486486487"/>
    <n v="9268609"/>
    <n v="138"/>
    <n v="62692.760869565216"/>
    <n v="8651601"/>
    <n v="2"/>
    <n v="55175.5"/>
    <n v="110351"/>
    <n v="1"/>
    <n v="50351"/>
    <n v="50351"/>
    <n v="132"/>
    <n v="43916.742424242424"/>
    <n v="5797010"/>
    <n v="123"/>
    <n v="44318.861788617884"/>
    <n v="5451220"/>
    <m/>
    <m/>
    <n v="0"/>
    <m/>
    <m/>
    <n v="0"/>
    <n v="5"/>
    <n v="85522"/>
    <n v="349870.50200000004"/>
    <n v="1"/>
    <n v="58072"/>
    <n v="47514.510399999999"/>
    <n v="6"/>
    <n v="76615"/>
    <n v="376118.35800000001"/>
    <n v="5"/>
    <n v="79396"/>
    <n v="324809.03600000002"/>
    <n v="1"/>
    <n v="65681"/>
    <n v="53740.194200000005"/>
    <n v="4"/>
    <n v="77701.75"/>
    <n v="254302.2874"/>
    <n v="1"/>
    <n v="84396"/>
    <n v="69052.80720000001"/>
    <n v="2"/>
    <n v="73333.5"/>
    <n v="120002.9394"/>
    <n v="21"/>
    <n v="56398.476190476191"/>
    <n v="969049.89760000003"/>
    <n v="20"/>
    <n v="55515.199999999997"/>
    <n v="908450.7328"/>
    <m/>
    <m/>
    <n v="0"/>
    <m/>
    <m/>
    <n v="0"/>
  </r>
  <r>
    <x v="5"/>
    <s v="Bluegrass Community and Technical College"/>
    <m/>
    <n v="157173"/>
    <x v="6"/>
    <n v="51"/>
    <n v="57062.23529411765"/>
    <n v="2910174"/>
    <n v="51"/>
    <n v="57851.803921568629"/>
    <n v="2950442"/>
    <n v="110"/>
    <n v="50792.481818181819"/>
    <n v="5587173"/>
    <n v="114"/>
    <n v="49869.938596491229"/>
    <n v="5685173"/>
    <n v="40"/>
    <n v="41034.224999999999"/>
    <n v="1641369"/>
    <n v="34"/>
    <n v="41304.470588235294"/>
    <n v="1404352"/>
    <n v="20"/>
    <n v="38502.550000000003"/>
    <n v="770051"/>
    <n v="17"/>
    <n v="38326.647058823532"/>
    <n v="651553"/>
    <m/>
    <m/>
    <n v="0"/>
    <m/>
    <m/>
    <n v="0"/>
    <m/>
    <m/>
    <n v="0"/>
    <m/>
    <m/>
    <n v="0"/>
    <n v="4"/>
    <n v="67446.5"/>
    <n v="220738.90520000001"/>
    <n v="4"/>
    <n v="70085"/>
    <n v="229374.18800000002"/>
    <n v="4"/>
    <n v="57549.75"/>
    <n v="188348.82180000001"/>
    <n v="2"/>
    <n v="60137.5"/>
    <n v="98409.005000000005"/>
    <n v="9"/>
    <n v="49645.555555555555"/>
    <n v="365579.94200000004"/>
    <n v="6"/>
    <n v="50917"/>
    <n v="249961.73640000002"/>
    <n v="1"/>
    <n v="47090"/>
    <n v="38529.038"/>
    <n v="4"/>
    <n v="40060"/>
    <n v="131108.36800000002"/>
    <m/>
    <m/>
    <n v="0"/>
    <m/>
    <m/>
    <n v="0"/>
    <m/>
    <m/>
    <n v="0"/>
    <m/>
    <m/>
    <n v="0"/>
  </r>
  <r>
    <x v="5"/>
    <s v="Jefferson Community and Technical College "/>
    <m/>
    <n v="156921"/>
    <x v="6"/>
    <n v="83"/>
    <n v="58072.204819277111"/>
    <n v="4819993"/>
    <n v="80"/>
    <n v="58420.574999999997"/>
    <n v="4673646"/>
    <n v="86"/>
    <n v="49473.534883720931"/>
    <n v="4254724"/>
    <n v="88"/>
    <n v="48900.818181818184"/>
    <n v="4303272"/>
    <n v="34"/>
    <n v="44586.176470588238"/>
    <n v="1515930"/>
    <n v="25"/>
    <n v="45059.8"/>
    <n v="1126495"/>
    <n v="34"/>
    <n v="41130.676470588238"/>
    <n v="1398443"/>
    <n v="33"/>
    <n v="40346.878787878784"/>
    <n v="1331447"/>
    <m/>
    <m/>
    <n v="0"/>
    <m/>
    <m/>
    <n v="0"/>
    <m/>
    <m/>
    <n v="0"/>
    <m/>
    <m/>
    <n v="0"/>
    <n v="16"/>
    <n v="75242.5"/>
    <n v="985014.61600000004"/>
    <n v="19"/>
    <n v="74120.263157894733"/>
    <n v="1152258.787"/>
    <n v="17"/>
    <n v="57263.529411764706"/>
    <n v="796501.33600000001"/>
    <n v="14"/>
    <n v="56695.142857142855"/>
    <n v="649431.52240000002"/>
    <n v="13"/>
    <n v="52807.846153846156"/>
    <n v="561695.93640000001"/>
    <n v="9"/>
    <n v="53206.666666666664"/>
    <n v="391803.25200000004"/>
    <n v="14"/>
    <n v="47015.357142857145"/>
    <n v="538551.51300000004"/>
    <n v="12"/>
    <n v="51134.416666666664"/>
    <n v="502058.15660000005"/>
    <m/>
    <m/>
    <n v="0"/>
    <m/>
    <m/>
    <n v="0"/>
    <m/>
    <m/>
    <n v="0"/>
    <m/>
    <m/>
    <n v="0"/>
  </r>
  <r>
    <x v="5"/>
    <s v="Ashland Community and Technical College"/>
    <m/>
    <n v="156231"/>
    <x v="7"/>
    <n v="26"/>
    <n v="59685.730769230766"/>
    <n v="1551829"/>
    <n v="25"/>
    <n v="60992.84"/>
    <n v="1524821"/>
    <n v="25"/>
    <n v="48441.599999999999"/>
    <n v="1211040"/>
    <n v="27"/>
    <n v="47279.740740740737"/>
    <n v="1276553"/>
    <n v="18"/>
    <n v="40037.833333333336"/>
    <n v="720681"/>
    <n v="16"/>
    <n v="40425.375"/>
    <n v="646806"/>
    <n v="13"/>
    <n v="38099.461538461539"/>
    <n v="495293"/>
    <n v="14"/>
    <n v="39175.357142857145"/>
    <n v="548455"/>
    <m/>
    <m/>
    <n v="0"/>
    <m/>
    <m/>
    <n v="0"/>
    <m/>
    <m/>
    <n v="0"/>
    <m/>
    <m/>
    <n v="0"/>
    <n v="5"/>
    <n v="73704"/>
    <n v="301523.06400000001"/>
    <n v="5"/>
    <n v="74616.399999999994"/>
    <n v="305255.6924"/>
    <n v="6"/>
    <n v="58954.5"/>
    <n v="289419.4314"/>
    <n v="7"/>
    <n v="58126.857142857145"/>
    <n v="332915.76160000003"/>
    <n v="2"/>
    <n v="50084"/>
    <n v="81957.457600000009"/>
    <n v="1"/>
    <n v="57465"/>
    <n v="47017.863000000005"/>
    <m/>
    <m/>
    <n v="0"/>
    <m/>
    <m/>
    <n v="0"/>
    <m/>
    <m/>
    <n v="0"/>
    <m/>
    <m/>
    <n v="0"/>
    <m/>
    <m/>
    <n v="0"/>
    <m/>
    <m/>
    <n v="0"/>
  </r>
  <r>
    <x v="5"/>
    <s v="Big Sandy Community and Technical College "/>
    <m/>
    <n v="157553"/>
    <x v="7"/>
    <n v="27"/>
    <n v="56608.814814814818"/>
    <n v="1528438"/>
    <n v="30"/>
    <n v="55621.5"/>
    <n v="1668645"/>
    <n v="23"/>
    <n v="46266.956521739128"/>
    <n v="1064140"/>
    <n v="21"/>
    <n v="45663.714285714283"/>
    <n v="958937.99999999988"/>
    <n v="14"/>
    <n v="39067.214285714283"/>
    <n v="546941"/>
    <n v="14"/>
    <n v="39100.785714285717"/>
    <n v="547411"/>
    <n v="22"/>
    <n v="34558.181818181816"/>
    <n v="760280"/>
    <n v="31"/>
    <n v="34487.096774193546"/>
    <n v="1069100"/>
    <m/>
    <m/>
    <n v="0"/>
    <m/>
    <m/>
    <n v="0"/>
    <m/>
    <m/>
    <n v="0"/>
    <m/>
    <m/>
    <n v="0"/>
    <n v="14"/>
    <n v="68976.357142857145"/>
    <n v="790110.37580000004"/>
    <n v="13"/>
    <n v="68504.538461538468"/>
    <n v="728655.37380000018"/>
    <n v="5"/>
    <n v="62529"/>
    <n v="255806.13900000002"/>
    <n v="6"/>
    <n v="61192.666666666664"/>
    <n v="300407.0392"/>
    <m/>
    <m/>
    <n v="0"/>
    <m/>
    <m/>
    <n v="0"/>
    <n v="1"/>
    <n v="43606"/>
    <n v="35678.429199999999"/>
    <n v="1"/>
    <n v="43606"/>
    <n v="35678.429199999999"/>
    <m/>
    <m/>
    <n v="0"/>
    <m/>
    <m/>
    <n v="0"/>
    <m/>
    <m/>
    <n v="0"/>
    <m/>
    <m/>
    <n v="0"/>
  </r>
  <r>
    <x v="5"/>
    <s v="Elizabethtown Community and Technical College "/>
    <m/>
    <n v="156648"/>
    <x v="7"/>
    <n v="38"/>
    <n v="59366.34210526316"/>
    <n v="2255921"/>
    <n v="37"/>
    <n v="59897.891891891893"/>
    <n v="2216222"/>
    <n v="45"/>
    <n v="46773.911111111112"/>
    <n v="2104826"/>
    <n v="44"/>
    <n v="46585.045454545456"/>
    <n v="2049742"/>
    <n v="9"/>
    <n v="41037.333333333336"/>
    <n v="369336"/>
    <n v="9"/>
    <n v="40333.555555555555"/>
    <n v="363002"/>
    <n v="22"/>
    <n v="35507.86363636364"/>
    <n v="781173.00000000012"/>
    <n v="29"/>
    <n v="35638.034482758623"/>
    <n v="1033503.0000000001"/>
    <m/>
    <m/>
    <n v="0"/>
    <m/>
    <m/>
    <n v="0"/>
    <m/>
    <m/>
    <n v="0"/>
    <m/>
    <m/>
    <n v="0"/>
    <n v="3"/>
    <n v="73171.666666666672"/>
    <n v="179607.17300000001"/>
    <n v="3"/>
    <n v="73171.666666666672"/>
    <n v="179607.17300000001"/>
    <n v="3"/>
    <n v="55830.333333333336"/>
    <n v="137041.13620000001"/>
    <n v="4"/>
    <n v="53537.75"/>
    <n v="175218.34820000001"/>
    <m/>
    <m/>
    <n v="0"/>
    <m/>
    <m/>
    <n v="0"/>
    <m/>
    <m/>
    <n v="0"/>
    <m/>
    <m/>
    <n v="0"/>
    <m/>
    <m/>
    <n v="0"/>
    <m/>
    <m/>
    <n v="0"/>
    <m/>
    <m/>
    <n v="0"/>
    <m/>
    <m/>
    <n v="0"/>
  </r>
  <r>
    <x v="5"/>
    <s v="Madisonville Community College"/>
    <m/>
    <n v="157304"/>
    <x v="7"/>
    <n v="32"/>
    <n v="59084.875"/>
    <n v="1890716"/>
    <n v="33"/>
    <n v="58800.909090909088"/>
    <n v="1940430"/>
    <n v="29"/>
    <n v="46038.241379310348"/>
    <n v="1335109"/>
    <n v="28"/>
    <n v="46055.214285714283"/>
    <n v="1289546"/>
    <n v="9"/>
    <n v="42395.333333333336"/>
    <n v="381558"/>
    <n v="12"/>
    <n v="39770.5"/>
    <n v="477246"/>
    <n v="20"/>
    <n v="37418.400000000001"/>
    <n v="748368"/>
    <n v="17"/>
    <n v="37365.176470588238"/>
    <n v="635208"/>
    <m/>
    <m/>
    <n v="0"/>
    <m/>
    <m/>
    <n v="0"/>
    <m/>
    <m/>
    <n v="0"/>
    <m/>
    <m/>
    <n v="0"/>
    <n v="6"/>
    <n v="76974.333333333328"/>
    <n v="377882.39720000001"/>
    <n v="5"/>
    <n v="74296.2"/>
    <n v="303945.75420000002"/>
    <n v="4"/>
    <n v="54174.5"/>
    <n v="177302.30360000001"/>
    <n v="4"/>
    <n v="54174.5"/>
    <n v="177302.30360000001"/>
    <n v="1"/>
    <n v="56043"/>
    <n v="45854.382600000004"/>
    <m/>
    <m/>
    <n v="0"/>
    <n v="10"/>
    <n v="44879.6"/>
    <n v="367204.8872"/>
    <n v="13"/>
    <n v="44701.384615384617"/>
    <n v="475470.7476"/>
    <m/>
    <m/>
    <n v="0"/>
    <m/>
    <m/>
    <n v="0"/>
    <m/>
    <m/>
    <n v="0"/>
    <m/>
    <m/>
    <n v="0"/>
  </r>
  <r>
    <x v="5"/>
    <s v="Maysville Community and Technical College "/>
    <m/>
    <n v="157331"/>
    <x v="7"/>
    <n v="23"/>
    <n v="60675.956521739128"/>
    <n v="1395547"/>
    <n v="23"/>
    <n v="59686.304347826088"/>
    <n v="1372785"/>
    <n v="28"/>
    <n v="46678.214285714283"/>
    <n v="1306990"/>
    <n v="28"/>
    <n v="46373.428571428572"/>
    <n v="1298456"/>
    <n v="11"/>
    <n v="41493.181818181816"/>
    <n v="456425"/>
    <n v="10"/>
    <n v="42546.1"/>
    <n v="425461"/>
    <n v="15"/>
    <n v="37286"/>
    <n v="559290"/>
    <n v="19"/>
    <n v="38118.210526315786"/>
    <n v="724246"/>
    <m/>
    <m/>
    <n v="0"/>
    <m/>
    <m/>
    <n v="0"/>
    <m/>
    <m/>
    <n v="0"/>
    <m/>
    <m/>
    <n v="0"/>
    <n v="5"/>
    <n v="65968.399999999994"/>
    <n v="269876.72440000001"/>
    <n v="6"/>
    <n v="67807"/>
    <n v="332878.12440000003"/>
    <n v="4"/>
    <n v="54436.5"/>
    <n v="178159.77720000001"/>
    <n v="4"/>
    <n v="54436.5"/>
    <n v="178159.77720000001"/>
    <n v="1"/>
    <n v="45068"/>
    <n v="36874.637600000002"/>
    <m/>
    <m/>
    <n v="0"/>
    <m/>
    <m/>
    <n v="0"/>
    <m/>
    <m/>
    <n v="0"/>
    <m/>
    <m/>
    <n v="0"/>
    <m/>
    <m/>
    <n v="0"/>
    <m/>
    <m/>
    <n v="0"/>
    <m/>
    <m/>
    <n v="0"/>
  </r>
  <r>
    <x v="5"/>
    <s v="Owensboro Community and Technical College "/>
    <m/>
    <n v="247940"/>
    <x v="7"/>
    <n v="23"/>
    <n v="58061.782608695656"/>
    <n v="1335421"/>
    <n v="22"/>
    <n v="58222.909090909088"/>
    <n v="1280904"/>
    <n v="33"/>
    <n v="49019.151515151512"/>
    <n v="1617632"/>
    <n v="35"/>
    <n v="48798.171428571426"/>
    <n v="1707936"/>
    <n v="15"/>
    <n v="40745.4"/>
    <n v="611181"/>
    <n v="16"/>
    <n v="39489.75"/>
    <n v="631836"/>
    <n v="17"/>
    <n v="37811.647058823532"/>
    <n v="642798"/>
    <n v="12"/>
    <n v="38773.583333333336"/>
    <n v="465283"/>
    <m/>
    <m/>
    <n v="0"/>
    <m/>
    <m/>
    <n v="0"/>
    <m/>
    <m/>
    <n v="0"/>
    <m/>
    <m/>
    <n v="0"/>
    <n v="1"/>
    <n v="65421"/>
    <n v="53527.462200000002"/>
    <n v="1"/>
    <n v="65421"/>
    <n v="53527.462200000002"/>
    <n v="3"/>
    <n v="57481.333333333336"/>
    <n v="141093.6808"/>
    <n v="3"/>
    <n v="57481.333333333336"/>
    <n v="141093.6808"/>
    <n v="4"/>
    <n v="51991.5"/>
    <n v="170157.7812"/>
    <n v="6"/>
    <n v="48181.5"/>
    <n v="236532.61980000001"/>
    <n v="4"/>
    <n v="41000.75"/>
    <n v="134187.25460000001"/>
    <n v="2"/>
    <n v="43501.5"/>
    <n v="71185.854600000006"/>
    <m/>
    <m/>
    <n v="0"/>
    <m/>
    <m/>
    <n v="0"/>
    <m/>
    <m/>
    <n v="0"/>
    <m/>
    <m/>
    <n v="0"/>
  </r>
  <r>
    <x v="5"/>
    <s v="Somerset Community and Technical College "/>
    <m/>
    <n v="157711"/>
    <x v="7"/>
    <n v="48"/>
    <n v="58230.416666666664"/>
    <n v="2795060"/>
    <n v="46"/>
    <n v="57575.304347826088"/>
    <n v="2648464"/>
    <n v="35"/>
    <n v="47389.228571428568"/>
    <n v="1658623"/>
    <n v="42"/>
    <n v="47479.5"/>
    <n v="1994139"/>
    <n v="25"/>
    <n v="39442.32"/>
    <n v="986058"/>
    <n v="21"/>
    <n v="39479.238095238092"/>
    <n v="829063.99999999988"/>
    <n v="23"/>
    <n v="35131.34782608696"/>
    <n v="808021.00000000012"/>
    <n v="36"/>
    <n v="35360.222222222219"/>
    <n v="1272968"/>
    <m/>
    <m/>
    <n v="0"/>
    <m/>
    <m/>
    <n v="0"/>
    <m/>
    <m/>
    <n v="0"/>
    <m/>
    <m/>
    <n v="0"/>
    <n v="6"/>
    <n v="74622.666666666672"/>
    <n v="366337.59520000004"/>
    <n v="7"/>
    <n v="76301.28571428571"/>
    <n v="437007.98380000005"/>
    <n v="2"/>
    <n v="52303"/>
    <n v="85588.62920000001"/>
    <n v="6"/>
    <n v="66621.666666666672"/>
    <n v="327059.08600000001"/>
    <n v="5"/>
    <n v="67122.600000000006"/>
    <n v="274598.55660000001"/>
    <n v="3"/>
    <n v="52324"/>
    <n v="128434.49040000001"/>
    <n v="6"/>
    <n v="43377"/>
    <n v="212946.36840000001"/>
    <n v="6"/>
    <n v="42846.166666666664"/>
    <n v="210340.4014"/>
    <m/>
    <m/>
    <n v="0"/>
    <m/>
    <m/>
    <n v="0"/>
    <m/>
    <m/>
    <n v="0"/>
    <m/>
    <m/>
    <n v="0"/>
  </r>
  <r>
    <x v="5"/>
    <s v="Southeast Kentucky Community and Technical College"/>
    <s v="Met the criteria for classification as a Two-Year 2 in 2010-11."/>
    <n v="157739"/>
    <x v="7"/>
    <n v="42"/>
    <n v="59487.976190476191"/>
    <n v="2498495"/>
    <n v="35"/>
    <n v="59512.485714285714"/>
    <n v="2082937"/>
    <n v="19"/>
    <n v="47046.15789473684"/>
    <n v="893877"/>
    <n v="21"/>
    <n v="47599.523809523809"/>
    <n v="999590"/>
    <n v="5"/>
    <n v="44117.2"/>
    <n v="220586"/>
    <n v="7"/>
    <n v="39733.714285714283"/>
    <n v="278136"/>
    <n v="9"/>
    <n v="37252.222222222219"/>
    <n v="335270"/>
    <n v="14"/>
    <n v="37635.714285714283"/>
    <n v="526900"/>
    <m/>
    <m/>
    <n v="0"/>
    <m/>
    <m/>
    <n v="0"/>
    <m/>
    <m/>
    <n v="0"/>
    <m/>
    <m/>
    <n v="0"/>
    <n v="10"/>
    <n v="66873.3"/>
    <n v="547157.3406"/>
    <n v="9"/>
    <n v="68125.222222222219"/>
    <n v="501660.51140000002"/>
    <n v="8"/>
    <n v="57603.75"/>
    <n v="377051.10600000003"/>
    <n v="8"/>
    <n v="57046.25"/>
    <n v="373401.93400000001"/>
    <n v="2"/>
    <n v="42493"/>
    <n v="69535.545200000008"/>
    <n v="2"/>
    <n v="42493"/>
    <n v="69535.545200000008"/>
    <m/>
    <m/>
    <n v="0"/>
    <m/>
    <m/>
    <n v="0"/>
    <m/>
    <m/>
    <n v="0"/>
    <m/>
    <m/>
    <n v="0"/>
    <m/>
    <m/>
    <n v="0"/>
    <m/>
    <m/>
    <n v="0"/>
  </r>
  <r>
    <x v="5"/>
    <s v="West Kentucky Community and Technical College"/>
    <m/>
    <n v="157483"/>
    <x v="7"/>
    <n v="40"/>
    <n v="57642.824999999997"/>
    <n v="2305713"/>
    <n v="43"/>
    <n v="56987.372093023259"/>
    <n v="2450457"/>
    <n v="22"/>
    <n v="47305.36363636364"/>
    <n v="1040718.0000000001"/>
    <n v="25"/>
    <n v="46760.68"/>
    <n v="1169017"/>
    <n v="20"/>
    <n v="41158.25"/>
    <n v="823165"/>
    <n v="19"/>
    <n v="41952.684210526313"/>
    <n v="797101"/>
    <n v="17"/>
    <n v="37958.823529411762"/>
    <n v="645300"/>
    <n v="12"/>
    <n v="37900"/>
    <n v="454800"/>
    <m/>
    <m/>
    <n v="0"/>
    <m/>
    <m/>
    <n v="0"/>
    <m/>
    <m/>
    <n v="0"/>
    <m/>
    <m/>
    <n v="0"/>
    <n v="8"/>
    <n v="70555.125"/>
    <n v="461825.6262"/>
    <n v="9"/>
    <n v="69761"/>
    <n v="513706.05180000002"/>
    <n v="9"/>
    <n v="54995.888888888891"/>
    <n v="404978.72659999999"/>
    <n v="7"/>
    <n v="55117.571428571428"/>
    <n v="315680.3786"/>
    <n v="5"/>
    <n v="54197"/>
    <n v="221719.927"/>
    <n v="5"/>
    <n v="51202.6"/>
    <n v="209469.83660000001"/>
    <n v="13"/>
    <n v="45930.769230769234"/>
    <n v="488547.22000000003"/>
    <n v="19"/>
    <n v="48098.947368421053"/>
    <n v="747736.61600000004"/>
    <m/>
    <m/>
    <n v="0"/>
    <m/>
    <m/>
    <n v="0"/>
    <m/>
    <m/>
    <n v="0"/>
    <m/>
    <m/>
    <n v="0"/>
  </r>
  <r>
    <x v="5"/>
    <s v="Hazard Community and Technical College"/>
    <s v="Met the criteria for classification as a Two-Year 2 in 2010-11."/>
    <n v="156790"/>
    <x v="8"/>
    <n v="43"/>
    <n v="57364.511627906977"/>
    <n v="2466674"/>
    <n v="43"/>
    <n v="57005.627906976741"/>
    <n v="2451242"/>
    <n v="21"/>
    <n v="47627.238095238092"/>
    <n v="1000171.9999999999"/>
    <n v="21"/>
    <n v="47891.809523809527"/>
    <n v="1005728"/>
    <n v="10"/>
    <n v="42420.6"/>
    <n v="424206"/>
    <n v="8"/>
    <n v="41445.875"/>
    <n v="331567"/>
    <n v="10"/>
    <n v="37397.699999999997"/>
    <n v="373977"/>
    <n v="14"/>
    <n v="36584"/>
    <n v="512176"/>
    <m/>
    <m/>
    <n v="0"/>
    <m/>
    <m/>
    <n v="0"/>
    <m/>
    <m/>
    <n v="0"/>
    <m/>
    <m/>
    <n v="0"/>
    <n v="11"/>
    <n v="72174.909090909088"/>
    <n v="649588.61680000008"/>
    <n v="10"/>
    <n v="72654.7"/>
    <n v="594460.75540000002"/>
    <n v="6"/>
    <n v="57631.833333333336"/>
    <n v="282926.19620000001"/>
    <n v="6"/>
    <n v="57631.833333333336"/>
    <n v="282926.19620000001"/>
    <n v="1"/>
    <n v="59007"/>
    <n v="48279.527399999999"/>
    <n v="1"/>
    <n v="59007"/>
    <n v="48279.527399999999"/>
    <n v="7"/>
    <n v="46773.142857142855"/>
    <n v="267888.49840000004"/>
    <n v="6"/>
    <n v="48735.333333333336"/>
    <n v="239251.49840000001"/>
    <m/>
    <m/>
    <n v="0"/>
    <m/>
    <m/>
    <n v="0"/>
    <m/>
    <m/>
    <n v="0"/>
    <m/>
    <m/>
    <n v="0"/>
  </r>
  <r>
    <x v="5"/>
    <s v="Henderson Community College "/>
    <m/>
    <n v="156851"/>
    <x v="8"/>
    <n v="25"/>
    <n v="57473.8"/>
    <n v="1436845"/>
    <n v="23"/>
    <n v="58337.17391304348"/>
    <n v="1341755"/>
    <n v="11"/>
    <n v="48834.545454545456"/>
    <n v="537180"/>
    <n v="10"/>
    <n v="48494.400000000001"/>
    <n v="484944"/>
    <n v="7"/>
    <n v="40156.857142857145"/>
    <n v="281098"/>
    <n v="6"/>
    <n v="39481.666666666664"/>
    <n v="236890"/>
    <n v="2"/>
    <n v="48164.5"/>
    <n v="96329"/>
    <n v="5"/>
    <n v="44000"/>
    <n v="220000"/>
    <m/>
    <m/>
    <n v="0"/>
    <m/>
    <m/>
    <n v="0"/>
    <m/>
    <m/>
    <n v="0"/>
    <m/>
    <m/>
    <n v="0"/>
    <n v="3"/>
    <n v="77340.333333333328"/>
    <n v="189839.5822"/>
    <n v="3"/>
    <n v="77340.333333333328"/>
    <n v="189839.5822"/>
    <m/>
    <m/>
    <n v="0"/>
    <m/>
    <m/>
    <n v="0"/>
    <n v="1"/>
    <n v="46356"/>
    <n v="37928.479200000002"/>
    <n v="1"/>
    <n v="46856"/>
    <n v="38337.5792"/>
    <m/>
    <m/>
    <n v="0"/>
    <m/>
    <m/>
    <n v="0"/>
    <m/>
    <m/>
    <n v="0"/>
    <m/>
    <m/>
    <n v="0"/>
    <m/>
    <m/>
    <n v="0"/>
    <m/>
    <m/>
    <n v="0"/>
  </r>
  <r>
    <x v="5"/>
    <s v="Hopkinsville Community College "/>
    <s v="Met the criteria for Two-Year 2 in 2009-10 and 2010-11."/>
    <n v="156860"/>
    <x v="8"/>
    <n v="14"/>
    <n v="60515.285714285717"/>
    <n v="847214"/>
    <n v="18"/>
    <n v="59377.666666666664"/>
    <n v="1068798"/>
    <n v="20"/>
    <n v="46409.5"/>
    <n v="928190"/>
    <n v="16"/>
    <n v="46692.8125"/>
    <n v="747085"/>
    <n v="7"/>
    <n v="38790.571428571428"/>
    <n v="271534"/>
    <n v="7"/>
    <n v="40044.285714285717"/>
    <n v="280310"/>
    <n v="14"/>
    <n v="36040.357142857145"/>
    <n v="504565"/>
    <n v="18"/>
    <n v="37111.111111111109"/>
    <n v="668000"/>
    <m/>
    <m/>
    <n v="0"/>
    <m/>
    <m/>
    <n v="0"/>
    <m/>
    <m/>
    <n v="0"/>
    <m/>
    <m/>
    <n v="0"/>
    <n v="3"/>
    <n v="70621"/>
    <n v="173346.30660000001"/>
    <n v="3"/>
    <n v="71954.333333333328"/>
    <n v="176619.1066"/>
    <n v="4"/>
    <n v="55369.75"/>
    <n v="181214.11780000001"/>
    <n v="5"/>
    <n v="54107.8"/>
    <n v="221355.0098"/>
    <n v="2"/>
    <n v="43151.5"/>
    <n v="70613.114600000001"/>
    <n v="1"/>
    <n v="43810"/>
    <n v="35845.342000000004"/>
    <n v="1"/>
    <n v="39600"/>
    <n v="32400.720000000001"/>
    <m/>
    <m/>
    <n v="0"/>
    <m/>
    <m/>
    <n v="0"/>
    <m/>
    <m/>
    <n v="0"/>
    <m/>
    <m/>
    <n v="0"/>
    <m/>
    <m/>
    <n v="0"/>
  </r>
  <r>
    <x v="5"/>
    <s v="Bowling Green Technical College"/>
    <m/>
    <n v="156338"/>
    <x v="9"/>
    <n v="4"/>
    <n v="60589.5"/>
    <n v="242358"/>
    <n v="4"/>
    <n v="60589.5"/>
    <n v="242358"/>
    <n v="11"/>
    <n v="48773"/>
    <n v="536503"/>
    <n v="14"/>
    <n v="48078.928571428572"/>
    <n v="673105"/>
    <n v="10"/>
    <n v="41889.800000000003"/>
    <n v="418898"/>
    <n v="9"/>
    <n v="41388.444444444445"/>
    <n v="372496"/>
    <n v="14"/>
    <n v="35634.428571428572"/>
    <n v="498882"/>
    <n v="17"/>
    <n v="35310.705882352944"/>
    <n v="600282"/>
    <m/>
    <m/>
    <n v="0"/>
    <m/>
    <m/>
    <n v="0"/>
    <m/>
    <m/>
    <n v="0"/>
    <m/>
    <m/>
    <n v="0"/>
    <n v="2"/>
    <n v="64724.5"/>
    <n v="105915.17180000001"/>
    <n v="3"/>
    <n v="64285.666666666664"/>
    <n v="157795.5974"/>
    <n v="4"/>
    <n v="55222"/>
    <n v="180730.56160000002"/>
    <n v="7"/>
    <n v="54324"/>
    <n v="311135.27760000003"/>
    <n v="5"/>
    <n v="47213.599999999999"/>
    <n v="193150.8376"/>
    <n v="2"/>
    <n v="46356"/>
    <n v="75856.958400000003"/>
    <n v="14"/>
    <n v="43900.5"/>
    <n v="502871.4474"/>
    <n v="14"/>
    <n v="43733.357142857145"/>
    <n v="500956.85940000002"/>
    <m/>
    <m/>
    <n v="0"/>
    <m/>
    <m/>
    <n v="0"/>
    <m/>
    <m/>
    <n v="0"/>
    <m/>
    <m/>
    <n v="0"/>
  </r>
  <r>
    <x v="5"/>
    <s v="Gateway Community and Technical College"/>
    <m/>
    <n v="157438"/>
    <x v="9"/>
    <n v="3"/>
    <n v="71875.666666666672"/>
    <n v="215627"/>
    <n v="3"/>
    <n v="71875.666666666672"/>
    <n v="215627"/>
    <n v="15"/>
    <n v="53162.666666666664"/>
    <n v="797440"/>
    <n v="16"/>
    <n v="52627.5"/>
    <n v="842040"/>
    <n v="18"/>
    <n v="46529.444444444445"/>
    <n v="837530"/>
    <n v="17"/>
    <n v="46901.117647058825"/>
    <n v="797319"/>
    <n v="23"/>
    <n v="43246"/>
    <n v="994658"/>
    <n v="24"/>
    <n v="42298.25"/>
    <n v="1015158"/>
    <m/>
    <m/>
    <n v="0"/>
    <m/>
    <m/>
    <n v="0"/>
    <m/>
    <m/>
    <n v="0"/>
    <m/>
    <m/>
    <n v="0"/>
    <m/>
    <m/>
    <n v="0"/>
    <m/>
    <m/>
    <n v="0"/>
    <n v="3"/>
    <n v="61173.333333333336"/>
    <n v="150156.06400000001"/>
    <n v="3"/>
    <n v="61173.333333333336"/>
    <n v="150156.06400000001"/>
    <n v="5"/>
    <n v="53204.2"/>
    <n v="217658.38220000002"/>
    <n v="9"/>
    <n v="53147.222222222219"/>
    <n v="391365.51500000001"/>
    <n v="14"/>
    <n v="46952.857142857145"/>
    <n v="537835.58799999999"/>
    <n v="16"/>
    <n v="47240.25"/>
    <n v="618431.56079999998"/>
    <m/>
    <m/>
    <n v="0"/>
    <m/>
    <m/>
    <n v="0"/>
    <m/>
    <m/>
    <n v="0"/>
    <m/>
    <m/>
    <n v="0"/>
  </r>
  <r>
    <x v="6"/>
    <s v="Louisiana State University and A&amp;M College"/>
    <m/>
    <n v="159391"/>
    <x v="0"/>
    <n v="379"/>
    <n v="112009"/>
    <n v="42451411"/>
    <n v="368"/>
    <n v="111520"/>
    <n v="41039360"/>
    <n v="268"/>
    <n v="79377"/>
    <n v="21273036"/>
    <n v="271"/>
    <n v="78635"/>
    <n v="21310085"/>
    <n v="281"/>
    <n v="67920"/>
    <n v="19085520"/>
    <n v="251"/>
    <n v="67922"/>
    <n v="17048422"/>
    <n v="215"/>
    <n v="43356"/>
    <n v="9321540"/>
    <n v="196"/>
    <n v="43530"/>
    <n v="8531880"/>
    <n v="16"/>
    <n v="58759"/>
    <n v="940144"/>
    <n v="17"/>
    <n v="64359"/>
    <n v="1094103"/>
    <m/>
    <m/>
    <n v="0"/>
    <m/>
    <m/>
    <n v="0"/>
    <n v="64"/>
    <n v="127743"/>
    <n v="6689236.6464"/>
    <n v="61"/>
    <n v="126427"/>
    <n v="6309996.8554000007"/>
    <n v="30"/>
    <n v="94695"/>
    <n v="2324383.4700000002"/>
    <n v="26"/>
    <n v="88533"/>
    <n v="1883380.2156"/>
    <n v="30"/>
    <n v="99018"/>
    <n v="2430495.8280000002"/>
    <n v="27"/>
    <n v="99548"/>
    <n v="2199154.6872"/>
    <n v="17"/>
    <n v="58385"/>
    <n v="812100.31900000002"/>
    <n v="17"/>
    <n v="59056"/>
    <n v="821433.52640000009"/>
    <n v="5"/>
    <n v="55792"/>
    <n v="228245.07200000001"/>
    <n v="4"/>
    <n v="77362"/>
    <n v="253190.3536"/>
    <m/>
    <m/>
    <n v="0"/>
    <m/>
    <m/>
    <n v="0"/>
  </r>
  <r>
    <x v="6"/>
    <s v="Louisiana Tech University "/>
    <m/>
    <n v="159647"/>
    <x v="1"/>
    <n v="41"/>
    <n v="75104"/>
    <n v="3079264"/>
    <n v="45"/>
    <n v="79917"/>
    <n v="3596265"/>
    <n v="81"/>
    <n v="66868"/>
    <n v="5416308"/>
    <n v="89"/>
    <n v="68193"/>
    <n v="6069177"/>
    <n v="134"/>
    <n v="59846"/>
    <n v="8019364"/>
    <n v="120"/>
    <n v="60258"/>
    <n v="7230960"/>
    <n v="44"/>
    <n v="39633"/>
    <n v="1743852"/>
    <n v="44"/>
    <n v="39334"/>
    <n v="1730696"/>
    <n v="34"/>
    <n v="52768.23529411765"/>
    <n v="1794120"/>
    <n v="16"/>
    <n v="62343"/>
    <n v="997488"/>
    <m/>
    <m/>
    <n v="0"/>
    <m/>
    <m/>
    <n v="0"/>
    <n v="28"/>
    <n v="116073"/>
    <n v="2659186.0008"/>
    <n v="29"/>
    <n v="113356"/>
    <n v="2689688.4968000003"/>
    <n v="16"/>
    <n v="92297"/>
    <n v="1208278.4864000001"/>
    <n v="15"/>
    <n v="90277"/>
    <n v="1107969.621"/>
    <n v="10"/>
    <n v="78678"/>
    <n v="643743.39600000007"/>
    <n v="8"/>
    <n v="77589"/>
    <n v="507866.55840000004"/>
    <n v="9"/>
    <n v="48794"/>
    <n v="359309.25719999999"/>
    <n v="7"/>
    <n v="48640"/>
    <n v="278580.73600000003"/>
    <n v="1"/>
    <n v="30000"/>
    <n v="24546"/>
    <n v="0"/>
    <n v="0"/>
    <n v="0"/>
    <m/>
    <m/>
    <n v="0"/>
    <m/>
    <m/>
    <n v="0"/>
  </r>
  <r>
    <x v="6"/>
    <s v="University of Louisiana at Lafayette"/>
    <m/>
    <n v="160658"/>
    <x v="1"/>
    <n v="142"/>
    <n v="103943"/>
    <n v="14759906"/>
    <n v="141"/>
    <n v="103265"/>
    <n v="14560365"/>
    <n v="135"/>
    <n v="75070"/>
    <n v="10134450"/>
    <n v="140"/>
    <n v="74535"/>
    <n v="10434900"/>
    <n v="165"/>
    <n v="61229"/>
    <n v="10102785"/>
    <n v="156"/>
    <n v="59922"/>
    <n v="9347832"/>
    <n v="155"/>
    <n v="43863"/>
    <n v="6798765"/>
    <n v="152"/>
    <n v="44193"/>
    <n v="6717336"/>
    <n v="0"/>
    <n v="0"/>
    <n v="0"/>
    <n v="0"/>
    <n v="0"/>
    <n v="0"/>
    <m/>
    <m/>
    <n v="0"/>
    <m/>
    <m/>
    <n v="0"/>
    <n v="0"/>
    <n v="0"/>
    <n v="0"/>
    <n v="1"/>
    <n v="95000"/>
    <n v="77729"/>
    <n v="1"/>
    <n v="106619"/>
    <n v="87235.665800000002"/>
    <n v="1"/>
    <n v="106619"/>
    <n v="87235.665800000002"/>
    <n v="0"/>
    <n v="0"/>
    <n v="0"/>
    <n v="2"/>
    <n v="55250"/>
    <n v="90411.1"/>
    <n v="2"/>
    <n v="67383"/>
    <n v="110265.54120000001"/>
    <n v="3"/>
    <n v="59255"/>
    <n v="145447.323"/>
    <n v="0"/>
    <n v="0"/>
    <n v="0"/>
    <n v="0"/>
    <n v="0"/>
    <n v="0"/>
    <m/>
    <m/>
    <n v="0"/>
    <m/>
    <m/>
    <n v="0"/>
  </r>
  <r>
    <x v="6"/>
    <s v="University of New Orleans"/>
    <m/>
    <n v="159939"/>
    <x v="1"/>
    <n v="133"/>
    <n v="88162"/>
    <n v="11725546"/>
    <n v="131"/>
    <n v="87771"/>
    <n v="11498001"/>
    <n v="95"/>
    <n v="66828"/>
    <n v="6348660"/>
    <n v="89"/>
    <n v="66696"/>
    <n v="5935944"/>
    <n v="89"/>
    <n v="60348"/>
    <n v="5370972"/>
    <n v="79"/>
    <n v="61064"/>
    <n v="4824056"/>
    <n v="106"/>
    <n v="42887"/>
    <n v="4546022"/>
    <n v="93"/>
    <n v="42212"/>
    <n v="3925716"/>
    <n v="0"/>
    <n v="0"/>
    <n v="0"/>
    <n v="0"/>
    <n v="0"/>
    <n v="0"/>
    <m/>
    <m/>
    <n v="0"/>
    <m/>
    <m/>
    <n v="0"/>
    <n v="9"/>
    <n v="84762"/>
    <n v="624170.41560000007"/>
    <n v="9"/>
    <n v="74280"/>
    <n v="546983.06400000001"/>
    <n v="6"/>
    <n v="61187"/>
    <n v="300379.22039999999"/>
    <n v="8"/>
    <n v="65107"/>
    <n v="426164.37920000002"/>
    <n v="3"/>
    <n v="46550"/>
    <n v="114261.63"/>
    <n v="2"/>
    <n v="40000"/>
    <n v="65456"/>
    <n v="1"/>
    <n v="62350"/>
    <n v="51014.770000000004"/>
    <n v="1"/>
    <n v="62350"/>
    <n v="51014.770000000004"/>
    <n v="0"/>
    <n v="0"/>
    <n v="0"/>
    <n v="0"/>
    <n v="0"/>
    <n v="0"/>
    <m/>
    <m/>
    <n v="0"/>
    <m/>
    <m/>
    <n v="0"/>
  </r>
  <r>
    <x v="6"/>
    <s v="Southeastern Louisiana University "/>
    <m/>
    <n v="160612"/>
    <x v="2"/>
    <n v="90"/>
    <n v="78372"/>
    <n v="7053480"/>
    <n v="87"/>
    <n v="76286"/>
    <n v="6636882"/>
    <n v="102"/>
    <n v="65419"/>
    <n v="6672738"/>
    <n v="103"/>
    <n v="66002"/>
    <n v="6798206"/>
    <n v="107"/>
    <n v="57271"/>
    <n v="6127997"/>
    <n v="89"/>
    <n v="57388"/>
    <n v="5107532"/>
    <n v="222"/>
    <n v="44225"/>
    <n v="9817950"/>
    <n v="178"/>
    <n v="44892"/>
    <n v="7990776"/>
    <n v="0"/>
    <n v="0"/>
    <n v="0"/>
    <n v="0"/>
    <n v="0"/>
    <n v="0"/>
    <m/>
    <m/>
    <n v="0"/>
    <m/>
    <m/>
    <n v="0"/>
    <n v="12"/>
    <n v="109740"/>
    <n v="1077471.216"/>
    <n v="14"/>
    <n v="110557"/>
    <n v="1266408.3236"/>
    <n v="5"/>
    <n v="110895"/>
    <n v="453671.44500000001"/>
    <n v="5"/>
    <n v="109531"/>
    <n v="448091.321"/>
    <n v="2"/>
    <n v="92355"/>
    <n v="151129.72200000001"/>
    <n v="0"/>
    <n v="0"/>
    <n v="0"/>
    <n v="1"/>
    <n v="68024"/>
    <n v="55657.236800000006"/>
    <n v="1"/>
    <n v="68024"/>
    <n v="55657.236800000006"/>
    <n v="0"/>
    <n v="0"/>
    <n v="0"/>
    <n v="0"/>
    <n v="0"/>
    <n v="0"/>
    <m/>
    <m/>
    <n v="0"/>
    <m/>
    <m/>
    <n v="0"/>
  </r>
  <r>
    <x v="6"/>
    <s v="Southern University and A&amp;M College at Baton Rouge "/>
    <m/>
    <n v="160621"/>
    <x v="2"/>
    <n v="123"/>
    <n v="77893"/>
    <n v="9580839"/>
    <n v="126"/>
    <n v="77037"/>
    <n v="9706662"/>
    <n v="79"/>
    <n v="61620"/>
    <n v="4867980"/>
    <n v="84"/>
    <n v="62788"/>
    <n v="5274192"/>
    <n v="119"/>
    <n v="53402"/>
    <n v="6354838"/>
    <n v="107"/>
    <n v="52606"/>
    <n v="5628842"/>
    <n v="45"/>
    <n v="39461"/>
    <n v="1775745"/>
    <n v="60"/>
    <n v="37674"/>
    <n v="2260440"/>
    <n v="8"/>
    <n v="59383.5"/>
    <n v="475068"/>
    <n v="6"/>
    <n v="75824"/>
    <n v="454944"/>
    <m/>
    <m/>
    <n v="0"/>
    <m/>
    <m/>
    <n v="0"/>
    <n v="7"/>
    <n v="77871"/>
    <n v="445998.36540000001"/>
    <n v="10"/>
    <n v="78178"/>
    <n v="639652.39600000007"/>
    <n v="3"/>
    <n v="69680"/>
    <n v="171036.52800000002"/>
    <n v="1"/>
    <n v="70907"/>
    <n v="58016.107400000001"/>
    <n v="5"/>
    <n v="64964"/>
    <n v="265767.72399999999"/>
    <n v="8"/>
    <n v="62018"/>
    <n v="405945.0208"/>
    <n v="19"/>
    <n v="45180"/>
    <n v="702359.24400000006"/>
    <n v="14"/>
    <n v="46309"/>
    <n v="530460.33319999999"/>
    <n v="1"/>
    <n v="60000"/>
    <n v="49092"/>
    <n v="0"/>
    <n v="0"/>
    <n v="0"/>
    <m/>
    <m/>
    <n v="0"/>
    <m/>
    <m/>
    <n v="0"/>
  </r>
  <r>
    <x v="6"/>
    <s v="University of Louisiana at Monroe"/>
    <m/>
    <n v="159993"/>
    <x v="2"/>
    <n v="52"/>
    <n v="70028"/>
    <n v="3641456"/>
    <n v="45"/>
    <n v="77221"/>
    <n v="3474945"/>
    <n v="64"/>
    <n v="62486"/>
    <n v="3999104"/>
    <n v="75"/>
    <n v="63667"/>
    <n v="4775025"/>
    <n v="117"/>
    <n v="51479"/>
    <n v="6023043"/>
    <n v="101"/>
    <n v="55044"/>
    <n v="5559444"/>
    <n v="58"/>
    <n v="41690"/>
    <n v="2418020"/>
    <n v="52"/>
    <n v="40392"/>
    <n v="2100384"/>
    <n v="0"/>
    <n v="0"/>
    <n v="0"/>
    <n v="4"/>
    <n v="50578"/>
    <n v="202312"/>
    <m/>
    <m/>
    <n v="0"/>
    <m/>
    <m/>
    <n v="0"/>
    <n v="6"/>
    <n v="122425"/>
    <n v="601008.81000000006"/>
    <n v="13"/>
    <n v="117166"/>
    <n v="1246247.8756000001"/>
    <n v="12"/>
    <n v="94747"/>
    <n v="930263.94480000006"/>
    <n v="18"/>
    <n v="99759"/>
    <n v="1469210.6484000001"/>
    <n v="35"/>
    <n v="90164"/>
    <n v="2582026.4680000003"/>
    <n v="32"/>
    <n v="91264"/>
    <n v="2389510.5536000002"/>
    <n v="7"/>
    <n v="58500"/>
    <n v="335052.90000000002"/>
    <n v="3"/>
    <n v="48695"/>
    <n v="119526.747"/>
    <n v="0"/>
    <n v="0"/>
    <n v="0"/>
    <n v="0"/>
    <n v="0"/>
    <n v="0"/>
    <m/>
    <m/>
    <n v="0"/>
    <m/>
    <m/>
    <n v="0"/>
  </r>
  <r>
    <x v="6"/>
    <s v="Grambling State University"/>
    <m/>
    <n v="159009"/>
    <x v="3"/>
    <n v="50"/>
    <n v="70910"/>
    <n v="3545500"/>
    <n v="44"/>
    <n v="70721"/>
    <n v="3111724"/>
    <n v="38"/>
    <n v="62921"/>
    <n v="2390998"/>
    <n v="35"/>
    <n v="62677"/>
    <n v="2193695"/>
    <n v="86"/>
    <n v="52296"/>
    <n v="4497456"/>
    <n v="78"/>
    <n v="53806"/>
    <n v="4196868"/>
    <n v="18"/>
    <n v="42157"/>
    <n v="758826"/>
    <n v="24"/>
    <n v="41059"/>
    <n v="985416"/>
    <n v="8"/>
    <n v="42910"/>
    <n v="343280"/>
    <n v="18"/>
    <n v="48108"/>
    <n v="865944"/>
    <m/>
    <m/>
    <n v="0"/>
    <m/>
    <m/>
    <n v="0"/>
    <n v="7"/>
    <n v="87865"/>
    <n v="503238.00100000005"/>
    <n v="7"/>
    <n v="85843"/>
    <n v="491657.19820000004"/>
    <n v="10"/>
    <n v="75334"/>
    <n v="616382.78800000006"/>
    <n v="8"/>
    <n v="77716"/>
    <n v="508697.84960000002"/>
    <n v="17"/>
    <n v="72969"/>
    <n v="1014955.0086000001"/>
    <n v="17"/>
    <n v="68744"/>
    <n v="956187.79360000009"/>
    <n v="7"/>
    <n v="45157"/>
    <n v="258632.20180000001"/>
    <n v="6"/>
    <n v="44152"/>
    <n v="216750.99840000001"/>
    <n v="1"/>
    <n v="69644"/>
    <n v="56982.720800000003"/>
    <n v="1"/>
    <n v="69644"/>
    <n v="56982.720800000003"/>
    <m/>
    <m/>
    <n v="0"/>
    <m/>
    <m/>
    <n v="0"/>
  </r>
  <r>
    <x v="6"/>
    <s v="Louisiana State University in Shreveport"/>
    <m/>
    <n v="159416"/>
    <x v="3"/>
    <n v="30"/>
    <n v="62344"/>
    <n v="1870320"/>
    <n v="28"/>
    <n v="61552"/>
    <n v="1723456"/>
    <n v="37"/>
    <n v="57066"/>
    <n v="2111442"/>
    <n v="35"/>
    <n v="57446"/>
    <n v="2010610"/>
    <n v="29"/>
    <n v="52683"/>
    <n v="1527807"/>
    <n v="29"/>
    <n v="51867"/>
    <n v="1504143"/>
    <n v="23"/>
    <n v="36344"/>
    <n v="835912"/>
    <n v="16"/>
    <n v="36202"/>
    <n v="579232"/>
    <n v="0"/>
    <n v="0"/>
    <n v="0"/>
    <n v="0"/>
    <n v="0"/>
    <n v="0"/>
    <m/>
    <m/>
    <n v="0"/>
    <n v="8"/>
    <n v="45338"/>
    <n v="362704"/>
    <n v="1"/>
    <n v="86924"/>
    <n v="71121.216800000009"/>
    <n v="2"/>
    <n v="86675"/>
    <n v="141834.97"/>
    <n v="1"/>
    <n v="98000"/>
    <n v="80183.600000000006"/>
    <n v="0"/>
    <n v="0"/>
    <n v="0"/>
    <n v="1"/>
    <n v="39640"/>
    <n v="32433.448"/>
    <n v="0"/>
    <n v="0"/>
    <n v="0"/>
    <n v="7"/>
    <n v="68721"/>
    <n v="393592.65540000005"/>
    <n v="5"/>
    <n v="74185"/>
    <n v="303490.83500000002"/>
    <n v="0"/>
    <n v="0"/>
    <n v="0"/>
    <n v="0"/>
    <n v="0"/>
    <n v="0"/>
    <m/>
    <m/>
    <n v="0"/>
    <m/>
    <m/>
    <n v="0"/>
  </r>
  <r>
    <x v="6"/>
    <s v="McNeese State University"/>
    <m/>
    <n v="159717"/>
    <x v="3"/>
    <n v="64"/>
    <n v="81178"/>
    <n v="5195392"/>
    <n v="61"/>
    <n v="80852"/>
    <n v="4931972"/>
    <n v="51"/>
    <n v="65333"/>
    <n v="3331983"/>
    <n v="52"/>
    <n v="65030"/>
    <n v="3381560"/>
    <n v="134"/>
    <n v="55268"/>
    <n v="7405912"/>
    <n v="134"/>
    <n v="55600"/>
    <n v="7450400"/>
    <n v="51"/>
    <n v="42061"/>
    <n v="2145111"/>
    <n v="50"/>
    <n v="41984"/>
    <n v="2099200"/>
    <n v="0"/>
    <n v="0"/>
    <n v="0"/>
    <n v="0"/>
    <n v="0"/>
    <n v="0"/>
    <m/>
    <m/>
    <n v="0"/>
    <m/>
    <m/>
    <n v="0"/>
    <n v="0"/>
    <n v="0"/>
    <n v="0"/>
    <n v="0"/>
    <n v="0"/>
    <n v="0"/>
    <n v="0"/>
    <n v="0"/>
    <n v="0"/>
    <n v="2"/>
    <n v="65530"/>
    <n v="107233.292"/>
    <n v="7"/>
    <n v="60110"/>
    <n v="344274.01400000002"/>
    <n v="16"/>
    <n v="56280"/>
    <n v="736772.73600000003"/>
    <n v="0"/>
    <n v="0"/>
    <n v="0"/>
    <n v="1"/>
    <n v="42000"/>
    <n v="34364.400000000001"/>
    <n v="0"/>
    <n v="0"/>
    <n v="0"/>
    <n v="0"/>
    <n v="0"/>
    <n v="0"/>
    <m/>
    <m/>
    <n v="0"/>
    <m/>
    <m/>
    <n v="0"/>
  </r>
  <r>
    <x v="6"/>
    <s v="Nicholls State University "/>
    <m/>
    <n v="159966"/>
    <x v="3"/>
    <n v="35"/>
    <n v="73067"/>
    <n v="2557345"/>
    <n v="31"/>
    <n v="72067"/>
    <n v="2234077"/>
    <n v="50"/>
    <n v="57938"/>
    <n v="2896900"/>
    <n v="54"/>
    <n v="58662"/>
    <n v="3167748"/>
    <n v="88"/>
    <n v="51550"/>
    <n v="4536400"/>
    <n v="78"/>
    <n v="50197"/>
    <n v="3915366"/>
    <n v="72"/>
    <n v="38468"/>
    <n v="2769696"/>
    <n v="71"/>
    <n v="39265"/>
    <n v="2787815"/>
    <n v="2"/>
    <n v="26384"/>
    <n v="52768"/>
    <n v="0"/>
    <n v="0"/>
    <n v="0"/>
    <m/>
    <m/>
    <n v="0"/>
    <m/>
    <m/>
    <n v="0"/>
    <n v="5"/>
    <n v="94279"/>
    <n v="385695.38900000002"/>
    <n v="4"/>
    <n v="92547"/>
    <n v="302887.82160000002"/>
    <n v="7"/>
    <n v="67091"/>
    <n v="384256.99340000004"/>
    <n v="7"/>
    <n v="60756"/>
    <n v="347973.91440000001"/>
    <n v="12"/>
    <n v="53989"/>
    <n v="530085.59759999998"/>
    <n v="8"/>
    <n v="52472"/>
    <n v="343460.72320000001"/>
    <n v="4"/>
    <n v="56689"/>
    <n v="185531.7592"/>
    <n v="3"/>
    <n v="63858"/>
    <n v="156745.8468"/>
    <n v="0"/>
    <n v="0"/>
    <n v="0"/>
    <n v="0"/>
    <n v="0"/>
    <n v="0"/>
    <m/>
    <m/>
    <n v="0"/>
    <m/>
    <m/>
    <n v="0"/>
  </r>
  <r>
    <x v="6"/>
    <s v="Northwestern State University"/>
    <m/>
    <n v="160038"/>
    <x v="3"/>
    <n v="50"/>
    <n v="75038"/>
    <n v="3751900"/>
    <n v="53"/>
    <n v="71766"/>
    <n v="3803598"/>
    <n v="58"/>
    <n v="60123"/>
    <n v="3487134"/>
    <n v="57"/>
    <n v="57224"/>
    <n v="3261768"/>
    <n v="114"/>
    <n v="49876"/>
    <n v="5685864"/>
    <n v="98"/>
    <n v="48738"/>
    <n v="4776324"/>
    <n v="54"/>
    <n v="39917"/>
    <n v="2155518"/>
    <n v="39"/>
    <n v="41737"/>
    <n v="1627743"/>
    <n v="0"/>
    <n v="0"/>
    <n v="0"/>
    <n v="0"/>
    <n v="0"/>
    <n v="0"/>
    <m/>
    <m/>
    <n v="0"/>
    <m/>
    <m/>
    <n v="0"/>
    <n v="10"/>
    <n v="92957"/>
    <n v="760574.174"/>
    <n v="4"/>
    <n v="87216"/>
    <n v="285440.52480000001"/>
    <n v="18"/>
    <n v="80582"/>
    <n v="1186779.4632000001"/>
    <n v="9"/>
    <n v="73437"/>
    <n v="540775.38060000003"/>
    <n v="12"/>
    <n v="63705"/>
    <n v="625481.17200000002"/>
    <n v="11"/>
    <n v="58855"/>
    <n v="529706.77100000007"/>
    <n v="4"/>
    <n v="58291"/>
    <n v="190774.78480000002"/>
    <n v="4"/>
    <n v="55910"/>
    <n v="182982.24800000002"/>
    <n v="0"/>
    <n v="0"/>
    <n v="0"/>
    <n v="0"/>
    <n v="0"/>
    <n v="0"/>
    <m/>
    <m/>
    <n v="0"/>
    <m/>
    <m/>
    <n v="0"/>
  </r>
  <r>
    <x v="6"/>
    <s v="Southern University at New Orleans"/>
    <s v="Met the criteria for Four-year 5 in 2010-11."/>
    <n v="160630"/>
    <x v="3"/>
    <n v="13"/>
    <n v="65032"/>
    <n v="845416"/>
    <n v="13"/>
    <n v="63524"/>
    <n v="825812"/>
    <n v="23"/>
    <n v="54040"/>
    <n v="1242920"/>
    <n v="26"/>
    <n v="53389"/>
    <n v="1388114"/>
    <n v="52"/>
    <n v="46931"/>
    <n v="2440412"/>
    <n v="54"/>
    <n v="48602"/>
    <n v="2624508"/>
    <n v="1"/>
    <n v="40000"/>
    <n v="40000"/>
    <n v="4"/>
    <n v="39000"/>
    <n v="156000"/>
    <n v="0"/>
    <n v="0"/>
    <n v="0"/>
    <n v="0"/>
    <n v="0"/>
    <n v="0"/>
    <m/>
    <m/>
    <n v="0"/>
    <m/>
    <m/>
    <n v="0"/>
    <n v="1"/>
    <n v="86882"/>
    <n v="71086.852400000003"/>
    <n v="1"/>
    <n v="86882"/>
    <n v="71086.852400000003"/>
    <n v="4"/>
    <n v="62303"/>
    <n v="203905.25840000002"/>
    <n v="2"/>
    <n v="64055"/>
    <n v="104819.602"/>
    <n v="5"/>
    <n v="61190"/>
    <n v="250328.29"/>
    <n v="6"/>
    <n v="61009"/>
    <n v="299505.38280000002"/>
    <n v="1"/>
    <n v="36500"/>
    <n v="29864.300000000003"/>
    <n v="1"/>
    <n v="36500"/>
    <n v="29864.300000000003"/>
    <n v="0"/>
    <n v="0"/>
    <n v="0"/>
    <n v="0"/>
    <n v="0"/>
    <n v="0"/>
    <m/>
    <m/>
    <n v="0"/>
    <m/>
    <m/>
    <n v="0"/>
  </r>
  <r>
    <x v="6"/>
    <s v="Louisiana State University at Alexandria"/>
    <s v="Met the criteria for Four-Year 6 in 2009-10 and 2010-11."/>
    <n v="159382"/>
    <x v="11"/>
    <n v="17"/>
    <n v="60864"/>
    <n v="1034688"/>
    <n v="15"/>
    <n v="58388"/>
    <n v="875820"/>
    <n v="20"/>
    <n v="47152"/>
    <n v="943040"/>
    <n v="23"/>
    <n v="47223"/>
    <n v="1086129"/>
    <n v="40"/>
    <n v="45792"/>
    <n v="1831680"/>
    <n v="34"/>
    <n v="46573"/>
    <n v="1583482"/>
    <n v="17"/>
    <n v="38807"/>
    <n v="659719"/>
    <n v="13"/>
    <n v="38955"/>
    <n v="506415"/>
    <n v="0"/>
    <n v="0"/>
    <n v="0"/>
    <n v="0"/>
    <n v="0"/>
    <n v="0"/>
    <m/>
    <m/>
    <n v="0"/>
    <m/>
    <m/>
    <n v="0"/>
    <n v="7"/>
    <n v="78574"/>
    <n v="450024.72760000004"/>
    <n v="5"/>
    <n v="79821"/>
    <n v="326547.71100000001"/>
    <n v="4"/>
    <n v="60503"/>
    <n v="198014.21840000001"/>
    <n v="5"/>
    <n v="58701"/>
    <n v="240145.791"/>
    <n v="3"/>
    <n v="45206"/>
    <n v="110962.64760000001"/>
    <n v="2"/>
    <n v="45014"/>
    <n v="73660.909599999999"/>
    <n v="0"/>
    <n v="0"/>
    <n v="0"/>
    <n v="0"/>
    <n v="0"/>
    <n v="0"/>
    <n v="0"/>
    <n v="0"/>
    <n v="0"/>
    <n v="0"/>
    <n v="0"/>
    <n v="0"/>
    <m/>
    <m/>
    <n v="0"/>
    <m/>
    <m/>
    <n v="0"/>
  </r>
  <r>
    <x v="6"/>
    <s v="Baton Rouge Community College"/>
    <s v="Reclassified: Met criteria for Two-Year 1 in 2008-09, 2009-10 and 2010-11."/>
    <n v="437103"/>
    <x v="6"/>
    <n v="3"/>
    <n v="54135"/>
    <n v="162405"/>
    <n v="3"/>
    <n v="54135"/>
    <n v="162405"/>
    <n v="48"/>
    <n v="49979"/>
    <n v="2398992"/>
    <n v="41"/>
    <n v="47295"/>
    <n v="1939095"/>
    <n v="34"/>
    <n v="49628"/>
    <n v="1687352"/>
    <n v="33"/>
    <n v="49853"/>
    <n v="1645149"/>
    <n v="61"/>
    <n v="43828"/>
    <n v="2673508"/>
    <n v="54"/>
    <n v="41628"/>
    <n v="2247912"/>
    <n v="0"/>
    <n v="0"/>
    <n v="0"/>
    <n v="0"/>
    <n v="0"/>
    <n v="0"/>
    <m/>
    <m/>
    <n v="0"/>
    <m/>
    <m/>
    <n v="0"/>
    <n v="0"/>
    <n v="0"/>
    <n v="0"/>
    <n v="0"/>
    <n v="0"/>
    <n v="0"/>
    <n v="0"/>
    <n v="0"/>
    <n v="0"/>
    <n v="4"/>
    <n v="64761"/>
    <n v="211949.8008"/>
    <n v="0"/>
    <n v="0"/>
    <n v="0"/>
    <n v="2"/>
    <n v="48172"/>
    <n v="78828.660799999998"/>
    <n v="0"/>
    <n v="0"/>
    <n v="0"/>
    <n v="0"/>
    <n v="0"/>
    <n v="0"/>
    <n v="0"/>
    <n v="0"/>
    <n v="0"/>
    <n v="0"/>
    <n v="0"/>
    <n v="0"/>
    <m/>
    <m/>
    <n v="0"/>
    <m/>
    <m/>
    <n v="0"/>
  </r>
  <r>
    <x v="6"/>
    <s v="Delgado Community College "/>
    <s v="Now includes LTC-Jefferson Campus and LTC-W.Jefferson Campus"/>
    <n v="158662"/>
    <x v="6"/>
    <n v="72"/>
    <n v="79739"/>
    <n v="5741208"/>
    <n v="68"/>
    <n v="79913"/>
    <n v="5434084"/>
    <n v="50"/>
    <n v="70442"/>
    <n v="3522100"/>
    <n v="49"/>
    <n v="73252"/>
    <n v="3589348"/>
    <n v="92"/>
    <n v="64425"/>
    <n v="5927100"/>
    <n v="101"/>
    <n v="65509"/>
    <n v="6616409"/>
    <n v="112"/>
    <n v="50272"/>
    <n v="5630464"/>
    <n v="126"/>
    <n v="50844"/>
    <n v="6406344"/>
    <n v="89"/>
    <n v="41259"/>
    <n v="3672051"/>
    <n v="125"/>
    <n v="38882"/>
    <n v="4860250"/>
    <m/>
    <m/>
    <n v="0"/>
    <n v="8"/>
    <n v="39308"/>
    <n v="314464"/>
    <n v="5"/>
    <n v="93157"/>
    <n v="381105.28700000001"/>
    <n v="5"/>
    <n v="92073"/>
    <n v="376670.64300000004"/>
    <n v="1"/>
    <n v="83511"/>
    <n v="68328.700200000007"/>
    <n v="1"/>
    <n v="83511"/>
    <n v="68328.700200000007"/>
    <n v="4"/>
    <n v="72520"/>
    <n v="237343.45600000001"/>
    <n v="6"/>
    <n v="58954"/>
    <n v="289416.9768"/>
    <n v="5"/>
    <n v="50090"/>
    <n v="204918.19"/>
    <n v="6"/>
    <n v="57098"/>
    <n v="280305.50160000002"/>
    <n v="4"/>
    <n v="38374"/>
    <n v="125590.42720000001"/>
    <n v="0"/>
    <n v="0"/>
    <n v="0"/>
    <m/>
    <m/>
    <n v="0"/>
    <m/>
    <m/>
    <n v="0"/>
  </r>
  <r>
    <x v="6"/>
    <s v="Bossier Parish Community College"/>
    <s v="Met the criteria for Two-Year 1 in 2010-11."/>
    <n v="158431"/>
    <x v="7"/>
    <n v="9"/>
    <n v="53532"/>
    <n v="481788"/>
    <n v="19"/>
    <n v="53030"/>
    <n v="1007570"/>
    <n v="29"/>
    <n v="52259"/>
    <n v="1515511"/>
    <n v="20"/>
    <n v="49710"/>
    <n v="994200"/>
    <n v="22"/>
    <n v="44957"/>
    <n v="989054"/>
    <n v="29"/>
    <n v="41124"/>
    <n v="1192596"/>
    <n v="55"/>
    <n v="38470"/>
    <n v="2115850"/>
    <n v="49"/>
    <n v="40430"/>
    <n v="1981070"/>
    <n v="0"/>
    <n v="0"/>
    <n v="0"/>
    <n v="0"/>
    <n v="0"/>
    <n v="0"/>
    <m/>
    <m/>
    <n v="0"/>
    <m/>
    <m/>
    <n v="0"/>
    <n v="0"/>
    <n v="0"/>
    <n v="0"/>
    <n v="0"/>
    <n v="0"/>
    <n v="0"/>
    <n v="0"/>
    <n v="0"/>
    <n v="0"/>
    <n v="0"/>
    <n v="0"/>
    <n v="0"/>
    <n v="0"/>
    <n v="0"/>
    <n v="0"/>
    <n v="0"/>
    <n v="0"/>
    <n v="0"/>
    <n v="0"/>
    <n v="0"/>
    <n v="0"/>
    <n v="0"/>
    <n v="0"/>
    <n v="0"/>
    <n v="0"/>
    <n v="0"/>
    <n v="0"/>
    <n v="0"/>
    <n v="0"/>
    <n v="0"/>
    <m/>
    <m/>
    <n v="0"/>
    <m/>
    <m/>
    <n v="0"/>
  </r>
  <r>
    <x v="6"/>
    <s v="Louisiana State University at Eunice"/>
    <m/>
    <n v="159407"/>
    <x v="7"/>
    <n v="14"/>
    <n v="59879"/>
    <n v="838306"/>
    <n v="14"/>
    <n v="59879"/>
    <n v="838306"/>
    <n v="13"/>
    <n v="48967"/>
    <n v="636571"/>
    <n v="13"/>
    <n v="48535"/>
    <n v="630955"/>
    <n v="11"/>
    <n v="41858"/>
    <n v="460438"/>
    <n v="8"/>
    <n v="41115"/>
    <n v="328920"/>
    <n v="19"/>
    <n v="39474"/>
    <n v="750006"/>
    <n v="21"/>
    <n v="39899"/>
    <n v="837879"/>
    <n v="0"/>
    <n v="0"/>
    <n v="0"/>
    <n v="0"/>
    <n v="0"/>
    <n v="0"/>
    <m/>
    <m/>
    <n v="0"/>
    <m/>
    <m/>
    <n v="0"/>
    <n v="1"/>
    <n v="69473"/>
    <n v="56842.808600000004"/>
    <n v="1"/>
    <n v="69473"/>
    <n v="56842.808600000004"/>
    <n v="3"/>
    <n v="72783"/>
    <n v="178653.15180000002"/>
    <n v="3"/>
    <n v="72783"/>
    <n v="178653.15180000002"/>
    <n v="2"/>
    <n v="58770"/>
    <n v="96171.228000000003"/>
    <n v="2"/>
    <n v="58770"/>
    <n v="96171.228000000003"/>
    <n v="3"/>
    <n v="49867"/>
    <n v="122403.53820000001"/>
    <n v="3"/>
    <n v="49867"/>
    <n v="122403.53820000001"/>
    <n v="0"/>
    <n v="0"/>
    <n v="0"/>
    <n v="0"/>
    <n v="0"/>
    <n v="0"/>
    <m/>
    <m/>
    <n v="0"/>
    <m/>
    <m/>
    <n v="0"/>
  </r>
  <r>
    <x v="6"/>
    <s v="South Louisiana Community College"/>
    <s v="Reclassified: Met criteria for Two-Year 2 in 2008-09, 2009-10 and 2010-11."/>
    <n v="434061"/>
    <x v="7"/>
    <n v="0"/>
    <n v="0"/>
    <n v="0"/>
    <m/>
    <m/>
    <n v="0"/>
    <n v="0"/>
    <n v="0"/>
    <n v="0"/>
    <n v="0"/>
    <n v="0"/>
    <n v="0"/>
    <n v="5"/>
    <n v="47821"/>
    <n v="239105"/>
    <n v="5"/>
    <n v="47821"/>
    <n v="239105"/>
    <n v="31"/>
    <n v="37030"/>
    <n v="1147930"/>
    <n v="41"/>
    <n v="36328"/>
    <n v="1489448"/>
    <n v="0"/>
    <n v="0"/>
    <n v="0"/>
    <n v="0"/>
    <n v="0"/>
    <n v="0"/>
    <m/>
    <m/>
    <n v="0"/>
    <m/>
    <m/>
    <n v="0"/>
    <n v="0"/>
    <n v="0"/>
    <n v="0"/>
    <m/>
    <m/>
    <n v="0"/>
    <n v="0"/>
    <n v="0"/>
    <n v="0"/>
    <n v="0"/>
    <n v="0"/>
    <n v="0"/>
    <n v="0"/>
    <n v="0"/>
    <n v="0"/>
    <n v="0"/>
    <n v="0"/>
    <n v="0"/>
    <n v="0"/>
    <n v="0"/>
    <n v="0"/>
    <n v="0"/>
    <n v="0"/>
    <n v="0"/>
    <n v="0"/>
    <n v="0"/>
    <n v="0"/>
    <n v="0"/>
    <n v="0"/>
    <n v="0"/>
    <m/>
    <m/>
    <n v="0"/>
    <m/>
    <m/>
    <n v="0"/>
  </r>
  <r>
    <x v="6"/>
    <s v="Louisiana Delta Community College"/>
    <s v="Now includes LTC Tallulah Campus"/>
    <n v="440624"/>
    <x v="8"/>
    <n v="1"/>
    <n v="40000"/>
    <n v="40000"/>
    <n v="1"/>
    <n v="40000"/>
    <n v="40000"/>
    <n v="9"/>
    <n v="45311"/>
    <n v="407799"/>
    <n v="9"/>
    <n v="43879"/>
    <n v="394911"/>
    <n v="11"/>
    <n v="41209"/>
    <n v="453299"/>
    <n v="11"/>
    <n v="44348"/>
    <n v="487828"/>
    <n v="15"/>
    <n v="32236"/>
    <n v="483540"/>
    <n v="15"/>
    <n v="35874"/>
    <n v="538110"/>
    <n v="0"/>
    <n v="0"/>
    <n v="0"/>
    <n v="0"/>
    <n v="0"/>
    <n v="0"/>
    <m/>
    <m/>
    <n v="0"/>
    <m/>
    <m/>
    <n v="0"/>
    <m/>
    <m/>
    <n v="0"/>
    <n v="3"/>
    <n v="59546"/>
    <n v="146161.6116"/>
    <n v="0"/>
    <n v="0"/>
    <n v="0"/>
    <n v="0"/>
    <n v="0"/>
    <n v="0"/>
    <n v="1"/>
    <n v="53500"/>
    <n v="43773.700000000004"/>
    <n v="1"/>
    <n v="55765"/>
    <n v="45626.923000000003"/>
    <n v="1"/>
    <n v="50000"/>
    <n v="40910"/>
    <n v="12"/>
    <n v="46810"/>
    <n v="459599.304"/>
    <n v="0"/>
    <n v="0"/>
    <n v="0"/>
    <n v="0"/>
    <n v="0"/>
    <n v="0"/>
    <m/>
    <m/>
    <n v="0"/>
    <m/>
    <m/>
    <n v="0"/>
  </r>
  <r>
    <x v="6"/>
    <s v="Nunez Community College"/>
    <m/>
    <n v="158884"/>
    <x v="8"/>
    <n v="2"/>
    <n v="61675"/>
    <n v="123350"/>
    <n v="5"/>
    <n v="54482"/>
    <n v="272410"/>
    <n v="7"/>
    <n v="49693"/>
    <n v="347851"/>
    <n v="12"/>
    <n v="49751"/>
    <n v="597012"/>
    <n v="14"/>
    <n v="47792"/>
    <n v="669088"/>
    <n v="10"/>
    <n v="43110"/>
    <n v="431100"/>
    <n v="13"/>
    <n v="41027"/>
    <n v="533351"/>
    <n v="13"/>
    <n v="44385"/>
    <n v="577005"/>
    <n v="0"/>
    <n v="0"/>
    <n v="0"/>
    <n v="0"/>
    <n v="0"/>
    <n v="0"/>
    <m/>
    <m/>
    <n v="0"/>
    <m/>
    <m/>
    <n v="0"/>
    <n v="0"/>
    <n v="0"/>
    <n v="0"/>
    <m/>
    <m/>
    <n v="0"/>
    <n v="0"/>
    <n v="0"/>
    <n v="0"/>
    <n v="0"/>
    <n v="0"/>
    <n v="0"/>
    <n v="1"/>
    <n v="56035"/>
    <n v="45847.837"/>
    <n v="1"/>
    <n v="71000"/>
    <n v="58092.200000000004"/>
    <n v="1"/>
    <n v="63000"/>
    <n v="51546.600000000006"/>
    <n v="0"/>
    <n v="0"/>
    <n v="0"/>
    <n v="0"/>
    <n v="0"/>
    <n v="0"/>
    <n v="0"/>
    <n v="0"/>
    <n v="0"/>
    <m/>
    <m/>
    <n v="0"/>
    <m/>
    <m/>
    <n v="0"/>
  </r>
  <r>
    <x v="6"/>
    <s v="River Parishes Community College"/>
    <s v="Now includes LTC Ascension Campus"/>
    <n v="436304"/>
    <x v="8"/>
    <n v="0"/>
    <n v="0"/>
    <n v="0"/>
    <m/>
    <m/>
    <n v="0"/>
    <n v="2"/>
    <n v="52024"/>
    <n v="104048"/>
    <n v="2"/>
    <n v="52024"/>
    <n v="104048"/>
    <n v="10"/>
    <n v="41711"/>
    <n v="417110"/>
    <n v="11"/>
    <n v="40693"/>
    <n v="447623"/>
    <n v="10"/>
    <n v="30672"/>
    <n v="306720"/>
    <n v="16"/>
    <n v="29385"/>
    <n v="470160"/>
    <n v="0"/>
    <n v="0"/>
    <n v="0"/>
    <n v="0"/>
    <n v="0"/>
    <n v="0"/>
    <m/>
    <m/>
    <n v="0"/>
    <m/>
    <m/>
    <n v="0"/>
    <n v="0"/>
    <n v="0"/>
    <n v="0"/>
    <m/>
    <m/>
    <n v="0"/>
    <n v="0"/>
    <n v="0"/>
    <n v="0"/>
    <n v="0"/>
    <n v="0"/>
    <n v="0"/>
    <n v="0"/>
    <n v="0"/>
    <n v="0"/>
    <n v="0"/>
    <n v="0"/>
    <n v="0"/>
    <n v="1"/>
    <n v="55000"/>
    <n v="45001"/>
    <n v="1"/>
    <n v="55000"/>
    <n v="45001"/>
    <n v="3"/>
    <n v="46307"/>
    <n v="113665.16220000001"/>
    <n v="0"/>
    <n v="0"/>
    <n v="0"/>
    <m/>
    <m/>
    <n v="0"/>
    <m/>
    <m/>
    <n v="0"/>
  </r>
  <r>
    <x v="6"/>
    <s v="Southern University in Shreveport"/>
    <s v="Met criteria for Two-Year 2 in 2009-10 and 2010-11."/>
    <n v="160649"/>
    <x v="8"/>
    <n v="2"/>
    <n v="68127"/>
    <n v="136254"/>
    <n v="4"/>
    <n v="58234"/>
    <n v="232936"/>
    <n v="16"/>
    <n v="48241"/>
    <n v="771856"/>
    <n v="17"/>
    <n v="46559"/>
    <n v="791503"/>
    <n v="16"/>
    <n v="44329"/>
    <n v="709264"/>
    <n v="25"/>
    <n v="42548"/>
    <n v="1063700"/>
    <n v="21"/>
    <n v="36857"/>
    <n v="773997"/>
    <n v="13"/>
    <n v="41377"/>
    <n v="537901"/>
    <n v="0"/>
    <n v="0"/>
    <n v="0"/>
    <n v="0"/>
    <n v="0"/>
    <n v="0"/>
    <m/>
    <m/>
    <n v="0"/>
    <m/>
    <m/>
    <n v="0"/>
    <n v="0"/>
    <n v="0"/>
    <n v="0"/>
    <m/>
    <m/>
    <n v="0"/>
    <n v="1"/>
    <n v="70967"/>
    <n v="58065.199400000005"/>
    <n v="3"/>
    <n v="90484"/>
    <n v="222102.0264"/>
    <n v="2"/>
    <n v="62423"/>
    <n v="102148.9972"/>
    <n v="8"/>
    <n v="55780"/>
    <n v="365113.56800000003"/>
    <n v="20"/>
    <n v="50032"/>
    <n v="818723.64800000004"/>
    <n v="17"/>
    <n v="42474"/>
    <n v="590787.85560000001"/>
    <n v="0"/>
    <n v="0"/>
    <n v="0"/>
    <n v="0"/>
    <n v="0"/>
    <n v="0"/>
    <m/>
    <m/>
    <n v="0"/>
    <m/>
    <m/>
    <n v="0"/>
  </r>
  <r>
    <x v="6"/>
    <s v="Acadiana Technical College"/>
    <s v="Includes LTC Acadian, C.B. Coreil, Evangaline, Gulf Area, Lafayette, T.H. Harris and Teche Area Campuses"/>
    <m/>
    <x v="9"/>
    <m/>
    <m/>
    <n v="0"/>
    <m/>
    <m/>
    <n v="0"/>
    <m/>
    <m/>
    <n v="0"/>
    <m/>
    <m/>
    <n v="0"/>
    <m/>
    <m/>
    <n v="0"/>
    <m/>
    <m/>
    <n v="0"/>
    <m/>
    <m/>
    <n v="0"/>
    <m/>
    <m/>
    <n v="0"/>
    <m/>
    <m/>
    <n v="0"/>
    <m/>
    <m/>
    <n v="0"/>
    <m/>
    <m/>
    <n v="0"/>
    <m/>
    <m/>
    <n v="0"/>
    <m/>
    <m/>
    <n v="0"/>
    <m/>
    <m/>
    <n v="0"/>
    <m/>
    <m/>
    <n v="0"/>
    <m/>
    <m/>
    <n v="0"/>
    <m/>
    <m/>
    <n v="0"/>
    <m/>
    <m/>
    <n v="0"/>
    <m/>
    <m/>
    <n v="0"/>
    <m/>
    <m/>
    <n v="0"/>
    <m/>
    <m/>
    <n v="0"/>
    <m/>
    <m/>
    <n v="0"/>
    <m/>
    <m/>
    <n v="0"/>
    <m/>
    <m/>
    <n v="0"/>
  </r>
  <r>
    <x v="6"/>
    <s v="Capital Area Technical College"/>
    <s v="Includes LTC Baton Rouge, Folkes, Jumonville Memorial and Westside Campuses"/>
    <m/>
    <x v="9"/>
    <m/>
    <m/>
    <n v="0"/>
    <m/>
    <m/>
    <n v="0"/>
    <m/>
    <m/>
    <n v="0"/>
    <m/>
    <m/>
    <n v="0"/>
    <m/>
    <m/>
    <n v="0"/>
    <m/>
    <m/>
    <n v="0"/>
    <m/>
    <m/>
    <n v="0"/>
    <m/>
    <m/>
    <n v="0"/>
    <m/>
    <m/>
    <n v="0"/>
    <m/>
    <m/>
    <n v="0"/>
    <m/>
    <m/>
    <n v="0"/>
    <m/>
    <m/>
    <n v="0"/>
    <m/>
    <m/>
    <n v="0"/>
    <m/>
    <m/>
    <n v="0"/>
    <m/>
    <m/>
    <n v="0"/>
    <m/>
    <m/>
    <n v="0"/>
    <m/>
    <m/>
    <n v="0"/>
    <m/>
    <m/>
    <n v="0"/>
    <m/>
    <m/>
    <n v="0"/>
    <m/>
    <m/>
    <n v="0"/>
    <m/>
    <m/>
    <n v="0"/>
    <m/>
    <m/>
    <n v="0"/>
    <m/>
    <m/>
    <n v="0"/>
    <m/>
    <m/>
    <n v="0"/>
  </r>
  <r>
    <x v="6"/>
    <s v="Central LA Technical College"/>
    <s v="Includes LTC Alexandria, Avoyelles, Huey P. Long, Lamar-Salter, Morgan Smith, Oakdale and Shelby M. Jackson campuses"/>
    <m/>
    <x v="9"/>
    <m/>
    <m/>
    <n v="0"/>
    <m/>
    <m/>
    <n v="0"/>
    <m/>
    <m/>
    <n v="0"/>
    <m/>
    <m/>
    <n v="0"/>
    <m/>
    <m/>
    <n v="0"/>
    <m/>
    <m/>
    <n v="0"/>
    <m/>
    <m/>
    <n v="0"/>
    <m/>
    <m/>
    <n v="0"/>
    <m/>
    <m/>
    <n v="0"/>
    <m/>
    <m/>
    <n v="0"/>
    <m/>
    <m/>
    <n v="0"/>
    <m/>
    <m/>
    <n v="0"/>
    <m/>
    <m/>
    <n v="0"/>
    <m/>
    <m/>
    <n v="0"/>
    <m/>
    <m/>
    <n v="0"/>
    <m/>
    <m/>
    <n v="0"/>
    <m/>
    <m/>
    <n v="0"/>
    <m/>
    <m/>
    <n v="0"/>
    <m/>
    <m/>
    <n v="0"/>
    <m/>
    <m/>
    <n v="0"/>
    <m/>
    <m/>
    <n v="0"/>
    <m/>
    <m/>
    <n v="0"/>
    <m/>
    <m/>
    <n v="0"/>
    <m/>
    <m/>
    <n v="0"/>
  </r>
  <r>
    <x v="6"/>
    <s v="Northeast Technical College"/>
    <s v="Includes LTC Bastrop, Delta/Ouachita, North Central, Northeast Louisiana and Ruston Campuses"/>
    <m/>
    <x v="9"/>
    <m/>
    <m/>
    <n v="0"/>
    <m/>
    <m/>
    <n v="0"/>
    <m/>
    <m/>
    <n v="0"/>
    <m/>
    <m/>
    <n v="0"/>
    <m/>
    <m/>
    <n v="0"/>
    <m/>
    <m/>
    <n v="0"/>
    <m/>
    <m/>
    <n v="0"/>
    <m/>
    <m/>
    <n v="0"/>
    <m/>
    <m/>
    <n v="0"/>
    <m/>
    <m/>
    <n v="0"/>
    <m/>
    <m/>
    <n v="0"/>
    <m/>
    <m/>
    <n v="0"/>
    <m/>
    <m/>
    <n v="0"/>
    <m/>
    <m/>
    <n v="0"/>
    <m/>
    <m/>
    <n v="0"/>
    <m/>
    <m/>
    <n v="0"/>
    <m/>
    <m/>
    <n v="0"/>
    <m/>
    <m/>
    <n v="0"/>
    <m/>
    <m/>
    <n v="0"/>
    <m/>
    <m/>
    <n v="0"/>
    <m/>
    <m/>
    <n v="0"/>
    <m/>
    <m/>
    <n v="0"/>
    <m/>
    <m/>
    <n v="0"/>
    <m/>
    <m/>
    <n v="0"/>
  </r>
  <r>
    <x v="6"/>
    <s v="Northshore Technical College"/>
    <s v="Includes LTC Florida Parishes, Hammond Area and Sullivan Campuses"/>
    <m/>
    <x v="9"/>
    <m/>
    <m/>
    <n v="0"/>
    <m/>
    <m/>
    <n v="0"/>
    <m/>
    <m/>
    <n v="0"/>
    <m/>
    <m/>
    <n v="0"/>
    <m/>
    <m/>
    <n v="0"/>
    <m/>
    <m/>
    <n v="0"/>
    <m/>
    <m/>
    <n v="0"/>
    <m/>
    <m/>
    <n v="0"/>
    <m/>
    <m/>
    <n v="0"/>
    <m/>
    <m/>
    <n v="0"/>
    <m/>
    <m/>
    <n v="0"/>
    <m/>
    <m/>
    <n v="0"/>
    <m/>
    <m/>
    <n v="0"/>
    <m/>
    <m/>
    <n v="0"/>
    <m/>
    <m/>
    <n v="0"/>
    <m/>
    <m/>
    <n v="0"/>
    <m/>
    <m/>
    <n v="0"/>
    <m/>
    <m/>
    <n v="0"/>
    <m/>
    <m/>
    <n v="0"/>
    <m/>
    <m/>
    <n v="0"/>
    <m/>
    <m/>
    <n v="0"/>
    <m/>
    <m/>
    <n v="0"/>
    <m/>
    <m/>
    <n v="0"/>
    <m/>
    <m/>
    <n v="0"/>
  </r>
  <r>
    <x v="6"/>
    <s v="Northwest LA Technical College"/>
    <s v="Includes LTC Mansfield, Nachitoches, Northwest Louisiana, Sabine Valley and Shreveport/Bossier campuses."/>
    <m/>
    <x v="9"/>
    <m/>
    <m/>
    <n v="0"/>
    <m/>
    <m/>
    <n v="0"/>
    <m/>
    <m/>
    <n v="0"/>
    <m/>
    <m/>
    <n v="0"/>
    <m/>
    <m/>
    <n v="0"/>
    <m/>
    <m/>
    <n v="0"/>
    <m/>
    <m/>
    <n v="0"/>
    <m/>
    <m/>
    <n v="0"/>
    <m/>
    <m/>
    <n v="0"/>
    <m/>
    <m/>
    <n v="0"/>
    <m/>
    <m/>
    <n v="0"/>
    <m/>
    <m/>
    <n v="0"/>
    <m/>
    <m/>
    <n v="0"/>
    <m/>
    <m/>
    <n v="0"/>
    <m/>
    <m/>
    <n v="0"/>
    <m/>
    <m/>
    <n v="0"/>
    <m/>
    <m/>
    <n v="0"/>
    <m/>
    <m/>
    <n v="0"/>
    <m/>
    <m/>
    <n v="0"/>
    <m/>
    <m/>
    <n v="0"/>
    <m/>
    <m/>
    <n v="0"/>
    <m/>
    <m/>
    <n v="0"/>
    <m/>
    <m/>
    <n v="0"/>
    <m/>
    <m/>
    <n v="0"/>
  </r>
  <r>
    <x v="6"/>
    <s v="South Central LA Technical College"/>
    <s v="Includes LTC Laforuche, Rivers Parishes and Young Memorial Campuses"/>
    <m/>
    <x v="9"/>
    <m/>
    <m/>
    <n v="0"/>
    <m/>
    <m/>
    <n v="0"/>
    <m/>
    <m/>
    <n v="0"/>
    <m/>
    <m/>
    <n v="0"/>
    <m/>
    <m/>
    <n v="0"/>
    <m/>
    <m/>
    <n v="0"/>
    <m/>
    <m/>
    <n v="0"/>
    <m/>
    <m/>
    <n v="0"/>
    <m/>
    <m/>
    <n v="0"/>
    <m/>
    <m/>
    <n v="0"/>
    <m/>
    <m/>
    <n v="0"/>
    <m/>
    <m/>
    <n v="0"/>
    <m/>
    <m/>
    <n v="0"/>
    <m/>
    <m/>
    <n v="0"/>
    <m/>
    <m/>
    <n v="0"/>
    <m/>
    <m/>
    <n v="0"/>
    <m/>
    <m/>
    <n v="0"/>
    <m/>
    <m/>
    <n v="0"/>
    <m/>
    <m/>
    <n v="0"/>
    <m/>
    <m/>
    <n v="0"/>
    <m/>
    <m/>
    <n v="0"/>
    <m/>
    <m/>
    <n v="0"/>
    <m/>
    <m/>
    <n v="0"/>
    <m/>
    <m/>
    <n v="0"/>
  </r>
  <r>
    <x v="6"/>
    <s v="Sowela Technical Community College"/>
    <m/>
    <n v="160579"/>
    <x v="9"/>
    <n v="0"/>
    <n v="0"/>
    <n v="0"/>
    <m/>
    <m/>
    <n v="0"/>
    <n v="0"/>
    <n v="0"/>
    <n v="0"/>
    <n v="0"/>
    <n v="0"/>
    <n v="0"/>
    <n v="0"/>
    <n v="0"/>
    <n v="0"/>
    <m/>
    <m/>
    <n v="0"/>
    <n v="28"/>
    <n v="36073"/>
    <n v="1010044"/>
    <n v="29"/>
    <n v="36001"/>
    <n v="1044029"/>
    <n v="0"/>
    <n v="0"/>
    <n v="0"/>
    <n v="0"/>
    <n v="0"/>
    <n v="0"/>
    <m/>
    <m/>
    <n v="0"/>
    <m/>
    <m/>
    <n v="0"/>
    <n v="0"/>
    <n v="0"/>
    <n v="0"/>
    <m/>
    <m/>
    <n v="0"/>
    <n v="0"/>
    <n v="0"/>
    <n v="0"/>
    <n v="0"/>
    <n v="0"/>
    <n v="0"/>
    <n v="0"/>
    <n v="0"/>
    <n v="0"/>
    <n v="0"/>
    <n v="0"/>
    <n v="0"/>
    <n v="40"/>
    <n v="55391"/>
    <n v="1812836.648"/>
    <n v="37"/>
    <n v="54689"/>
    <n v="1655621.9726"/>
    <n v="0"/>
    <n v="0"/>
    <n v="0"/>
    <n v="0"/>
    <n v="0"/>
    <n v="0"/>
    <m/>
    <m/>
    <n v="0"/>
    <m/>
    <m/>
    <n v="0"/>
  </r>
  <r>
    <x v="6"/>
    <s v="L.E. Fletcher Technical Community College"/>
    <m/>
    <n v="160481"/>
    <x v="10"/>
    <n v="0"/>
    <n v="0"/>
    <n v="0"/>
    <m/>
    <m/>
    <n v="0"/>
    <n v="0"/>
    <n v="0"/>
    <n v="0"/>
    <n v="0"/>
    <n v="0"/>
    <n v="0"/>
    <n v="0"/>
    <n v="0"/>
    <n v="0"/>
    <m/>
    <m/>
    <n v="0"/>
    <n v="23"/>
    <n v="34271"/>
    <n v="788233"/>
    <n v="30"/>
    <n v="34661"/>
    <n v="1039830"/>
    <n v="1"/>
    <n v="25000"/>
    <n v="25000"/>
    <n v="5"/>
    <n v="26200"/>
    <n v="131000"/>
    <m/>
    <m/>
    <n v="0"/>
    <m/>
    <m/>
    <n v="0"/>
    <n v="0"/>
    <n v="0"/>
    <n v="0"/>
    <m/>
    <m/>
    <n v="0"/>
    <n v="0"/>
    <n v="0"/>
    <n v="0"/>
    <n v="0"/>
    <n v="0"/>
    <n v="0"/>
    <n v="0"/>
    <n v="0"/>
    <n v="0"/>
    <n v="1"/>
    <n v="64872"/>
    <n v="53078.270400000001"/>
    <n v="17"/>
    <n v="52549"/>
    <n v="730925.06060000008"/>
    <n v="17"/>
    <n v="52147"/>
    <n v="725333.48180000007"/>
    <n v="0"/>
    <n v="0"/>
    <n v="0"/>
    <n v="0"/>
    <n v="0"/>
    <n v="0"/>
    <m/>
    <m/>
    <n v="0"/>
    <m/>
    <m/>
    <n v="0"/>
  </r>
  <r>
    <x v="6"/>
    <s v="All Technical Colleges"/>
    <m/>
    <s v="All Tech Col"/>
    <x v="13"/>
    <m/>
    <m/>
    <n v="0"/>
    <n v="5"/>
    <n v="40740"/>
    <n v="203700"/>
    <m/>
    <m/>
    <n v="0"/>
    <n v="5"/>
    <n v="38529"/>
    <n v="192645"/>
    <m/>
    <m/>
    <n v="0"/>
    <n v="9"/>
    <n v="38626"/>
    <n v="347634"/>
    <m/>
    <m/>
    <n v="0"/>
    <n v="86"/>
    <n v="35161"/>
    <n v="3023846"/>
    <n v="0"/>
    <n v="0"/>
    <n v="0"/>
    <m/>
    <m/>
    <n v="0"/>
    <n v="73"/>
    <n v="37368"/>
    <n v="2727864"/>
    <n v="35"/>
    <n v="33453"/>
    <n v="1170855"/>
    <m/>
    <m/>
    <n v="0"/>
    <n v="93"/>
    <n v="54311"/>
    <n v="4132665.1986000002"/>
    <m/>
    <m/>
    <n v="0"/>
    <n v="16"/>
    <n v="48297"/>
    <n v="632265.68640000001"/>
    <m/>
    <m/>
    <n v="0"/>
    <n v="29"/>
    <n v="52548"/>
    <n v="1246848.4344000001"/>
    <m/>
    <m/>
    <n v="0"/>
    <n v="351"/>
    <n v="48279"/>
    <n v="13865159.107800001"/>
    <m/>
    <m/>
    <n v="0"/>
    <m/>
    <m/>
    <n v="0"/>
    <n v="427"/>
    <n v="49612"/>
    <n v="17333013.8968"/>
    <n v="489"/>
    <n v="49680"/>
    <n v="19876958.063999999"/>
  </r>
  <r>
    <x v="7"/>
    <s v="University of Maryland College Park"/>
    <m/>
    <n v="163286"/>
    <x v="0"/>
    <n v="385"/>
    <n v="131382.45973999999"/>
    <n v="50582246.999899998"/>
    <n v="380"/>
    <n v="130142"/>
    <n v="49453960"/>
    <n v="313"/>
    <n v="93114.568700000003"/>
    <n v="29144860.0031"/>
    <n v="310"/>
    <n v="93505"/>
    <n v="28986550"/>
    <n v="264"/>
    <n v="81959"/>
    <n v="21637176"/>
    <n v="255"/>
    <n v="81572"/>
    <n v="20800860"/>
    <n v="12"/>
    <n v="56951.666665999997"/>
    <n v="683419.99999199994"/>
    <n v="11"/>
    <n v="57027"/>
    <n v="627297"/>
    <n v="169"/>
    <n v="63165.535239999997"/>
    <n v="10674975.455559999"/>
    <m/>
    <m/>
    <n v="0"/>
    <m/>
    <m/>
    <n v="0"/>
    <m/>
    <m/>
    <n v="0"/>
    <n v="272"/>
    <n v="170474.36029000001"/>
    <n v="37939137.072283626"/>
    <n v="273"/>
    <n v="171577"/>
    <n v="38324914.282200001"/>
    <n v="100"/>
    <n v="120366.54"/>
    <n v="9848390.3027999997"/>
    <n v="94"/>
    <n v="119753"/>
    <n v="9210299.0324000008"/>
    <n v="47"/>
    <n v="105151.8085"/>
    <n v="4043654.8565909001"/>
    <n v="45"/>
    <n v="106849"/>
    <n v="3934073.3310000002"/>
    <n v="9"/>
    <n v="78719.111099999995"/>
    <n v="579671.79031817999"/>
    <n v="7"/>
    <m/>
    <n v="0"/>
    <n v="47"/>
    <n v="65452.553200000002"/>
    <n v="2517004.1143272803"/>
    <m/>
    <m/>
    <n v="0"/>
    <m/>
    <m/>
    <n v="0"/>
    <m/>
    <m/>
    <n v="0"/>
  </r>
  <r>
    <x v="7"/>
    <s v="University of Maryland, Baltimore County"/>
    <m/>
    <n v="163268"/>
    <x v="1"/>
    <n v="104"/>
    <n v="105491.6923"/>
    <n v="10971135.999199999"/>
    <n v="105"/>
    <n v="104350"/>
    <n v="10956750"/>
    <n v="126"/>
    <n v="77593.936499999996"/>
    <n v="9776835.9989999998"/>
    <n v="130"/>
    <n v="77486"/>
    <n v="10073180"/>
    <n v="97"/>
    <n v="67045.546390000003"/>
    <n v="6503417.9998300001"/>
    <n v="90"/>
    <n v="66479"/>
    <n v="5983110"/>
    <n v="8"/>
    <n v="47945.875"/>
    <n v="383567"/>
    <n v="7"/>
    <n v="48332"/>
    <n v="338324"/>
    <n v="64"/>
    <n v="52192.296875"/>
    <n v="3340307"/>
    <m/>
    <m/>
    <n v="0"/>
    <m/>
    <m/>
    <n v="0"/>
    <m/>
    <m/>
    <n v="0"/>
    <n v="43"/>
    <n v="160042"/>
    <n v="5630693.6692000004"/>
    <n v="45"/>
    <n v="162036"/>
    <n v="5966003.4840000002"/>
    <n v="22"/>
    <n v="100358.5"/>
    <n v="1806493.1434000002"/>
    <n v="20"/>
    <n v="96641"/>
    <n v="1581433.324"/>
    <n v="6"/>
    <n v="87481"/>
    <n v="429461.72520000004"/>
    <n v="5"/>
    <n v="82063"/>
    <n v="335719.73300000001"/>
    <n v="5"/>
    <n v="69249"/>
    <n v="283297.65899999999"/>
    <n v="5"/>
    <m/>
    <n v="0"/>
    <n v="5"/>
    <n v="66097"/>
    <n v="270402.82699999999"/>
    <m/>
    <m/>
    <n v="0"/>
    <m/>
    <m/>
    <n v="0"/>
    <m/>
    <m/>
    <n v="0"/>
  </r>
  <r>
    <x v="7"/>
    <s v="Morgan State University"/>
    <s v="Met the criteria for  Four-Year 2 in 2009-10 and 2010-11."/>
    <n v="163453"/>
    <x v="2"/>
    <n v="23"/>
    <n v="100860.79313000001"/>
    <n v="2319798.24199"/>
    <n v="22"/>
    <n v="99993"/>
    <n v="2199846"/>
    <n v="98"/>
    <n v="78900.418699999995"/>
    <n v="7732241.0325999996"/>
    <n v="97"/>
    <n v="79290"/>
    <n v="7691130"/>
    <n v="105"/>
    <n v="66854.819000000003"/>
    <n v="7019755.9950000001"/>
    <n v="102"/>
    <n v="67450"/>
    <n v="6879900"/>
    <n v="6"/>
    <n v="52189.833333299997"/>
    <n v="313138.9999998"/>
    <n v="4"/>
    <n v="48877"/>
    <n v="195508"/>
    <n v="158"/>
    <n v="43609.765820000001"/>
    <n v="6890342.9995600004"/>
    <m/>
    <m/>
    <n v="0"/>
    <m/>
    <m/>
    <n v="0"/>
    <m/>
    <m/>
    <n v="0"/>
    <n v="21"/>
    <n v="121894.47619"/>
    <n v="2094415.2687918181"/>
    <n v="22"/>
    <n v="124013"/>
    <n v="2232283.6052000001"/>
    <n v="18"/>
    <n v="107791.94444000001"/>
    <n v="1587516.6409345441"/>
    <n v="26"/>
    <n v="103767"/>
    <n v="2207456.1444000001"/>
    <n v="5"/>
    <n v="88683.4"/>
    <n v="362803.78940000001"/>
    <n v="6"/>
    <n v="79861"/>
    <n v="392053.62119999999"/>
    <m/>
    <m/>
    <n v="0"/>
    <m/>
    <m/>
    <n v="0"/>
    <n v="3"/>
    <n v="64570.333299999998"/>
    <n v="158494.34011818"/>
    <m/>
    <m/>
    <n v="0"/>
    <m/>
    <m/>
    <n v="0"/>
    <m/>
    <m/>
    <n v="0"/>
  </r>
  <r>
    <x v="7"/>
    <s v="Towson University "/>
    <m/>
    <n v="164076"/>
    <x v="2"/>
    <n v="147"/>
    <n v="90325.806389999998"/>
    <n v="13277893.53933"/>
    <n v="159"/>
    <n v="88846"/>
    <n v="14126514"/>
    <n v="153"/>
    <n v="72991.967300000004"/>
    <n v="11167770.9969"/>
    <n v="151"/>
    <n v="71414"/>
    <n v="10783514"/>
    <n v="277"/>
    <n v="61539.815900000001"/>
    <n v="17046529.004300002"/>
    <n v="289"/>
    <n v="61191"/>
    <n v="17684199"/>
    <n v="31"/>
    <n v="49598.967700000001"/>
    <n v="1537567.9987000001"/>
    <n v="21"/>
    <n v="49596"/>
    <n v="1041516"/>
    <n v="169"/>
    <n v="40478.372799999997"/>
    <n v="6840845.0031999992"/>
    <m/>
    <m/>
    <n v="0"/>
    <m/>
    <m/>
    <n v="0"/>
    <m/>
    <m/>
    <n v="0"/>
    <n v="33"/>
    <n v="109533.51519999999"/>
    <n v="2957470.6305091199"/>
    <n v="30"/>
    <n v="110031"/>
    <n v="2700820.926"/>
    <n v="8"/>
    <n v="102875.25"/>
    <n v="673380.23640000005"/>
    <n v="9"/>
    <n v="107040"/>
    <n v="788221.152"/>
    <m/>
    <m/>
    <n v="0"/>
    <m/>
    <n v="83750"/>
    <n v="0"/>
    <m/>
    <m/>
    <n v="0"/>
    <m/>
    <m/>
    <n v="0"/>
    <m/>
    <m/>
    <n v="0"/>
    <m/>
    <m/>
    <n v="0"/>
    <m/>
    <m/>
    <n v="0"/>
    <m/>
    <m/>
    <n v="0"/>
  </r>
  <r>
    <x v="7"/>
    <s v="Bowie State University "/>
    <m/>
    <n v="162007"/>
    <x v="3"/>
    <n v="28"/>
    <n v="87932.214000000007"/>
    <n v="2462101.9920000001"/>
    <n v="26"/>
    <n v="88136"/>
    <n v="2291536"/>
    <n v="27"/>
    <n v="71716.777770000001"/>
    <n v="1936352.99979"/>
    <n v="32"/>
    <n v="71769"/>
    <n v="2296608"/>
    <n v="89"/>
    <n v="62446.370799999997"/>
    <n v="5557727.0011999998"/>
    <n v="90"/>
    <n v="62422"/>
    <n v="5617980"/>
    <n v="8"/>
    <n v="58829"/>
    <n v="470632"/>
    <n v="7"/>
    <n v="57757"/>
    <n v="404299"/>
    <n v="33"/>
    <n v="54131"/>
    <n v="1786323"/>
    <m/>
    <m/>
    <n v="0"/>
    <m/>
    <m/>
    <n v="0"/>
    <m/>
    <m/>
    <n v="0"/>
    <n v="6"/>
    <n v="107994.5"/>
    <n v="530166.59940000006"/>
    <n v="6"/>
    <n v="108995"/>
    <n v="535078.25400000007"/>
    <n v="5"/>
    <n v="91164.800000000003"/>
    <n v="372955.19680000003"/>
    <n v="5"/>
    <n v="92165"/>
    <n v="377047.01500000001"/>
    <n v="5"/>
    <n v="83644.399999999994"/>
    <n v="342189.24040000001"/>
    <n v="5"/>
    <n v="78176"/>
    <n v="319818.016"/>
    <m/>
    <m/>
    <n v="0"/>
    <m/>
    <m/>
    <n v="0"/>
    <m/>
    <m/>
    <n v="0"/>
    <n v="1"/>
    <n v="78762"/>
    <n v="64443.068400000004"/>
    <m/>
    <m/>
    <n v="0"/>
    <m/>
    <m/>
    <n v="0"/>
  </r>
  <r>
    <x v="7"/>
    <s v="Coppin State University"/>
    <s v="Met the criteria for Four-Year 5 in 2010-11."/>
    <n v="162283"/>
    <x v="3"/>
    <n v="17"/>
    <n v="89769.411800000002"/>
    <n v="1526080.0005999999"/>
    <n v="21"/>
    <n v="86117"/>
    <n v="1808457"/>
    <n v="22"/>
    <n v="68028.044999999998"/>
    <n v="1496616.99"/>
    <n v="27"/>
    <n v="66693"/>
    <n v="1800711"/>
    <n v="83"/>
    <n v="60638.650999999998"/>
    <n v="5033008.0329999998"/>
    <n v="74"/>
    <n v="60198"/>
    <n v="4454652"/>
    <n v="3"/>
    <n v="53221"/>
    <n v="159663"/>
    <n v="2"/>
    <n v="55596"/>
    <n v="111192"/>
    <n v="16"/>
    <n v="45593.0625"/>
    <n v="729489"/>
    <m/>
    <m/>
    <n v="0"/>
    <m/>
    <m/>
    <n v="0"/>
    <m/>
    <m/>
    <n v="0"/>
    <n v="3"/>
    <n v="111872.33332999999"/>
    <n v="274601.82939181797"/>
    <n v="3"/>
    <n v="111872"/>
    <n v="274601.01120000001"/>
    <n v="3"/>
    <n v="85529"/>
    <n v="209939.4834"/>
    <n v="2"/>
    <n v="82178"/>
    <n v="134476.07920000001"/>
    <n v="10"/>
    <n v="79132.7"/>
    <n v="647463.75140000007"/>
    <n v="8"/>
    <n v="79927"/>
    <n v="523170.17120000004"/>
    <m/>
    <m/>
    <n v="0"/>
    <m/>
    <m/>
    <n v="0"/>
    <n v="1"/>
    <n v="75000"/>
    <n v="61365"/>
    <m/>
    <m/>
    <n v="0"/>
    <m/>
    <m/>
    <n v="0"/>
    <m/>
    <m/>
    <n v="0"/>
  </r>
  <r>
    <x v="7"/>
    <s v="Frostburg State University "/>
    <m/>
    <n v="162584"/>
    <x v="3"/>
    <n v="80"/>
    <n v="84642.887499999997"/>
    <n v="6771431"/>
    <n v="78"/>
    <n v="83501"/>
    <n v="6513078"/>
    <n v="56"/>
    <n v="68540.321400000001"/>
    <n v="3838257.9983999999"/>
    <n v="57"/>
    <n v="69109"/>
    <n v="3939213"/>
    <n v="67"/>
    <n v="60077.671600000001"/>
    <n v="4025203.9972000001"/>
    <n v="63"/>
    <n v="58359"/>
    <n v="3676617"/>
    <n v="8"/>
    <n v="51105.625"/>
    <n v="408845"/>
    <n v="10"/>
    <n v="54685"/>
    <n v="546850"/>
    <n v="29"/>
    <n v="39141.689700000003"/>
    <n v="1135109.0013000001"/>
    <m/>
    <m/>
    <n v="0"/>
    <m/>
    <m/>
    <n v="0"/>
    <m/>
    <m/>
    <n v="0"/>
    <m/>
    <m/>
    <n v="0"/>
    <m/>
    <m/>
    <n v="0"/>
    <m/>
    <m/>
    <n v="0"/>
    <m/>
    <m/>
    <n v="0"/>
    <m/>
    <m/>
    <n v="0"/>
    <m/>
    <m/>
    <n v="0"/>
    <m/>
    <m/>
    <n v="0"/>
    <m/>
    <m/>
    <n v="0"/>
    <m/>
    <m/>
    <n v="0"/>
    <m/>
    <m/>
    <n v="0"/>
    <m/>
    <m/>
    <n v="0"/>
    <m/>
    <m/>
    <n v="0"/>
  </r>
  <r>
    <x v="7"/>
    <s v="Salisbury University "/>
    <m/>
    <n v="163851"/>
    <x v="3"/>
    <n v="78"/>
    <n v="83944.3462"/>
    <n v="6547659.0036000004"/>
    <n v="85"/>
    <n v="83789"/>
    <n v="7122065"/>
    <n v="101"/>
    <n v="67780.494999999995"/>
    <n v="6845829.9949999992"/>
    <n v="102"/>
    <n v="67603"/>
    <n v="6895506"/>
    <n v="113"/>
    <n v="64270.628299999997"/>
    <n v="7262580.9978999998"/>
    <n v="104"/>
    <n v="64404"/>
    <n v="6698016"/>
    <n v="6"/>
    <n v="56319.166665999997"/>
    <n v="337914.99999599997"/>
    <n v="4"/>
    <n v="59097"/>
    <n v="236388"/>
    <n v="73"/>
    <n v="44372.836000000003"/>
    <n v="3239217.0280000004"/>
    <m/>
    <m/>
    <n v="0"/>
    <m/>
    <m/>
    <n v="0"/>
    <m/>
    <m/>
    <n v="0"/>
    <n v="3"/>
    <n v="115033"/>
    <n v="282360.00180000003"/>
    <n v="3"/>
    <n v="115033"/>
    <n v="282360.00180000003"/>
    <n v="1"/>
    <n v="108848"/>
    <n v="89059.433600000004"/>
    <n v="2"/>
    <n v="98745"/>
    <n v="161586.318"/>
    <m/>
    <m/>
    <n v="0"/>
    <m/>
    <m/>
    <n v="0"/>
    <m/>
    <m/>
    <n v="0"/>
    <m/>
    <m/>
    <n v="0"/>
    <n v="5"/>
    <n v="50709"/>
    <n v="207450.519"/>
    <m/>
    <m/>
    <n v="0"/>
    <m/>
    <m/>
    <n v="0"/>
    <m/>
    <m/>
    <n v="0"/>
  </r>
  <r>
    <x v="7"/>
    <s v="University of Baltimore"/>
    <m/>
    <n v="161873"/>
    <x v="3"/>
    <n v="52"/>
    <n v="131787.82689999999"/>
    <n v="6852966.9987999992"/>
    <n v="50"/>
    <n v="128449"/>
    <n v="6422450"/>
    <n v="52"/>
    <n v="99968.6538"/>
    <n v="5198369.9976000004"/>
    <n v="52"/>
    <n v="97742"/>
    <n v="5082584"/>
    <n v="45"/>
    <n v="78599.733330000003"/>
    <n v="3536987.9998500003"/>
    <n v="52"/>
    <n v="81338"/>
    <n v="4229576"/>
    <n v="6"/>
    <n v="70720.833329999994"/>
    <n v="424324.99997999996"/>
    <n v="7"/>
    <n v="75818"/>
    <n v="530726"/>
    <n v="11"/>
    <n v="55209"/>
    <n v="607299"/>
    <m/>
    <m/>
    <n v="0"/>
    <m/>
    <m/>
    <n v="0"/>
    <m/>
    <m/>
    <n v="0"/>
    <n v="4"/>
    <n v="127071.5"/>
    <n v="415879.60519999999"/>
    <n v="4"/>
    <n v="127072"/>
    <n v="415881.24160000001"/>
    <n v="2"/>
    <n v="106423"/>
    <n v="174150.59720000002"/>
    <n v="1"/>
    <n v="102846"/>
    <n v="84148.597200000004"/>
    <n v="1"/>
    <n v="85000"/>
    <n v="69547"/>
    <n v="2"/>
    <n v="70000"/>
    <n v="114548"/>
    <n v="5"/>
    <n v="51800"/>
    <n v="211913.80000000002"/>
    <n v="4"/>
    <m/>
    <n v="0"/>
    <m/>
    <m/>
    <n v="0"/>
    <m/>
    <m/>
    <n v="0"/>
    <m/>
    <m/>
    <n v="0"/>
    <m/>
    <m/>
    <n v="0"/>
  </r>
  <r>
    <x v="7"/>
    <s v="University of Maryland Eastern Shore "/>
    <m/>
    <n v="163338"/>
    <x v="3"/>
    <n v="18"/>
    <n v="80807.5"/>
    <n v="1454535"/>
    <n v="18"/>
    <n v="77945"/>
    <n v="1403010"/>
    <n v="31"/>
    <n v="66828.032300000006"/>
    <n v="2071669.0013000001"/>
    <n v="37"/>
    <n v="67385"/>
    <n v="2493245"/>
    <n v="35"/>
    <n v="62086.885699999999"/>
    <n v="2173040.9994999999"/>
    <n v="37"/>
    <n v="62113"/>
    <n v="2298181"/>
    <n v="2"/>
    <n v="56714"/>
    <n v="113428"/>
    <n v="3"/>
    <n v="67809"/>
    <n v="203427"/>
    <n v="50"/>
    <n v="47364.800000000003"/>
    <n v="2368240"/>
    <m/>
    <m/>
    <n v="0"/>
    <m/>
    <m/>
    <n v="0"/>
    <m/>
    <m/>
    <n v="0"/>
    <n v="16"/>
    <n v="98613.625"/>
    <n v="1290970.6876000001"/>
    <n v="12"/>
    <n v="106998"/>
    <n v="1050549.1632000001"/>
    <n v="12"/>
    <n v="98303.833333000002"/>
    <n v="965186.35719672719"/>
    <n v="13"/>
    <n v="96112"/>
    <n v="1022304.8992000001"/>
    <n v="4"/>
    <n v="70655"/>
    <n v="231239.68400000001"/>
    <n v="21"/>
    <n v="85818"/>
    <n v="1474542.0396"/>
    <n v="1"/>
    <n v="63787"/>
    <n v="52190.523400000005"/>
    <n v="1"/>
    <m/>
    <n v="0"/>
    <n v="9"/>
    <n v="62103"/>
    <n v="457314.07140000002"/>
    <n v="2"/>
    <m/>
    <n v="0"/>
    <m/>
    <m/>
    <n v="0"/>
    <m/>
    <m/>
    <n v="0"/>
  </r>
  <r>
    <x v="7"/>
    <s v="Saint Mary's College of Maryland"/>
    <s v="Met the criteria for Four-Year 5 in 2010-11."/>
    <n v="163912"/>
    <x v="5"/>
    <n v="44"/>
    <n v="91843.044999999998"/>
    <n v="4041093.98"/>
    <n v="43"/>
    <n v="88734"/>
    <n v="3815562"/>
    <n v="45"/>
    <n v="64194.555500000002"/>
    <n v="2888754.9975000001"/>
    <n v="48"/>
    <n v="64696"/>
    <n v="3105408"/>
    <n v="49"/>
    <n v="53476.7143"/>
    <n v="2620359.0007000002"/>
    <n v="51"/>
    <n v="52941"/>
    <n v="2699991"/>
    <n v="5"/>
    <n v="48885"/>
    <n v="244425"/>
    <n v="2"/>
    <n v="43250"/>
    <n v="86500"/>
    <m/>
    <m/>
    <n v="0"/>
    <m/>
    <m/>
    <n v="0"/>
    <m/>
    <m/>
    <n v="0"/>
    <m/>
    <m/>
    <n v="0"/>
    <m/>
    <m/>
    <n v="0"/>
    <m/>
    <m/>
    <n v="0"/>
    <m/>
    <m/>
    <n v="0"/>
    <m/>
    <m/>
    <n v="0"/>
    <m/>
    <m/>
    <n v="0"/>
    <m/>
    <m/>
    <n v="0"/>
    <m/>
    <m/>
    <n v="0"/>
    <n v="1"/>
    <m/>
    <n v="0"/>
    <m/>
    <m/>
    <n v="0"/>
    <m/>
    <m/>
    <n v="0"/>
    <m/>
    <m/>
    <n v="0"/>
    <m/>
    <m/>
    <n v="0"/>
  </r>
  <r>
    <x v="7"/>
    <s v="Anne Arundel Community College "/>
    <m/>
    <n v="161767"/>
    <x v="6"/>
    <n v="71"/>
    <n v="85602.606"/>
    <n v="6077785.0259999996"/>
    <n v="74"/>
    <n v="82950"/>
    <n v="6138300"/>
    <n v="80"/>
    <n v="67211.725000000006"/>
    <n v="5376938"/>
    <n v="82"/>
    <n v="66174"/>
    <n v="5426268"/>
    <n v="75"/>
    <n v="58577"/>
    <n v="4393275"/>
    <n v="74"/>
    <n v="58049"/>
    <n v="4295626"/>
    <n v="25"/>
    <n v="51332.24"/>
    <n v="1283306"/>
    <n v="22"/>
    <n v="50050"/>
    <n v="1101100"/>
    <m/>
    <m/>
    <n v="0"/>
    <m/>
    <m/>
    <n v="0"/>
    <m/>
    <m/>
    <n v="0"/>
    <m/>
    <m/>
    <n v="0"/>
    <n v="1"/>
    <n v="113007"/>
    <n v="92462.327400000009"/>
    <n v="2"/>
    <n v="102856"/>
    <n v="168313.55840000001"/>
    <n v="8"/>
    <n v="75427"/>
    <n v="493714.97120000003"/>
    <n v="8"/>
    <n v="77286"/>
    <n v="505883.24160000001"/>
    <n v="2"/>
    <n v="70822"/>
    <n v="115893.1208"/>
    <n v="2"/>
    <n v="70121"/>
    <n v="114746.00440000001"/>
    <m/>
    <m/>
    <n v="0"/>
    <n v="1"/>
    <n v="63441"/>
    <n v="51907.426200000002"/>
    <m/>
    <m/>
    <n v="0"/>
    <m/>
    <m/>
    <n v="0"/>
    <m/>
    <m/>
    <n v="0"/>
    <m/>
    <m/>
    <n v="0"/>
  </r>
  <r>
    <x v="7"/>
    <s v="Community College of Baltimore County (all campuses)"/>
    <m/>
    <n v="434672"/>
    <x v="6"/>
    <n v="46"/>
    <n v="83790.934779999996"/>
    <n v="3854382.99988"/>
    <n v="53"/>
    <n v="84276"/>
    <n v="4466628"/>
    <n v="74"/>
    <n v="67527.960000000006"/>
    <n v="4997069.04"/>
    <n v="95"/>
    <n v="66270"/>
    <n v="6295650"/>
    <n v="180"/>
    <n v="56072"/>
    <n v="10092960"/>
    <n v="159"/>
    <n v="56374"/>
    <n v="8963466"/>
    <n v="38"/>
    <n v="49049"/>
    <n v="1863862"/>
    <n v="30"/>
    <n v="50423"/>
    <n v="1512690"/>
    <m/>
    <m/>
    <n v="0"/>
    <m/>
    <m/>
    <n v="0"/>
    <m/>
    <m/>
    <n v="0"/>
    <m/>
    <m/>
    <n v="0"/>
    <n v="12"/>
    <n v="100234.67"/>
    <n v="984144.08392800007"/>
    <n v="18"/>
    <n v="103186"/>
    <n v="1519682.1336000001"/>
    <n v="13"/>
    <n v="80145.461500000005"/>
    <n v="852475.21579090005"/>
    <n v="17"/>
    <n v="80334"/>
    <n v="1117397.7396"/>
    <n v="26"/>
    <n v="70427.386100000003"/>
    <n v="1498215.8699825201"/>
    <n v="26"/>
    <n v="71026"/>
    <n v="1510950.3032"/>
    <n v="14"/>
    <n v="58233.642899999999"/>
    <n v="667054.73269092001"/>
    <n v="17"/>
    <n v="56875"/>
    <n v="791097.125"/>
    <m/>
    <m/>
    <n v="0"/>
    <m/>
    <m/>
    <n v="0"/>
    <m/>
    <m/>
    <n v="0"/>
    <m/>
    <m/>
    <n v="0"/>
  </r>
  <r>
    <x v="7"/>
    <s v="Montgomery College (all campuses)"/>
    <m/>
    <n v="163426"/>
    <x v="6"/>
    <n v="277"/>
    <n v="87892.768949999998"/>
    <n v="24346296.999150001"/>
    <n v="286"/>
    <n v="86922"/>
    <n v="24859692"/>
    <n v="144"/>
    <n v="70571.291670000006"/>
    <n v="10162266.00048"/>
    <n v="134"/>
    <n v="70429"/>
    <n v="9437486"/>
    <n v="87"/>
    <n v="61654.701099999998"/>
    <n v="5363958.9956999999"/>
    <n v="99"/>
    <n v="59890"/>
    <n v="5929110"/>
    <n v="6"/>
    <n v="54265.5"/>
    <n v="325593"/>
    <n v="3"/>
    <n v="58401"/>
    <n v="175203"/>
    <m/>
    <m/>
    <n v="0"/>
    <m/>
    <m/>
    <n v="0"/>
    <m/>
    <m/>
    <n v="0"/>
    <m/>
    <m/>
    <n v="0"/>
    <m/>
    <m/>
    <n v="0"/>
    <m/>
    <m/>
    <n v="0"/>
    <m/>
    <m/>
    <n v="0"/>
    <m/>
    <m/>
    <n v="0"/>
    <m/>
    <m/>
    <n v="0"/>
    <m/>
    <m/>
    <n v="0"/>
    <m/>
    <m/>
    <n v="0"/>
    <m/>
    <m/>
    <n v="0"/>
    <m/>
    <m/>
    <n v="0"/>
    <m/>
    <m/>
    <n v="0"/>
    <m/>
    <m/>
    <n v="0"/>
    <m/>
    <m/>
    <n v="0"/>
  </r>
  <r>
    <x v="7"/>
    <s v="Prince George's Community College "/>
    <m/>
    <n v="163657"/>
    <x v="6"/>
    <n v="86"/>
    <n v="69948.72"/>
    <n v="6015589.9199999999"/>
    <n v="88"/>
    <n v="73353"/>
    <n v="6455064"/>
    <n v="106"/>
    <n v="56354.603799999997"/>
    <n v="5973588.0027999999"/>
    <n v="108"/>
    <n v="59142"/>
    <n v="6387336"/>
    <n v="34"/>
    <n v="47112.147010000001"/>
    <n v="1601812.9983399999"/>
    <n v="33"/>
    <n v="51032"/>
    <n v="1684056"/>
    <n v="1"/>
    <n v="36536"/>
    <n v="36536"/>
    <n v="2"/>
    <n v="46250"/>
    <n v="92500"/>
    <m/>
    <m/>
    <n v="0"/>
    <m/>
    <m/>
    <n v="0"/>
    <m/>
    <m/>
    <n v="0"/>
    <m/>
    <m/>
    <n v="0"/>
    <n v="2"/>
    <n v="95433"/>
    <n v="156166.5612"/>
    <n v="3"/>
    <n v="93766"/>
    <n v="230158.02360000001"/>
    <n v="4"/>
    <n v="73281.75"/>
    <n v="239836.51140000002"/>
    <n v="2"/>
    <n v="75674"/>
    <n v="123832.9336"/>
    <n v="2"/>
    <n v="62838"/>
    <n v="102828.1032"/>
    <n v="2"/>
    <n v="68447"/>
    <n v="112006.67080000001"/>
    <n v="1"/>
    <n v="45910"/>
    <n v="37563.562000000005"/>
    <m/>
    <n v="60563"/>
    <n v="0"/>
    <m/>
    <m/>
    <n v="0"/>
    <m/>
    <m/>
    <n v="0"/>
    <m/>
    <m/>
    <n v="0"/>
    <m/>
    <m/>
    <n v="0"/>
  </r>
  <r>
    <x v="7"/>
    <s v="Allegany College of Maryland"/>
    <m/>
    <n v="161688"/>
    <x v="7"/>
    <n v="32"/>
    <n v="60338.3125"/>
    <n v="1930826"/>
    <n v="32"/>
    <n v="62184"/>
    <n v="1989888"/>
    <n v="22"/>
    <n v="47309.63"/>
    <n v="1040811.86"/>
    <n v="22"/>
    <n v="47705"/>
    <n v="1049510"/>
    <n v="25"/>
    <n v="41842.04"/>
    <n v="1046051"/>
    <n v="26"/>
    <n v="43166"/>
    <n v="1122316"/>
    <n v="5"/>
    <n v="38513"/>
    <n v="192565"/>
    <n v="4"/>
    <n v="37452"/>
    <n v="149808"/>
    <m/>
    <m/>
    <n v="0"/>
    <m/>
    <m/>
    <n v="0"/>
    <m/>
    <m/>
    <n v="0"/>
    <m/>
    <m/>
    <n v="0"/>
    <n v="9"/>
    <n v="75638"/>
    <n v="556983.10440000007"/>
    <n v="9"/>
    <n v="77378"/>
    <n v="569796.11640000006"/>
    <n v="8"/>
    <n v="59491"/>
    <n v="389404.28960000002"/>
    <n v="11"/>
    <n v="60559"/>
    <n v="545043.11180000007"/>
    <n v="7"/>
    <n v="58459"/>
    <n v="334818.07660000003"/>
    <n v="6"/>
    <n v="58763"/>
    <n v="288479.31959999999"/>
    <n v="6"/>
    <n v="48120"/>
    <n v="236230.704"/>
    <n v="5"/>
    <n v="50689"/>
    <n v="207368.69900000002"/>
    <m/>
    <m/>
    <n v="0"/>
    <m/>
    <m/>
    <n v="0"/>
    <m/>
    <m/>
    <n v="0"/>
    <m/>
    <m/>
    <n v="0"/>
  </r>
  <r>
    <x v="7"/>
    <s v="Baltimore City Community College"/>
    <m/>
    <n v="161864"/>
    <x v="7"/>
    <n v="25"/>
    <n v="77369.56"/>
    <n v="1934239"/>
    <n v="23"/>
    <n v="76950"/>
    <n v="1769850"/>
    <n v="23"/>
    <n v="63044.652000000002"/>
    <n v="1450026.996"/>
    <n v="21"/>
    <n v="63142"/>
    <n v="1325982"/>
    <n v="75"/>
    <n v="55049.266660000001"/>
    <n v="4128694.9994999999"/>
    <n v="74"/>
    <n v="54738"/>
    <n v="4050612"/>
    <n v="5"/>
    <n v="45369.2"/>
    <n v="226846"/>
    <n v="5"/>
    <n v="45369"/>
    <n v="226845"/>
    <m/>
    <m/>
    <n v="0"/>
    <m/>
    <m/>
    <n v="0"/>
    <m/>
    <m/>
    <n v="0"/>
    <m/>
    <m/>
    <n v="0"/>
    <m/>
    <m/>
    <n v="0"/>
    <n v="1"/>
    <m/>
    <n v="0"/>
    <m/>
    <m/>
    <n v="0"/>
    <m/>
    <m/>
    <n v="0"/>
    <m/>
    <m/>
    <n v="0"/>
    <m/>
    <m/>
    <n v="0"/>
    <m/>
    <m/>
    <n v="0"/>
    <m/>
    <m/>
    <n v="0"/>
    <m/>
    <m/>
    <n v="0"/>
    <m/>
    <m/>
    <n v="0"/>
    <m/>
    <m/>
    <n v="0"/>
    <m/>
    <m/>
    <n v="0"/>
  </r>
  <r>
    <x v="7"/>
    <s v="Carroll Community College"/>
    <s v="Reclassified: Met the criteria for Two-Year 2 in 2008-09, 2009-10 and 2010-11."/>
    <n v="405872"/>
    <x v="7"/>
    <n v="7"/>
    <n v="70519"/>
    <n v="493633"/>
    <n v="6"/>
    <n v="67221"/>
    <n v="403326"/>
    <n v="18"/>
    <n v="60626"/>
    <n v="1091268"/>
    <n v="18"/>
    <n v="59602"/>
    <n v="1072836"/>
    <n v="26"/>
    <n v="53671"/>
    <n v="1395446"/>
    <n v="33"/>
    <n v="51225"/>
    <n v="1690425"/>
    <n v="13"/>
    <n v="44548"/>
    <n v="579124"/>
    <n v="9"/>
    <n v="47266"/>
    <n v="425394"/>
    <m/>
    <m/>
    <n v="0"/>
    <m/>
    <m/>
    <n v="0"/>
    <m/>
    <m/>
    <n v="0"/>
    <m/>
    <m/>
    <n v="0"/>
    <m/>
    <m/>
    <n v="0"/>
    <m/>
    <m/>
    <n v="0"/>
    <n v="2"/>
    <n v="87660"/>
    <n v="143446.82399999999"/>
    <n v="4"/>
    <n v="84461"/>
    <n v="276423.9608"/>
    <n v="3"/>
    <n v="55978"/>
    <n v="137403.59880000001"/>
    <n v="3"/>
    <m/>
    <n v="0"/>
    <m/>
    <m/>
    <n v="0"/>
    <n v="2"/>
    <m/>
    <n v="0"/>
    <m/>
    <m/>
    <n v="0"/>
    <m/>
    <m/>
    <n v="0"/>
    <m/>
    <m/>
    <n v="0"/>
    <m/>
    <m/>
    <n v="0"/>
  </r>
  <r>
    <x v="7"/>
    <s v="College of Southern Maryland"/>
    <s v="Met the criteria for Two-Year 1 in 2009-10 and 2010-11."/>
    <n v="162122"/>
    <x v="7"/>
    <n v="67"/>
    <n v="82550.790999999997"/>
    <n v="5530902.9969999995"/>
    <n v="74"/>
    <n v="81356"/>
    <n v="6020344"/>
    <n v="16"/>
    <n v="63946.625"/>
    <n v="1023146"/>
    <n v="16"/>
    <n v="64597"/>
    <n v="1033552"/>
    <n v="17"/>
    <n v="58988.941200000001"/>
    <n v="1002812.0004"/>
    <n v="13"/>
    <n v="58333"/>
    <n v="758329"/>
    <n v="1"/>
    <n v="43827"/>
    <n v="43827"/>
    <n v="1"/>
    <n v="43765"/>
    <n v="43765"/>
    <m/>
    <m/>
    <n v="0"/>
    <m/>
    <m/>
    <n v="0"/>
    <m/>
    <m/>
    <n v="0"/>
    <m/>
    <m/>
    <n v="0"/>
    <n v="17"/>
    <n v="100552.118"/>
    <n v="1398619.6301092"/>
    <n v="15"/>
    <n v="101673"/>
    <n v="1247832.7290000001"/>
    <n v="3"/>
    <n v="81096.666599999997"/>
    <n v="199059.87783636001"/>
    <n v="6"/>
    <n v="81396"/>
    <n v="399589.24320000003"/>
    <n v="2"/>
    <n v="72062"/>
    <n v="117922.2568"/>
    <n v="1"/>
    <n v="72481"/>
    <n v="59303.9542"/>
    <m/>
    <m/>
    <n v="0"/>
    <m/>
    <m/>
    <n v="0"/>
    <m/>
    <m/>
    <n v="0"/>
    <m/>
    <m/>
    <n v="0"/>
    <m/>
    <m/>
    <n v="0"/>
    <m/>
    <m/>
    <n v="0"/>
  </r>
  <r>
    <x v="7"/>
    <s v="Frederick Community College "/>
    <m/>
    <n v="162557"/>
    <x v="7"/>
    <n v="21"/>
    <n v="82104.38"/>
    <n v="1724191.98"/>
    <n v="21"/>
    <n v="82671"/>
    <n v="1736091"/>
    <n v="22"/>
    <n v="71813"/>
    <n v="1579886"/>
    <n v="19"/>
    <n v="69956"/>
    <n v="1329164"/>
    <n v="47"/>
    <n v="58874"/>
    <n v="2767078"/>
    <n v="54"/>
    <n v="58825"/>
    <n v="3176550"/>
    <m/>
    <m/>
    <n v="0"/>
    <m/>
    <m/>
    <n v="0"/>
    <m/>
    <m/>
    <n v="0"/>
    <m/>
    <m/>
    <n v="0"/>
    <m/>
    <m/>
    <n v="0"/>
    <m/>
    <m/>
    <n v="0"/>
    <n v="3"/>
    <n v="102362"/>
    <n v="251257.76520000002"/>
    <n v="2"/>
    <n v="102255"/>
    <n v="167330.08199999999"/>
    <n v="1"/>
    <n v="92701"/>
    <n v="75847.958200000008"/>
    <n v="1"/>
    <n v="94555"/>
    <n v="77364.900999999998"/>
    <n v="2"/>
    <n v="74398"/>
    <n v="121744.88720000001"/>
    <n v="1"/>
    <n v="70041"/>
    <n v="57307.546200000004"/>
    <m/>
    <m/>
    <n v="0"/>
    <m/>
    <m/>
    <n v="0"/>
    <m/>
    <m/>
    <n v="0"/>
    <m/>
    <m/>
    <n v="0"/>
    <m/>
    <m/>
    <n v="0"/>
    <m/>
    <m/>
    <n v="0"/>
  </r>
  <r>
    <x v="7"/>
    <s v="Hagerstown Community College "/>
    <m/>
    <n v="162690"/>
    <x v="7"/>
    <n v="13"/>
    <n v="75030"/>
    <n v="975390"/>
    <n v="12"/>
    <n v="73654"/>
    <n v="883848"/>
    <n v="8"/>
    <n v="58810.75"/>
    <n v="470486"/>
    <n v="10"/>
    <n v="57062"/>
    <n v="570620"/>
    <n v="26"/>
    <n v="52525"/>
    <n v="1365650"/>
    <n v="23"/>
    <n v="52187"/>
    <n v="1200301"/>
    <n v="12"/>
    <n v="47481"/>
    <n v="569772"/>
    <n v="16"/>
    <n v="46714"/>
    <n v="747424"/>
    <m/>
    <m/>
    <n v="0"/>
    <m/>
    <m/>
    <n v="0"/>
    <m/>
    <m/>
    <n v="0"/>
    <m/>
    <m/>
    <n v="0"/>
    <n v="3"/>
    <n v="94663"/>
    <n v="232359.79980000001"/>
    <n v="3"/>
    <n v="94894"/>
    <n v="232926.81240000002"/>
    <n v="1"/>
    <n v="62802"/>
    <n v="51384.596400000002"/>
    <n v="1"/>
    <n v="62802"/>
    <n v="51384.596400000002"/>
    <n v="4"/>
    <n v="60385"/>
    <n v="197628.02800000002"/>
    <n v="4"/>
    <n v="60464"/>
    <n v="197886.57920000001"/>
    <n v="6"/>
    <n v="50874"/>
    <n v="249750.64080000002"/>
    <n v="8"/>
    <n v="47685"/>
    <n v="312126.93599999999"/>
    <m/>
    <m/>
    <n v="0"/>
    <n v="1"/>
    <n v="52000"/>
    <n v="42546.400000000001"/>
    <m/>
    <m/>
    <n v="0"/>
    <m/>
    <m/>
    <n v="0"/>
  </r>
  <r>
    <x v="7"/>
    <s v="Harford Community College "/>
    <m/>
    <n v="162706"/>
    <x v="7"/>
    <n v="17"/>
    <n v="83520"/>
    <n v="1419840"/>
    <n v="17"/>
    <n v="81608"/>
    <n v="1387336"/>
    <n v="20"/>
    <n v="67531"/>
    <n v="1350620"/>
    <n v="23"/>
    <n v="66210"/>
    <n v="1522830"/>
    <n v="21"/>
    <n v="55142.618999999999"/>
    <n v="1157994.9990000001"/>
    <n v="19"/>
    <n v="52731"/>
    <n v="1001889"/>
    <n v="2"/>
    <n v="50114"/>
    <n v="100228"/>
    <m/>
    <m/>
    <n v="0"/>
    <m/>
    <m/>
    <n v="0"/>
    <n v="36"/>
    <n v="44136"/>
    <n v="1588896"/>
    <m/>
    <m/>
    <n v="0"/>
    <m/>
    <m/>
    <n v="0"/>
    <m/>
    <m/>
    <n v="0"/>
    <m/>
    <m/>
    <n v="0"/>
    <n v="1"/>
    <n v="88332"/>
    <n v="72273.242400000003"/>
    <n v="1"/>
    <n v="88332"/>
    <n v="72273.242400000003"/>
    <m/>
    <m/>
    <n v="0"/>
    <n v="3"/>
    <m/>
    <n v="0"/>
    <m/>
    <m/>
    <n v="0"/>
    <n v="2"/>
    <n v="62986"/>
    <n v="103070.2904"/>
    <n v="1"/>
    <n v="52000"/>
    <n v="42546.400000000001"/>
    <m/>
    <m/>
    <n v="0"/>
    <m/>
    <m/>
    <n v="0"/>
    <m/>
    <m/>
    <n v="0"/>
  </r>
  <r>
    <x v="7"/>
    <s v="Howard Community College "/>
    <s v="Met the criteria for Two-Year 1 in 2009-10 and 2010-11."/>
    <n v="162779"/>
    <x v="7"/>
    <n v="33"/>
    <n v="81769"/>
    <n v="2698377"/>
    <n v="34"/>
    <n v="81219"/>
    <n v="2761446"/>
    <n v="23"/>
    <n v="67255.304000000004"/>
    <n v="1546871.9920000001"/>
    <n v="23"/>
    <n v="67336"/>
    <n v="1548728"/>
    <n v="43"/>
    <n v="57706.6512"/>
    <n v="2481386.0016000001"/>
    <n v="48"/>
    <n v="57157"/>
    <n v="2743536"/>
    <n v="21"/>
    <n v="51211.809000000001"/>
    <n v="1075447.9890000001"/>
    <n v="19"/>
    <n v="52159"/>
    <n v="991021"/>
    <n v="1"/>
    <n v="51980"/>
    <n v="51980"/>
    <m/>
    <m/>
    <n v="0"/>
    <m/>
    <m/>
    <n v="0"/>
    <m/>
    <m/>
    <n v="0"/>
    <n v="18"/>
    <n v="100778.3333"/>
    <n v="1484222.9815090802"/>
    <n v="16"/>
    <n v="101378"/>
    <n v="1327159.6736000001"/>
    <n v="5"/>
    <n v="82431.199999999997"/>
    <n v="337226.0392"/>
    <n v="7"/>
    <n v="81880"/>
    <n v="468959.51200000005"/>
    <n v="4"/>
    <n v="71908"/>
    <n v="235340.5024"/>
    <n v="3"/>
    <n v="73161"/>
    <n v="179580.99060000002"/>
    <n v="1"/>
    <n v="53424"/>
    <n v="43711.516800000005"/>
    <n v="2"/>
    <m/>
    <n v="0"/>
    <m/>
    <m/>
    <n v="0"/>
    <m/>
    <m/>
    <n v="0"/>
    <m/>
    <m/>
    <n v="0"/>
    <m/>
    <m/>
    <n v="0"/>
  </r>
  <r>
    <x v="7"/>
    <s v="Wor-Wic Community College "/>
    <s v="Reclassified: Met the criteria for Two-Year 2 in 2008-09, 2009-10 and 2010-11."/>
    <n v="164313"/>
    <x v="7"/>
    <n v="6"/>
    <n v="82010.833299999998"/>
    <n v="492064.99979999999"/>
    <n v="5"/>
    <n v="82661"/>
    <n v="413305"/>
    <n v="8"/>
    <n v="63220.875"/>
    <n v="505767"/>
    <n v="7"/>
    <n v="62862"/>
    <n v="440034"/>
    <n v="17"/>
    <n v="54532"/>
    <n v="927044"/>
    <n v="18"/>
    <n v="53865"/>
    <n v="969570"/>
    <n v="21"/>
    <n v="46113.571000000004"/>
    <n v="968384.99100000004"/>
    <n v="22"/>
    <n v="45164"/>
    <n v="993608"/>
    <m/>
    <m/>
    <n v="0"/>
    <m/>
    <m/>
    <n v="0"/>
    <m/>
    <m/>
    <n v="0"/>
    <m/>
    <m/>
    <n v="0"/>
    <n v="4"/>
    <n v="88738.5"/>
    <n v="290423.3628"/>
    <n v="4"/>
    <n v="88739"/>
    <n v="290424.99920000002"/>
    <n v="4"/>
    <n v="80042.5"/>
    <n v="261963.09400000001"/>
    <n v="3"/>
    <n v="82686"/>
    <n v="202961.05560000002"/>
    <n v="3"/>
    <n v="64026"/>
    <n v="157158.21960000001"/>
    <n v="4"/>
    <n v="63975"/>
    <n v="209377.38"/>
    <n v="5"/>
    <n v="56969.599999999999"/>
    <n v="233062.6336"/>
    <n v="4"/>
    <m/>
    <n v="0"/>
    <m/>
    <m/>
    <n v="0"/>
    <m/>
    <m/>
    <n v="0"/>
    <m/>
    <m/>
    <n v="0"/>
    <m/>
    <m/>
    <n v="0"/>
  </r>
  <r>
    <x v="7"/>
    <s v="Cecil Community College "/>
    <m/>
    <n v="162104"/>
    <x v="8"/>
    <n v="12"/>
    <n v="72737.919999999998"/>
    <n v="872855.04000000004"/>
    <n v="10"/>
    <n v="70424"/>
    <n v="704240"/>
    <n v="14"/>
    <n v="61727"/>
    <n v="864178"/>
    <n v="10"/>
    <n v="58752"/>
    <n v="587520"/>
    <n v="17"/>
    <n v="47833.588000000003"/>
    <n v="813170.99600000004"/>
    <n v="21"/>
    <n v="48618"/>
    <n v="1020978"/>
    <m/>
    <m/>
    <n v="0"/>
    <m/>
    <m/>
    <n v="0"/>
    <m/>
    <m/>
    <n v="0"/>
    <m/>
    <m/>
    <n v="0"/>
    <m/>
    <m/>
    <n v="0"/>
    <m/>
    <m/>
    <n v="0"/>
    <n v="3"/>
    <n v="84723"/>
    <n v="207961.07580000002"/>
    <n v="2"/>
    <n v="79255"/>
    <n v="129692.88200000001"/>
    <m/>
    <m/>
    <n v="0"/>
    <m/>
    <m/>
    <n v="0"/>
    <n v="1"/>
    <n v="53788"/>
    <n v="44009.3416"/>
    <n v="1"/>
    <n v="56234"/>
    <n v="46010.658800000005"/>
    <m/>
    <m/>
    <n v="0"/>
    <m/>
    <m/>
    <n v="0"/>
    <m/>
    <m/>
    <n v="0"/>
    <m/>
    <m/>
    <n v="0"/>
    <m/>
    <m/>
    <n v="0"/>
    <m/>
    <m/>
    <n v="0"/>
  </r>
  <r>
    <x v="7"/>
    <s v="Chesapeake College "/>
    <m/>
    <n v="162168"/>
    <x v="8"/>
    <n v="12"/>
    <n v="75108.67"/>
    <n v="901304.04"/>
    <n v="12"/>
    <n v="75109"/>
    <n v="901308"/>
    <n v="18"/>
    <n v="68693.78"/>
    <n v="1236488.04"/>
    <n v="18"/>
    <n v="68694"/>
    <n v="1236492"/>
    <n v="13"/>
    <n v="57424"/>
    <n v="746512"/>
    <n v="15"/>
    <n v="57215"/>
    <n v="858225"/>
    <n v="10"/>
    <n v="52317.7"/>
    <n v="523177"/>
    <n v="8"/>
    <n v="52022"/>
    <n v="416176"/>
    <m/>
    <m/>
    <n v="0"/>
    <m/>
    <m/>
    <n v="0"/>
    <m/>
    <m/>
    <n v="0"/>
    <m/>
    <m/>
    <n v="0"/>
    <n v="2"/>
    <n v="94238"/>
    <n v="154211.0632"/>
    <n v="2"/>
    <n v="94238"/>
    <n v="154211.0632"/>
    <n v="1"/>
    <n v="72591"/>
    <n v="59393.956200000001"/>
    <n v="1"/>
    <n v="72591"/>
    <n v="59393.956200000001"/>
    <n v="2"/>
    <n v="78391"/>
    <n v="128279.03240000001"/>
    <n v="2"/>
    <n v="78391"/>
    <n v="128279.03240000001"/>
    <n v="1"/>
    <n v="50578"/>
    <n v="41382.919600000001"/>
    <n v="1"/>
    <n v="46798"/>
    <n v="38290.123599999999"/>
    <m/>
    <m/>
    <n v="0"/>
    <m/>
    <m/>
    <n v="0"/>
    <m/>
    <m/>
    <n v="0"/>
    <m/>
    <m/>
    <n v="0"/>
  </r>
  <r>
    <x v="7"/>
    <s v="Garrett College "/>
    <m/>
    <n v="162609"/>
    <x v="8"/>
    <n v="12"/>
    <n v="61336.25"/>
    <n v="736035"/>
    <n v="11"/>
    <n v="65934"/>
    <n v="725274"/>
    <n v="3"/>
    <n v="52165"/>
    <n v="156495"/>
    <n v="3"/>
    <n v="53328"/>
    <n v="159984"/>
    <n v="1"/>
    <n v="55018"/>
    <n v="55018"/>
    <n v="1"/>
    <n v="45541"/>
    <n v="45541"/>
    <n v="1"/>
    <n v="45101"/>
    <n v="45101"/>
    <m/>
    <m/>
    <n v="0"/>
    <m/>
    <m/>
    <n v="0"/>
    <m/>
    <m/>
    <n v="0"/>
    <m/>
    <m/>
    <n v="0"/>
    <m/>
    <m/>
    <n v="0"/>
    <m/>
    <m/>
    <n v="0"/>
    <n v="2"/>
    <n v="69884"/>
    <n v="114358.17760000001"/>
    <m/>
    <m/>
    <n v="0"/>
    <n v="4"/>
    <n v="63551"/>
    <n v="207989.71280000001"/>
    <m/>
    <m/>
    <n v="0"/>
    <n v="2"/>
    <n v="54649"/>
    <n v="89427.623600000006"/>
    <m/>
    <m/>
    <n v="0"/>
    <m/>
    <m/>
    <n v="0"/>
    <m/>
    <m/>
    <n v="0"/>
    <m/>
    <m/>
    <n v="0"/>
    <m/>
    <m/>
    <n v="0"/>
    <m/>
    <m/>
    <n v="0"/>
  </r>
  <r>
    <x v="8"/>
    <s v="Mississippi State University"/>
    <m/>
    <n v="176080"/>
    <x v="0"/>
    <n v="118"/>
    <n v="90629.91525423729"/>
    <n v="10694330"/>
    <n v="115"/>
    <n v="88827"/>
    <n v="10215105"/>
    <n v="154"/>
    <n v="70909.279220779223"/>
    <n v="10920029"/>
    <n v="137"/>
    <n v="69758"/>
    <n v="9556846"/>
    <n v="247"/>
    <n v="60812.26315789474"/>
    <n v="15020629"/>
    <n v="237"/>
    <n v="61119.62"/>
    <n v="14485349.940000001"/>
    <n v="114"/>
    <n v="40122.070175438595"/>
    <n v="4573916"/>
    <n v="111"/>
    <n v="39566.04"/>
    <n v="4391830.4400000004"/>
    <n v="47"/>
    <n v="27923.40425531915"/>
    <n v="1312400"/>
    <n v="49"/>
    <n v="29139.59"/>
    <n v="1427839.91"/>
    <m/>
    <m/>
    <n v="0"/>
    <m/>
    <m/>
    <n v="0"/>
    <n v="116"/>
    <n v="115929.10344827586"/>
    <n v="11002970.3232"/>
    <n v="107"/>
    <n v="114592.2"/>
    <n v="10032249.17028"/>
    <n v="49"/>
    <n v="89474.224489795917"/>
    <n v="3587182.7134000002"/>
    <n v="47"/>
    <n v="89604.32"/>
    <n v="3445769.9673280003"/>
    <n v="36"/>
    <n v="79170.388888888891"/>
    <n v="2331979.6388000003"/>
    <n v="33"/>
    <n v="80297.03"/>
    <n v="2168067.9882179997"/>
    <n v="16"/>
    <n v="53630.0625"/>
    <n v="702081.87420000008"/>
    <n v="14"/>
    <n v="53122.07"/>
    <n v="608502.68743599998"/>
    <m/>
    <m/>
    <n v="0"/>
    <m/>
    <m/>
    <n v="0"/>
    <m/>
    <m/>
    <n v="0"/>
    <m/>
    <m/>
    <n v="0"/>
  </r>
  <r>
    <x v="8"/>
    <s v="University of Southern Mississippi"/>
    <m/>
    <n v="176372"/>
    <x v="0"/>
    <n v="111"/>
    <n v="83755.063063063062"/>
    <n v="9296812"/>
    <n v="103"/>
    <n v="83467.59"/>
    <n v="8597161.7699999996"/>
    <n v="139"/>
    <n v="63636.820143884892"/>
    <n v="8845518"/>
    <n v="166"/>
    <n v="62776.800000000003"/>
    <n v="10420948.800000001"/>
    <n v="253"/>
    <n v="54984.391304347824"/>
    <n v="13911051"/>
    <n v="209"/>
    <n v="55838.95"/>
    <n v="11670340.549999999"/>
    <n v="137"/>
    <n v="45199.56934306569"/>
    <n v="6192341"/>
    <n v="133"/>
    <n v="45612.98"/>
    <n v="6066526.3400000008"/>
    <n v="3"/>
    <n v="49253.666666666664"/>
    <n v="147761"/>
    <n v="4"/>
    <n v="51506.75"/>
    <n v="206027"/>
    <m/>
    <m/>
    <n v="0"/>
    <m/>
    <m/>
    <n v="0"/>
    <n v="46"/>
    <n v="114127.54347826086"/>
    <n v="4295441.1793999998"/>
    <n v="32"/>
    <n v="107356.5"/>
    <n v="2810850.8256000001"/>
    <n v="43"/>
    <n v="75646.511627906977"/>
    <n v="2661440.96"/>
    <n v="30"/>
    <n v="86640.7"/>
    <n v="2126682.6222000001"/>
    <n v="16"/>
    <n v="69083.9375"/>
    <n v="904391.64260000002"/>
    <n v="9"/>
    <n v="68604.22"/>
    <n v="505187.755236"/>
    <n v="10"/>
    <n v="46463.5"/>
    <n v="380164.35700000002"/>
    <n v="14"/>
    <n v="44971.79"/>
    <n v="515142.86009200005"/>
    <m/>
    <m/>
    <n v="0"/>
    <m/>
    <m/>
    <n v="0"/>
    <m/>
    <m/>
    <n v="0"/>
    <m/>
    <m/>
    <n v="0"/>
  </r>
  <r>
    <x v="8"/>
    <s v="Jackson State University "/>
    <m/>
    <n v="175856"/>
    <x v="1"/>
    <n v="47"/>
    <n v="68719.574468085106"/>
    <n v="3229820"/>
    <n v="51"/>
    <n v="67262.289999999994"/>
    <n v="3430376.7899999996"/>
    <n v="83"/>
    <n v="59685.22891566265"/>
    <n v="4953874"/>
    <n v="83"/>
    <n v="60935.98"/>
    <n v="5057686.34"/>
    <n v="145"/>
    <n v="53730.572413793103"/>
    <n v="7790933"/>
    <n v="123"/>
    <n v="54188.91"/>
    <n v="6665235.9300000006"/>
    <n v="70"/>
    <n v="37737.585714285713"/>
    <n v="2641631"/>
    <n v="63"/>
    <n v="39313.760000000002"/>
    <n v="2476766.8800000004"/>
    <n v="5"/>
    <n v="5150"/>
    <n v="25750"/>
    <n v="4"/>
    <n v="41500"/>
    <n v="166000"/>
    <m/>
    <m/>
    <n v="0"/>
    <m/>
    <m/>
    <n v="0"/>
    <n v="29"/>
    <n v="102661.68965517242"/>
    <n v="2435936.0397999999"/>
    <n v="28"/>
    <n v="101161.1"/>
    <n v="2317560.3365600002"/>
    <n v="20"/>
    <n v="80324.7"/>
    <n v="1314433.3908000002"/>
    <n v="16"/>
    <n v="81537.06"/>
    <n v="1067417.9598719999"/>
    <n v="9"/>
    <n v="70217.888888888891"/>
    <n v="517070.4902"/>
    <n v="9"/>
    <n v="67373.22"/>
    <n v="496122.91743600002"/>
    <n v="1"/>
    <n v="70119"/>
    <n v="57371.3658"/>
    <n v="2"/>
    <n v="69400"/>
    <n v="113566.16"/>
    <n v="2"/>
    <n v="60611"/>
    <n v="99183.840400000001"/>
    <n v="1"/>
    <n v="52810"/>
    <n v="43209.142"/>
    <m/>
    <m/>
    <n v="0"/>
    <m/>
    <m/>
    <n v="0"/>
  </r>
  <r>
    <x v="8"/>
    <s v="University of Mississippi"/>
    <m/>
    <n v="176017"/>
    <x v="1"/>
    <n v="107"/>
    <n v="106176.44859813084"/>
    <n v="11360880"/>
    <n v="111"/>
    <n v="106940.1"/>
    <n v="11870351.100000001"/>
    <n v="165"/>
    <n v="74464.642424242425"/>
    <n v="12286666"/>
    <n v="167"/>
    <n v="74760.05"/>
    <n v="12484928.35"/>
    <n v="178"/>
    <n v="61283.1797752809"/>
    <n v="10908406"/>
    <n v="170"/>
    <n v="62999.15"/>
    <n v="10709855.5"/>
    <n v="104"/>
    <n v="36217.634615384617"/>
    <n v="3766634"/>
    <n v="106"/>
    <n v="36619.620000000003"/>
    <n v="3881679.72"/>
    <n v="12"/>
    <n v="43789.166666666664"/>
    <n v="525470"/>
    <n v="12"/>
    <n v="41331.58"/>
    <n v="495978.96"/>
    <m/>
    <m/>
    <n v="0"/>
    <m/>
    <m/>
    <n v="0"/>
    <n v="52"/>
    <n v="126063.30769230769"/>
    <n v="5363539.9144000001"/>
    <n v="52"/>
    <n v="125090.8"/>
    <n v="5322163.2131200004"/>
    <n v="35"/>
    <n v="102986.74285714286"/>
    <n v="2949231.3552000001"/>
    <n v="42"/>
    <n v="104918"/>
    <n v="3605444.1192000001"/>
    <n v="38"/>
    <n v="81829.921052631573"/>
    <n v="2544223.1734000002"/>
    <n v="35"/>
    <n v="85588"/>
    <n v="2450983.5560000003"/>
    <n v="18"/>
    <n v="59272.111111111109"/>
    <n v="872935.9436"/>
    <n v="26"/>
    <n v="56164.81"/>
    <n v="1194805.236092"/>
    <n v="2"/>
    <n v="57650"/>
    <n v="94338.46"/>
    <n v="2"/>
    <n v="58659"/>
    <n v="95989.587599999999"/>
    <m/>
    <m/>
    <n v="0"/>
    <m/>
    <m/>
    <n v="0"/>
  </r>
  <r>
    <x v="8"/>
    <s v="Alcorn State University"/>
    <m/>
    <n v="175342"/>
    <x v="3"/>
    <n v="26"/>
    <n v="65294.615384615383"/>
    <n v="1697660"/>
    <n v="28"/>
    <n v="67375"/>
    <n v="1886500"/>
    <n v="32"/>
    <n v="58982.625"/>
    <n v="1887444"/>
    <n v="29"/>
    <n v="57754.34"/>
    <n v="1674875.8599999999"/>
    <n v="48"/>
    <n v="54625.354166666664"/>
    <n v="2622017"/>
    <n v="46"/>
    <n v="54787.33"/>
    <n v="2520217.1800000002"/>
    <n v="45"/>
    <n v="38350.577777777777"/>
    <n v="1725776"/>
    <n v="41"/>
    <n v="38654.44"/>
    <n v="1584832.04"/>
    <m/>
    <m/>
    <n v="0"/>
    <m/>
    <m/>
    <n v="0"/>
    <m/>
    <m/>
    <n v="0"/>
    <m/>
    <m/>
    <n v="0"/>
    <n v="6"/>
    <n v="100365.5"/>
    <n v="492714.3126"/>
    <n v="6"/>
    <n v="92533.83"/>
    <n v="454267.07823600003"/>
    <n v="6"/>
    <n v="83715.666666666672"/>
    <n v="410976.95079999999"/>
    <n v="7"/>
    <n v="90364"/>
    <n v="517550.77360000001"/>
    <n v="9"/>
    <n v="68482.888888888891"/>
    <n v="504294.29720000003"/>
    <n v="10"/>
    <n v="75069.2"/>
    <n v="614216.19440000004"/>
    <n v="11"/>
    <n v="51235.36363636364"/>
    <n v="461128.51980000001"/>
    <n v="10"/>
    <n v="50260.800000000003"/>
    <n v="411233.86560000002"/>
    <m/>
    <m/>
    <n v="0"/>
    <m/>
    <m/>
    <n v="0"/>
    <m/>
    <m/>
    <n v="0"/>
    <m/>
    <m/>
    <n v="0"/>
  </r>
  <r>
    <x v="8"/>
    <s v="Delta State University"/>
    <m/>
    <n v="175616"/>
    <x v="3"/>
    <n v="27"/>
    <n v="64304.592592592591"/>
    <n v="1736224"/>
    <n v="24"/>
    <n v="65237.54"/>
    <n v="1565700.96"/>
    <n v="27"/>
    <n v="57487.148148148146"/>
    <n v="1552153"/>
    <n v="34"/>
    <n v="56097.15"/>
    <n v="1907303.1"/>
    <n v="59"/>
    <n v="47059.661016949154"/>
    <n v="2776520"/>
    <n v="44"/>
    <n v="48098.45"/>
    <n v="2116331.7999999998"/>
    <n v="42"/>
    <n v="47139.714285714283"/>
    <n v="1979867.9999999998"/>
    <n v="45"/>
    <n v="45533.36"/>
    <n v="2049001.2"/>
    <m/>
    <m/>
    <n v="0"/>
    <m/>
    <m/>
    <n v="0"/>
    <m/>
    <m/>
    <n v="0"/>
    <m/>
    <m/>
    <n v="0"/>
    <n v="8"/>
    <n v="81957.375"/>
    <n v="536460.19380000001"/>
    <n v="8"/>
    <n v="76727.63"/>
    <n v="502228.37492800003"/>
    <n v="14"/>
    <n v="66404.571428571435"/>
    <n v="760651.08480000019"/>
    <n v="13"/>
    <n v="71279.460000000006"/>
    <n v="758171.1042360001"/>
    <n v="11"/>
    <n v="58958.909090909088"/>
    <n v="530641.97360000003"/>
    <n v="12"/>
    <n v="58557"/>
    <n v="574936.04879999999"/>
    <n v="4"/>
    <n v="79025"/>
    <n v="258633.02000000002"/>
    <n v="6"/>
    <n v="76033.33"/>
    <n v="373262.82363599999"/>
    <m/>
    <m/>
    <n v="0"/>
    <m/>
    <m/>
    <n v="0"/>
    <m/>
    <m/>
    <n v="0"/>
    <m/>
    <m/>
    <n v="0"/>
  </r>
  <r>
    <x v="8"/>
    <s v="Mississippi Valley State University"/>
    <m/>
    <n v="176044"/>
    <x v="3"/>
    <n v="14"/>
    <n v="62628.642857142855"/>
    <n v="876801"/>
    <n v="14"/>
    <n v="64285.79"/>
    <n v="900001.06"/>
    <n v="13"/>
    <n v="56532.769230769234"/>
    <n v="734926"/>
    <n v="20"/>
    <n v="55056.800000000003"/>
    <n v="1101136"/>
    <n v="62"/>
    <n v="48604.209677419356"/>
    <n v="3013461"/>
    <n v="48"/>
    <n v="47774.92"/>
    <n v="2293196.16"/>
    <n v="20"/>
    <n v="40121.699999999997"/>
    <n v="802434"/>
    <n v="20"/>
    <n v="40021.699999999997"/>
    <n v="800434"/>
    <m/>
    <m/>
    <n v="0"/>
    <m/>
    <m/>
    <n v="0"/>
    <m/>
    <m/>
    <n v="0"/>
    <m/>
    <m/>
    <n v="0"/>
    <n v="3"/>
    <n v="76097.333333333328"/>
    <n v="186788.51440000001"/>
    <n v="2"/>
    <n v="74946"/>
    <n v="122641.63440000001"/>
    <n v="9"/>
    <n v="76795.888888888891"/>
    <n v="565509.56660000002"/>
    <n v="11"/>
    <n v="75545.64"/>
    <n v="679925.86912800011"/>
    <n v="10"/>
    <n v="64746.9"/>
    <n v="529759.13580000005"/>
    <n v="7"/>
    <n v="63736.14"/>
    <n v="365042.36823600001"/>
    <n v="2"/>
    <n v="45681.5"/>
    <n v="74753.206600000005"/>
    <n v="4"/>
    <n v="45555.25"/>
    <n v="149093.22220000002"/>
    <m/>
    <m/>
    <n v="0"/>
    <m/>
    <m/>
    <n v="0"/>
    <m/>
    <m/>
    <n v="0"/>
    <m/>
    <m/>
    <n v="0"/>
  </r>
  <r>
    <x v="8"/>
    <s v="Mississippi University for Women"/>
    <m/>
    <n v="176035"/>
    <x v="4"/>
    <n v="18"/>
    <n v="56393.055555555555"/>
    <n v="1015075"/>
    <n v="20"/>
    <n v="54516.55"/>
    <n v="1090331"/>
    <n v="19"/>
    <n v="46001.368421052633"/>
    <n v="874026"/>
    <n v="17"/>
    <n v="45683"/>
    <n v="776611"/>
    <n v="34"/>
    <n v="46335.352941176468"/>
    <n v="1575402"/>
    <n v="31"/>
    <n v="47956.13"/>
    <n v="1486640.03"/>
    <n v="40"/>
    <n v="45223.425000000003"/>
    <n v="1808937"/>
    <n v="38"/>
    <n v="45760.5789"/>
    <n v="1738901.9982"/>
    <m/>
    <m/>
    <n v="0"/>
    <m/>
    <m/>
    <n v="0"/>
    <m/>
    <m/>
    <n v="0"/>
    <m/>
    <m/>
    <n v="0"/>
    <n v="8"/>
    <n v="69142.625"/>
    <n v="452579.96620000002"/>
    <n v="7"/>
    <n v="70719.86"/>
    <n v="405040.92616400006"/>
    <n v="2"/>
    <n v="70450.5"/>
    <n v="115285.1982"/>
    <n v="3"/>
    <n v="67217"/>
    <n v="164990.84820000001"/>
    <n v="2"/>
    <n v="76500"/>
    <n v="125184.6"/>
    <n v="3"/>
    <n v="70083.33"/>
    <n v="172026.541818"/>
    <n v="11"/>
    <n v="64520.909090909088"/>
    <n v="580701.08600000001"/>
    <n v="11"/>
    <n v="64702.73"/>
    <n v="582337.51054600009"/>
    <m/>
    <m/>
    <n v="0"/>
    <m/>
    <m/>
    <n v="0"/>
    <m/>
    <m/>
    <n v="0"/>
    <m/>
    <m/>
    <n v="0"/>
  </r>
  <r>
    <x v="8"/>
    <s v="Hinds Community College "/>
    <m/>
    <n v="175786"/>
    <x v="6"/>
    <m/>
    <m/>
    <n v="0"/>
    <m/>
    <m/>
    <n v="0"/>
    <m/>
    <m/>
    <n v="0"/>
    <m/>
    <m/>
    <n v="0"/>
    <m/>
    <m/>
    <n v="0"/>
    <m/>
    <m/>
    <n v="0"/>
    <m/>
    <m/>
    <n v="0"/>
    <m/>
    <m/>
    <n v="0"/>
    <m/>
    <m/>
    <n v="0"/>
    <m/>
    <m/>
    <n v="0"/>
    <n v="284"/>
    <n v="46842.7"/>
    <n v="13303326.799999999"/>
    <n v="283"/>
    <n v="46529.7"/>
    <n v="13167905.1"/>
    <m/>
    <m/>
    <n v="0"/>
    <m/>
    <m/>
    <n v="0"/>
    <m/>
    <m/>
    <n v="0"/>
    <m/>
    <m/>
    <n v="0"/>
    <m/>
    <m/>
    <n v="0"/>
    <m/>
    <m/>
    <n v="0"/>
    <m/>
    <m/>
    <n v="0"/>
    <m/>
    <m/>
    <n v="0"/>
    <m/>
    <m/>
    <n v="0"/>
    <m/>
    <m/>
    <n v="0"/>
    <n v="122"/>
    <n v="54216.672131147541"/>
    <n v="5411929.8988000005"/>
    <n v="120"/>
    <n v="53713.474999999999"/>
    <n v="5273803.8294000002"/>
  </r>
  <r>
    <x v="8"/>
    <s v="Itawamba Community College "/>
    <s v="Reclassified: Met criteria for Two-Year 1 2008-09, 2009-10 and 2010-11."/>
    <n v="175829"/>
    <x v="6"/>
    <m/>
    <m/>
    <n v="0"/>
    <m/>
    <m/>
    <n v="0"/>
    <m/>
    <m/>
    <n v="0"/>
    <m/>
    <m/>
    <n v="0"/>
    <m/>
    <m/>
    <n v="0"/>
    <m/>
    <m/>
    <n v="0"/>
    <m/>
    <m/>
    <n v="0"/>
    <m/>
    <m/>
    <n v="0"/>
    <m/>
    <m/>
    <n v="0"/>
    <m/>
    <m/>
    <n v="0"/>
    <n v="139"/>
    <n v="55768.3"/>
    <n v="7751793.7000000002"/>
    <n v="145"/>
    <n v="57619.3"/>
    <n v="8354798.5"/>
    <m/>
    <m/>
    <n v="0"/>
    <m/>
    <m/>
    <n v="0"/>
    <m/>
    <m/>
    <n v="0"/>
    <m/>
    <m/>
    <n v="0"/>
    <m/>
    <m/>
    <n v="0"/>
    <m/>
    <m/>
    <n v="0"/>
    <m/>
    <m/>
    <n v="0"/>
    <m/>
    <m/>
    <n v="0"/>
    <m/>
    <m/>
    <n v="0"/>
    <m/>
    <m/>
    <n v="0"/>
    <n v="63"/>
    <n v="70703"/>
    <n v="3644499.2598000001"/>
    <n v="62"/>
    <n v="72853.016129032258"/>
    <n v="3695716.9434000002"/>
  </r>
  <r>
    <x v="8"/>
    <s v="Mississippi Gulf Coast Community College "/>
    <m/>
    <n v="176071"/>
    <x v="6"/>
    <m/>
    <m/>
    <n v="0"/>
    <m/>
    <m/>
    <n v="0"/>
    <m/>
    <m/>
    <n v="0"/>
    <m/>
    <m/>
    <n v="0"/>
    <m/>
    <m/>
    <n v="0"/>
    <m/>
    <m/>
    <n v="0"/>
    <m/>
    <m/>
    <n v="0"/>
    <m/>
    <m/>
    <n v="0"/>
    <m/>
    <m/>
    <n v="0"/>
    <m/>
    <m/>
    <n v="0"/>
    <n v="263"/>
    <n v="43237.4"/>
    <n v="11371436.200000001"/>
    <n v="252.8"/>
    <n v="46358.5"/>
    <n v="11719428.800000001"/>
    <m/>
    <m/>
    <n v="0"/>
    <m/>
    <m/>
    <n v="0"/>
    <m/>
    <m/>
    <n v="0"/>
    <m/>
    <m/>
    <n v="0"/>
    <m/>
    <m/>
    <n v="0"/>
    <m/>
    <m/>
    <n v="0"/>
    <m/>
    <m/>
    <n v="0"/>
    <m/>
    <m/>
    <n v="0"/>
    <m/>
    <m/>
    <n v="0"/>
    <m/>
    <m/>
    <n v="0"/>
    <n v="106"/>
    <n v="48865.877358490565"/>
    <n v="4238098.4506000001"/>
    <n v="84.5"/>
    <n v="50490.3550295858"/>
    <n v="3490797.1170000001"/>
  </r>
  <r>
    <x v="8"/>
    <s v="Northwest Mississippi Community College "/>
    <m/>
    <n v="176178"/>
    <x v="6"/>
    <m/>
    <m/>
    <n v="0"/>
    <m/>
    <m/>
    <n v="0"/>
    <m/>
    <m/>
    <n v="0"/>
    <m/>
    <m/>
    <n v="0"/>
    <m/>
    <m/>
    <n v="0"/>
    <m/>
    <m/>
    <n v="0"/>
    <m/>
    <m/>
    <n v="0"/>
    <m/>
    <m/>
    <n v="0"/>
    <m/>
    <m/>
    <n v="0"/>
    <m/>
    <m/>
    <n v="0"/>
    <n v="173"/>
    <n v="52303"/>
    <n v="9048419"/>
    <n v="183"/>
    <n v="50668.5"/>
    <n v="9272335.5"/>
    <m/>
    <m/>
    <n v="0"/>
    <m/>
    <m/>
    <n v="0"/>
    <m/>
    <m/>
    <n v="0"/>
    <m/>
    <m/>
    <n v="0"/>
    <m/>
    <m/>
    <n v="0"/>
    <m/>
    <m/>
    <n v="0"/>
    <m/>
    <m/>
    <n v="0"/>
    <m/>
    <m/>
    <n v="0"/>
    <m/>
    <m/>
    <n v="0"/>
    <m/>
    <m/>
    <n v="0"/>
    <n v="38"/>
    <n v="53010.368421052633"/>
    <n v="1648177.1708"/>
    <n v="38"/>
    <n v="55514"/>
    <n v="1726019.0824000002"/>
  </r>
  <r>
    <x v="8"/>
    <s v="Copiah-Lincoln Community College "/>
    <m/>
    <n v="175573"/>
    <x v="7"/>
    <m/>
    <m/>
    <n v="0"/>
    <m/>
    <m/>
    <n v="0"/>
    <m/>
    <m/>
    <n v="0"/>
    <m/>
    <m/>
    <n v="0"/>
    <m/>
    <m/>
    <n v="0"/>
    <m/>
    <m/>
    <n v="0"/>
    <m/>
    <m/>
    <n v="0"/>
    <m/>
    <m/>
    <n v="0"/>
    <m/>
    <m/>
    <n v="0"/>
    <m/>
    <m/>
    <n v="0"/>
    <n v="109.5"/>
    <n v="47215.8"/>
    <n v="5170130.1000000006"/>
    <n v="111.5"/>
    <n v="47684.4"/>
    <n v="5316810.6000000006"/>
    <m/>
    <m/>
    <n v="0"/>
    <m/>
    <m/>
    <n v="0"/>
    <m/>
    <m/>
    <n v="0"/>
    <m/>
    <m/>
    <n v="0"/>
    <m/>
    <m/>
    <n v="0"/>
    <m/>
    <m/>
    <n v="0"/>
    <m/>
    <m/>
    <n v="0"/>
    <m/>
    <m/>
    <n v="0"/>
    <m/>
    <m/>
    <n v="0"/>
    <m/>
    <m/>
    <n v="0"/>
    <m/>
    <m/>
    <n v="0"/>
    <n v="0"/>
    <n v="0"/>
    <n v="0"/>
  </r>
  <r>
    <x v="8"/>
    <s v="East Central Community College "/>
    <m/>
    <n v="175643"/>
    <x v="7"/>
    <m/>
    <m/>
    <n v="0"/>
    <m/>
    <m/>
    <n v="0"/>
    <m/>
    <m/>
    <n v="0"/>
    <m/>
    <m/>
    <n v="0"/>
    <m/>
    <m/>
    <n v="0"/>
    <m/>
    <m/>
    <n v="0"/>
    <m/>
    <m/>
    <n v="0"/>
    <m/>
    <m/>
    <n v="0"/>
    <m/>
    <m/>
    <n v="0"/>
    <m/>
    <m/>
    <n v="0"/>
    <n v="71"/>
    <n v="48990"/>
    <n v="3478290"/>
    <n v="73"/>
    <n v="47197.9"/>
    <n v="3445446.7"/>
    <m/>
    <m/>
    <n v="0"/>
    <m/>
    <m/>
    <n v="0"/>
    <m/>
    <m/>
    <n v="0"/>
    <m/>
    <m/>
    <n v="0"/>
    <m/>
    <m/>
    <n v="0"/>
    <m/>
    <m/>
    <n v="0"/>
    <m/>
    <m/>
    <n v="0"/>
    <m/>
    <m/>
    <n v="0"/>
    <m/>
    <m/>
    <n v="0"/>
    <m/>
    <m/>
    <n v="0"/>
    <n v="9"/>
    <n v="48238.444444444445"/>
    <n v="355218.25719999999"/>
    <n v="9"/>
    <n v="46461.444444444445"/>
    <n v="342132.78460000001"/>
  </r>
  <r>
    <x v="8"/>
    <s v="East Mississippi Community College "/>
    <m/>
    <n v="175652"/>
    <x v="7"/>
    <m/>
    <m/>
    <n v="0"/>
    <m/>
    <m/>
    <n v="0"/>
    <m/>
    <m/>
    <n v="0"/>
    <m/>
    <m/>
    <n v="0"/>
    <m/>
    <m/>
    <n v="0"/>
    <m/>
    <m/>
    <n v="0"/>
    <m/>
    <m/>
    <n v="0"/>
    <m/>
    <m/>
    <n v="0"/>
    <m/>
    <m/>
    <n v="0"/>
    <m/>
    <m/>
    <n v="0"/>
    <n v="84.5"/>
    <n v="51269.1"/>
    <n v="4332238.95"/>
    <n v="85.7"/>
    <n v="51386"/>
    <n v="4403780.2"/>
    <m/>
    <m/>
    <n v="0"/>
    <m/>
    <m/>
    <n v="0"/>
    <m/>
    <m/>
    <n v="0"/>
    <m/>
    <m/>
    <n v="0"/>
    <m/>
    <m/>
    <n v="0"/>
    <m/>
    <m/>
    <n v="0"/>
    <m/>
    <m/>
    <n v="0"/>
    <m/>
    <m/>
    <n v="0"/>
    <m/>
    <m/>
    <n v="0"/>
    <m/>
    <m/>
    <n v="0"/>
    <n v="26.2"/>
    <n v="56662.51908396947"/>
    <n v="1214665.3556000001"/>
    <n v="25.3"/>
    <n v="58564.545454545456"/>
    <n v="1212313.0306000002"/>
  </r>
  <r>
    <x v="8"/>
    <s v="Holmes Community College "/>
    <s v="Met the criteria for Two-Year 1 in 2010-11."/>
    <n v="175810"/>
    <x v="7"/>
    <m/>
    <m/>
    <n v="0"/>
    <m/>
    <m/>
    <n v="0"/>
    <m/>
    <m/>
    <n v="0"/>
    <m/>
    <m/>
    <n v="0"/>
    <m/>
    <m/>
    <n v="0"/>
    <m/>
    <m/>
    <n v="0"/>
    <m/>
    <m/>
    <n v="0"/>
    <m/>
    <m/>
    <n v="0"/>
    <m/>
    <m/>
    <n v="0"/>
    <m/>
    <m/>
    <n v="0"/>
    <n v="142"/>
    <n v="55342.400000000001"/>
    <n v="7858620.7999999998"/>
    <n v="138"/>
    <n v="55184.2"/>
    <n v="7615419.5999999996"/>
    <m/>
    <m/>
    <n v="0"/>
    <m/>
    <m/>
    <n v="0"/>
    <m/>
    <m/>
    <n v="0"/>
    <m/>
    <m/>
    <n v="0"/>
    <m/>
    <m/>
    <n v="0"/>
    <m/>
    <m/>
    <n v="0"/>
    <m/>
    <m/>
    <n v="0"/>
    <m/>
    <m/>
    <n v="0"/>
    <m/>
    <m/>
    <n v="0"/>
    <m/>
    <m/>
    <n v="0"/>
    <n v="30"/>
    <n v="54325.5"/>
    <n v="1333473.723"/>
    <n v="27"/>
    <n v="52952.148148148146"/>
    <n v="1169787.0856000001"/>
  </r>
  <r>
    <x v="8"/>
    <s v="Jones County Junior College "/>
    <s v="Met the criteria for Two-Year 1 in 2010-11."/>
    <n v="175883"/>
    <x v="7"/>
    <m/>
    <m/>
    <n v="0"/>
    <m/>
    <m/>
    <n v="0"/>
    <m/>
    <m/>
    <n v="0"/>
    <m/>
    <m/>
    <n v="0"/>
    <m/>
    <m/>
    <n v="0"/>
    <m/>
    <m/>
    <n v="0"/>
    <m/>
    <m/>
    <n v="0"/>
    <m/>
    <m/>
    <n v="0"/>
    <m/>
    <m/>
    <n v="0"/>
    <m/>
    <m/>
    <n v="0"/>
    <n v="131"/>
    <n v="53220"/>
    <n v="6971820"/>
    <n v="123.5"/>
    <n v="52897.7"/>
    <n v="6532865.9499999993"/>
    <m/>
    <m/>
    <n v="0"/>
    <m/>
    <m/>
    <n v="0"/>
    <m/>
    <m/>
    <n v="0"/>
    <m/>
    <m/>
    <n v="0"/>
    <m/>
    <m/>
    <n v="0"/>
    <m/>
    <m/>
    <n v="0"/>
    <m/>
    <m/>
    <n v="0"/>
    <m/>
    <m/>
    <n v="0"/>
    <m/>
    <m/>
    <n v="0"/>
    <m/>
    <m/>
    <n v="0"/>
    <n v="33.5"/>
    <n v="59167.373134328358"/>
    <n v="1621759.9474000002"/>
    <n v="19"/>
    <n v="58520.84210526316"/>
    <n v="909753.30720000004"/>
  </r>
  <r>
    <x v="8"/>
    <s v="Meridian Community College "/>
    <m/>
    <n v="175935"/>
    <x v="7"/>
    <m/>
    <m/>
    <n v="0"/>
    <m/>
    <m/>
    <n v="0"/>
    <m/>
    <m/>
    <n v="0"/>
    <m/>
    <m/>
    <n v="0"/>
    <m/>
    <m/>
    <n v="0"/>
    <m/>
    <m/>
    <n v="0"/>
    <m/>
    <m/>
    <n v="0"/>
    <m/>
    <m/>
    <n v="0"/>
    <m/>
    <m/>
    <n v="0"/>
    <m/>
    <m/>
    <n v="0"/>
    <n v="93"/>
    <n v="42993.7"/>
    <n v="3998414.0999999996"/>
    <n v="92"/>
    <n v="44019.3"/>
    <n v="4049775.6"/>
    <m/>
    <m/>
    <n v="0"/>
    <m/>
    <m/>
    <n v="0"/>
    <m/>
    <m/>
    <n v="0"/>
    <m/>
    <m/>
    <n v="0"/>
    <m/>
    <m/>
    <n v="0"/>
    <m/>
    <m/>
    <n v="0"/>
    <m/>
    <m/>
    <n v="0"/>
    <m/>
    <m/>
    <n v="0"/>
    <m/>
    <m/>
    <n v="0"/>
    <m/>
    <m/>
    <n v="0"/>
    <n v="62"/>
    <n v="48903.677419354841"/>
    <n v="2480805.3096000003"/>
    <n v="63"/>
    <n v="47333.079365079364"/>
    <n v="2439859.3088000002"/>
  </r>
  <r>
    <x v="8"/>
    <s v="Mississippi Delta Community College "/>
    <m/>
    <n v="176008"/>
    <x v="7"/>
    <m/>
    <m/>
    <n v="0"/>
    <m/>
    <m/>
    <n v="0"/>
    <m/>
    <m/>
    <n v="0"/>
    <m/>
    <m/>
    <n v="0"/>
    <m/>
    <m/>
    <n v="0"/>
    <m/>
    <m/>
    <n v="0"/>
    <m/>
    <m/>
    <n v="0"/>
    <m/>
    <m/>
    <n v="0"/>
    <m/>
    <m/>
    <n v="0"/>
    <m/>
    <m/>
    <n v="0"/>
    <n v="109"/>
    <n v="48406.1"/>
    <n v="5276264.8999999994"/>
    <n v="113"/>
    <n v="50243.5"/>
    <n v="5677515.5"/>
    <m/>
    <m/>
    <n v="0"/>
    <m/>
    <m/>
    <n v="0"/>
    <m/>
    <m/>
    <n v="0"/>
    <m/>
    <m/>
    <n v="0"/>
    <m/>
    <m/>
    <n v="0"/>
    <m/>
    <m/>
    <n v="0"/>
    <m/>
    <m/>
    <n v="0"/>
    <m/>
    <m/>
    <n v="0"/>
    <m/>
    <m/>
    <n v="0"/>
    <m/>
    <m/>
    <n v="0"/>
    <n v="9"/>
    <n v="52026.222222222219"/>
    <n v="383110.69520000002"/>
    <n v="4"/>
    <n v="41411"/>
    <n v="135529.92079999999"/>
  </r>
  <r>
    <x v="8"/>
    <s v="Northeast Mississippi Community College "/>
    <m/>
    <n v="176169"/>
    <x v="7"/>
    <m/>
    <m/>
    <n v="0"/>
    <m/>
    <m/>
    <n v="0"/>
    <m/>
    <m/>
    <n v="0"/>
    <m/>
    <m/>
    <n v="0"/>
    <m/>
    <m/>
    <n v="0"/>
    <m/>
    <m/>
    <n v="0"/>
    <m/>
    <m/>
    <n v="0"/>
    <m/>
    <m/>
    <n v="0"/>
    <m/>
    <m/>
    <n v="0"/>
    <m/>
    <m/>
    <n v="0"/>
    <n v="106"/>
    <n v="51664.9"/>
    <n v="5476479.4000000004"/>
    <n v="103"/>
    <n v="51957.7"/>
    <n v="5351643.0999999996"/>
    <m/>
    <m/>
    <n v="0"/>
    <m/>
    <m/>
    <n v="0"/>
    <m/>
    <m/>
    <n v="0"/>
    <m/>
    <m/>
    <n v="0"/>
    <m/>
    <m/>
    <n v="0"/>
    <m/>
    <m/>
    <n v="0"/>
    <m/>
    <m/>
    <n v="0"/>
    <m/>
    <m/>
    <n v="0"/>
    <m/>
    <m/>
    <n v="0"/>
    <m/>
    <m/>
    <n v="0"/>
    <n v="23"/>
    <n v="62033.521739130432"/>
    <n v="1167384.0322"/>
    <n v="22"/>
    <n v="62918.727272727272"/>
    <n v="1132562.2584000002"/>
  </r>
  <r>
    <x v="8"/>
    <s v="Pearl River Community College "/>
    <m/>
    <n v="176239"/>
    <x v="7"/>
    <m/>
    <m/>
    <n v="0"/>
    <m/>
    <m/>
    <n v="0"/>
    <m/>
    <m/>
    <n v="0"/>
    <m/>
    <m/>
    <n v="0"/>
    <m/>
    <m/>
    <n v="0"/>
    <m/>
    <m/>
    <n v="0"/>
    <m/>
    <m/>
    <n v="0"/>
    <m/>
    <m/>
    <n v="0"/>
    <m/>
    <m/>
    <n v="0"/>
    <m/>
    <m/>
    <n v="0"/>
    <n v="187"/>
    <n v="56223.5"/>
    <n v="10513794.5"/>
    <n v="183"/>
    <n v="56687.4"/>
    <n v="10373794.200000001"/>
    <m/>
    <m/>
    <n v="0"/>
    <m/>
    <m/>
    <n v="0"/>
    <m/>
    <m/>
    <n v="0"/>
    <m/>
    <m/>
    <n v="0"/>
    <m/>
    <m/>
    <n v="0"/>
    <m/>
    <m/>
    <n v="0"/>
    <m/>
    <m/>
    <n v="0"/>
    <m/>
    <m/>
    <n v="0"/>
    <m/>
    <m/>
    <n v="0"/>
    <m/>
    <m/>
    <n v="0"/>
    <m/>
    <m/>
    <n v="0"/>
    <n v="0"/>
    <n v="0"/>
    <n v="0"/>
  </r>
  <r>
    <x v="8"/>
    <s v="Coahoma Community College "/>
    <s v="Met the criteria for Two-Year 2 in 2010-11."/>
    <n v="175519"/>
    <x v="8"/>
    <m/>
    <m/>
    <n v="0"/>
    <m/>
    <m/>
    <n v="0"/>
    <m/>
    <m/>
    <n v="0"/>
    <m/>
    <m/>
    <n v="0"/>
    <m/>
    <m/>
    <n v="0"/>
    <m/>
    <m/>
    <n v="0"/>
    <m/>
    <m/>
    <n v="0"/>
    <m/>
    <m/>
    <n v="0"/>
    <m/>
    <m/>
    <n v="0"/>
    <m/>
    <m/>
    <n v="0"/>
    <n v="52"/>
    <n v="46733.5"/>
    <n v="2430142"/>
    <n v="53"/>
    <n v="44817.5"/>
    <n v="2375327.5"/>
    <m/>
    <m/>
    <n v="0"/>
    <m/>
    <m/>
    <n v="0"/>
    <m/>
    <m/>
    <n v="0"/>
    <m/>
    <m/>
    <n v="0"/>
    <m/>
    <m/>
    <n v="0"/>
    <m/>
    <m/>
    <n v="0"/>
    <m/>
    <m/>
    <n v="0"/>
    <m/>
    <m/>
    <n v="0"/>
    <m/>
    <m/>
    <n v="0"/>
    <m/>
    <m/>
    <n v="0"/>
    <n v="22"/>
    <n v="36009.409090909088"/>
    <n v="648183.76740000001"/>
    <n v="21"/>
    <n v="38637.333333333336"/>
    <n v="663874.38880000007"/>
  </r>
  <r>
    <x v="8"/>
    <s v="Southwest Mississippi Community College"/>
    <m/>
    <n v="176354"/>
    <x v="8"/>
    <m/>
    <m/>
    <n v="0"/>
    <m/>
    <m/>
    <n v="0"/>
    <m/>
    <m/>
    <n v="0"/>
    <m/>
    <m/>
    <n v="0"/>
    <m/>
    <m/>
    <n v="0"/>
    <m/>
    <m/>
    <n v="0"/>
    <m/>
    <m/>
    <n v="0"/>
    <m/>
    <m/>
    <n v="0"/>
    <m/>
    <m/>
    <n v="0"/>
    <m/>
    <m/>
    <n v="0"/>
    <n v="65"/>
    <n v="55101.599999999999"/>
    <n v="3581604"/>
    <n v="59"/>
    <n v="55420.5"/>
    <n v="3269809.5"/>
    <m/>
    <m/>
    <n v="0"/>
    <m/>
    <m/>
    <n v="0"/>
    <m/>
    <m/>
    <n v="0"/>
    <m/>
    <m/>
    <n v="0"/>
    <m/>
    <m/>
    <n v="0"/>
    <m/>
    <m/>
    <n v="0"/>
    <m/>
    <m/>
    <n v="0"/>
    <m/>
    <m/>
    <n v="0"/>
    <m/>
    <m/>
    <n v="0"/>
    <m/>
    <m/>
    <n v="0"/>
    <n v="7"/>
    <n v="42486.285714285717"/>
    <n v="243335.9528"/>
    <n v="12"/>
    <n v="42368.75"/>
    <n v="415993.33500000002"/>
  </r>
  <r>
    <x v="9"/>
    <s v="North Carolina State University "/>
    <m/>
    <n v="199193"/>
    <x v="0"/>
    <n v="393"/>
    <n v="121746"/>
    <n v="47846178"/>
    <n v="401"/>
    <n v="123240"/>
    <n v="49419240"/>
    <n v="304"/>
    <n v="86188"/>
    <n v="26201152"/>
    <n v="304"/>
    <n v="85875"/>
    <n v="26106000"/>
    <n v="219"/>
    <n v="74544"/>
    <n v="16325136"/>
    <n v="211"/>
    <n v="74260"/>
    <n v="15668860"/>
    <n v="3"/>
    <n v="57000"/>
    <n v="171000"/>
    <n v="4"/>
    <n v="65750"/>
    <n v="263000"/>
    <n v="223"/>
    <n v="50528"/>
    <n v="11267744"/>
    <n v="225"/>
    <n v="50467"/>
    <n v="11355075"/>
    <m/>
    <m/>
    <n v="0"/>
    <m/>
    <m/>
    <n v="0"/>
    <n v="285"/>
    <n v="129478"/>
    <n v="30192586.386"/>
    <n v="275"/>
    <n v="129044"/>
    <n v="29035545.220000003"/>
    <n v="127"/>
    <n v="96921"/>
    <n v="10071196.7994"/>
    <n v="124"/>
    <n v="96723"/>
    <n v="9813206.0664000008"/>
    <n v="137"/>
    <n v="77178"/>
    <n v="8651144.4252000004"/>
    <n v="127"/>
    <n v="78134"/>
    <n v="8119013.3276000004"/>
    <n v="2"/>
    <n v="49750"/>
    <n v="81410.900000000009"/>
    <n v="1"/>
    <n v="51500"/>
    <n v="42137.3"/>
    <n v="80"/>
    <n v="83180"/>
    <n v="5444630.0800000001"/>
    <n v="83"/>
    <n v="82069"/>
    <n v="5573355.0314000007"/>
    <m/>
    <m/>
    <n v="0"/>
    <m/>
    <m/>
    <n v="0"/>
  </r>
  <r>
    <x v="9"/>
    <s v="University of North Carolina at Chapel Hill "/>
    <m/>
    <n v="199120"/>
    <x v="0"/>
    <n v="486"/>
    <n v="141110"/>
    <n v="68579460"/>
    <n v="504"/>
    <n v="140969"/>
    <n v="71048376"/>
    <n v="263"/>
    <n v="90860"/>
    <n v="23896180"/>
    <n v="261"/>
    <n v="91259"/>
    <n v="23818599"/>
    <n v="241"/>
    <n v="84011"/>
    <n v="20246651"/>
    <n v="249"/>
    <n v="84273"/>
    <n v="20983977"/>
    <n v="10"/>
    <n v="101400"/>
    <n v="1014000"/>
    <n v="8"/>
    <n v="95625"/>
    <n v="765000"/>
    <n v="196"/>
    <n v="64424"/>
    <n v="12627104"/>
    <n v="210"/>
    <n v="62319"/>
    <n v="13086990"/>
    <m/>
    <m/>
    <n v="0"/>
    <m/>
    <m/>
    <n v="0"/>
    <n v="126"/>
    <n v="183967"/>
    <n v="18965746.724400003"/>
    <n v="129"/>
    <n v="186539"/>
    <n v="19688781.064200003"/>
    <n v="102"/>
    <n v="118687"/>
    <n v="9905189.7467999998"/>
    <n v="91"/>
    <n v="120336"/>
    <n v="8959761.2832000013"/>
    <n v="88"/>
    <n v="88039"/>
    <n v="6338948.8624"/>
    <n v="86"/>
    <n v="88085"/>
    <n v="6198118.642"/>
    <n v="4"/>
    <n v="70472"/>
    <n v="230640.7616"/>
    <n v="3"/>
    <n v="68124"/>
    <n v="167217.1704"/>
    <n v="112"/>
    <n v="108342"/>
    <n v="9928287.5328000002"/>
    <n v="130"/>
    <n v="106557"/>
    <n v="11334041.862"/>
    <m/>
    <m/>
    <n v="0"/>
    <m/>
    <m/>
    <n v="0"/>
  </r>
  <r>
    <x v="9"/>
    <s v="University of North Carolina at Charlotte"/>
    <m/>
    <n v="199139"/>
    <x v="1"/>
    <n v="171"/>
    <n v="110806"/>
    <n v="18947826"/>
    <n v="178"/>
    <n v="112695"/>
    <n v="20059710"/>
    <n v="265"/>
    <n v="81926"/>
    <n v="21710390"/>
    <n v="281"/>
    <n v="80833"/>
    <n v="22714073"/>
    <n v="254"/>
    <n v="69265"/>
    <n v="17593310"/>
    <n v="232"/>
    <n v="69048"/>
    <n v="16019136"/>
    <n v="0"/>
    <n v="0"/>
    <n v="0"/>
    <n v="0"/>
    <n v="0"/>
    <n v="0"/>
    <n v="180"/>
    <n v="48899"/>
    <n v="8801820"/>
    <n v="187"/>
    <n v="49549"/>
    <n v="9265663"/>
    <m/>
    <m/>
    <n v="0"/>
    <m/>
    <m/>
    <n v="0"/>
    <n v="30"/>
    <n v="133770"/>
    <n v="3283518.42"/>
    <n v="26"/>
    <n v="137596"/>
    <n v="2927107.2272000001"/>
    <n v="13"/>
    <n v="113204"/>
    <n v="1204105.6664"/>
    <n v="14"/>
    <n v="110332"/>
    <n v="1263830.9936000002"/>
    <n v="1"/>
    <n v="60000"/>
    <n v="49092"/>
    <n v="0"/>
    <n v="0"/>
    <n v="0"/>
    <n v="0"/>
    <n v="0"/>
    <n v="0"/>
    <n v="0"/>
    <n v="0"/>
    <n v="0"/>
    <n v="39"/>
    <n v="67198"/>
    <n v="2144274.7404"/>
    <n v="31"/>
    <n v="68211"/>
    <n v="1730117.4462000001"/>
    <m/>
    <m/>
    <n v="0"/>
    <m/>
    <m/>
    <n v="0"/>
  </r>
  <r>
    <x v="9"/>
    <s v="University of North Carolina at Greensboro"/>
    <s v="Met the criteria for Four-Year 1 in 2009-10 and 2010-11."/>
    <n v="199148"/>
    <x v="1"/>
    <n v="176"/>
    <n v="108417"/>
    <n v="19081392"/>
    <n v="182"/>
    <n v="109545"/>
    <n v="19937190"/>
    <n v="225"/>
    <n v="77626"/>
    <n v="17465850"/>
    <n v="233"/>
    <n v="77321"/>
    <n v="18015793"/>
    <n v="144"/>
    <n v="64340"/>
    <n v="9264960"/>
    <n v="148"/>
    <n v="64111"/>
    <n v="9488428"/>
    <n v="42"/>
    <n v="58009"/>
    <n v="2436378"/>
    <n v="45"/>
    <n v="58957"/>
    <n v="2653065"/>
    <n v="138"/>
    <n v="46047"/>
    <n v="6354486"/>
    <n v="174"/>
    <n v="44486"/>
    <n v="7740564"/>
    <m/>
    <m/>
    <n v="0"/>
    <m/>
    <m/>
    <n v="0"/>
    <n v="11"/>
    <n v="134628"/>
    <n v="1211678.9256"/>
    <n v="12"/>
    <n v="132189"/>
    <n v="1297884.4776000001"/>
    <n v="9"/>
    <n v="94803"/>
    <n v="698110.33140000002"/>
    <n v="10"/>
    <n v="88962"/>
    <n v="727887.08400000003"/>
    <n v="5"/>
    <n v="60620"/>
    <n v="247996.42"/>
    <n v="2"/>
    <n v="96301"/>
    <n v="157586.9564"/>
    <n v="17"/>
    <n v="60701"/>
    <n v="844314.48940000008"/>
    <n v="15"/>
    <n v="60443"/>
    <n v="741816.93900000001"/>
    <n v="21"/>
    <n v="40947"/>
    <n v="703559.54340000008"/>
    <n v="18"/>
    <n v="49898"/>
    <n v="734877.78480000002"/>
    <m/>
    <m/>
    <n v="0"/>
    <m/>
    <m/>
    <n v="0"/>
  </r>
  <r>
    <x v="9"/>
    <s v="Appalachian State University "/>
    <m/>
    <n v="197869"/>
    <x v="2"/>
    <n v="257"/>
    <n v="90386"/>
    <n v="23229202"/>
    <n v="268"/>
    <n v="89540"/>
    <n v="23996720"/>
    <n v="196"/>
    <n v="73128"/>
    <n v="14333088"/>
    <n v="189"/>
    <n v="72145"/>
    <n v="13635405"/>
    <n v="210"/>
    <n v="59621"/>
    <n v="12520410"/>
    <n v="232"/>
    <n v="59937"/>
    <n v="13905384"/>
    <n v="18"/>
    <n v="62752"/>
    <n v="1129536"/>
    <n v="7"/>
    <n v="54478"/>
    <n v="381346"/>
    <n v="141"/>
    <n v="44135"/>
    <n v="6223035"/>
    <n v="158"/>
    <n v="43137"/>
    <n v="6815646"/>
    <m/>
    <m/>
    <n v="0"/>
    <m/>
    <m/>
    <n v="0"/>
    <n v="1"/>
    <n v="85781"/>
    <n v="70186.014200000005"/>
    <n v="2"/>
    <n v="93891"/>
    <n v="153643.23240000001"/>
    <n v="0"/>
    <n v="0"/>
    <n v="0"/>
    <n v="2"/>
    <n v="76720"/>
    <n v="125544.60800000001"/>
    <n v="0"/>
    <n v="0"/>
    <n v="0"/>
    <n v="1"/>
    <n v="63250"/>
    <n v="51751.15"/>
    <n v="0"/>
    <n v="0"/>
    <n v="0"/>
    <n v="0"/>
    <n v="0"/>
    <n v="0"/>
    <n v="1"/>
    <n v="36575"/>
    <n v="29925.665000000001"/>
    <n v="3"/>
    <n v="41500"/>
    <n v="101865.90000000001"/>
    <m/>
    <m/>
    <n v="0"/>
    <m/>
    <m/>
    <n v="0"/>
  </r>
  <r>
    <x v="9"/>
    <s v="East Carolina University "/>
    <s v="Met the criteria for Four-Year 2 in 2010-11."/>
    <n v="198464"/>
    <x v="2"/>
    <n v="177"/>
    <n v="94128"/>
    <n v="16660656"/>
    <n v="174"/>
    <n v="92662"/>
    <n v="16123188"/>
    <n v="338"/>
    <n v="74933"/>
    <n v="25327354"/>
    <n v="329"/>
    <n v="74352"/>
    <n v="24461808"/>
    <n v="290"/>
    <n v="66436"/>
    <n v="19266440"/>
    <n v="285"/>
    <n v="66652"/>
    <n v="18995820"/>
    <n v="14"/>
    <n v="63598"/>
    <n v="890372"/>
    <n v="5"/>
    <n v="61162"/>
    <n v="305810"/>
    <n v="261"/>
    <n v="48883"/>
    <n v="12758463"/>
    <n v="270"/>
    <n v="48541"/>
    <n v="13106070"/>
    <m/>
    <m/>
    <n v="0"/>
    <m/>
    <m/>
    <n v="0"/>
    <n v="40"/>
    <n v="127601"/>
    <n v="4176125.5280000004"/>
    <n v="55"/>
    <n v="129076"/>
    <n v="5808549.0760000004"/>
    <n v="45"/>
    <n v="94145"/>
    <n v="3466324.7550000004"/>
    <n v="55"/>
    <n v="97093"/>
    <n v="4369282.0930000003"/>
    <n v="22"/>
    <n v="78442"/>
    <n v="1411987.3768"/>
    <n v="23"/>
    <n v="77622"/>
    <n v="1460737.3692000001"/>
    <n v="2"/>
    <n v="57217"/>
    <n v="93629.89880000001"/>
    <n v="1"/>
    <n v="53170"/>
    <n v="43503.694000000003"/>
    <n v="45"/>
    <n v="75439"/>
    <n v="2777588.5410000002"/>
    <n v="49"/>
    <n v="72916"/>
    <n v="2923333.6888000001"/>
    <m/>
    <m/>
    <n v="0"/>
    <m/>
    <m/>
    <n v="0"/>
  </r>
  <r>
    <x v="9"/>
    <s v="North Carolina A&amp;T State University"/>
    <m/>
    <n v="199102"/>
    <x v="2"/>
    <n v="86"/>
    <n v="93322"/>
    <n v="8025692"/>
    <n v="86"/>
    <n v="91697"/>
    <n v="7885942"/>
    <n v="154"/>
    <n v="74805"/>
    <n v="11519970"/>
    <n v="163"/>
    <n v="75565"/>
    <n v="12317095"/>
    <n v="117"/>
    <n v="64496"/>
    <n v="7546032"/>
    <n v="99"/>
    <n v="66155"/>
    <n v="6549345"/>
    <n v="4"/>
    <n v="52522"/>
    <n v="210088"/>
    <n v="5"/>
    <n v="52126"/>
    <n v="260630"/>
    <n v="85"/>
    <n v="54877"/>
    <n v="4664545"/>
    <n v="98"/>
    <n v="55168"/>
    <n v="5406464"/>
    <m/>
    <m/>
    <n v="0"/>
    <m/>
    <m/>
    <n v="0"/>
    <n v="25"/>
    <n v="106457"/>
    <n v="2177577.9350000001"/>
    <n v="25"/>
    <n v="113152"/>
    <n v="2314524.16"/>
    <n v="21"/>
    <n v="106694"/>
    <n v="1833237.6468"/>
    <n v="19"/>
    <n v="110749"/>
    <n v="1721681.8042000001"/>
    <n v="2"/>
    <n v="107452"/>
    <n v="175834.4528"/>
    <n v="3"/>
    <n v="81801"/>
    <n v="200788.7346"/>
    <n v="0"/>
    <n v="0"/>
    <n v="0"/>
    <n v="0"/>
    <n v="0"/>
    <n v="0"/>
    <n v="28"/>
    <n v="71831"/>
    <n v="1645619.4776000001"/>
    <n v="21"/>
    <n v="67852"/>
    <n v="1165846.6344000001"/>
    <m/>
    <m/>
    <n v="0"/>
    <m/>
    <m/>
    <n v="0"/>
  </r>
  <r>
    <x v="9"/>
    <s v="North Carolina Central University "/>
    <m/>
    <n v="199157"/>
    <x v="2"/>
    <n v="45"/>
    <n v="102562"/>
    <n v="4615290"/>
    <n v="50"/>
    <n v="101784"/>
    <n v="5089200"/>
    <n v="61"/>
    <n v="75027"/>
    <n v="4576647"/>
    <n v="66"/>
    <n v="78395"/>
    <n v="5174070"/>
    <n v="107"/>
    <n v="70861"/>
    <n v="7582127"/>
    <n v="111"/>
    <n v="69776"/>
    <n v="7745136"/>
    <n v="0"/>
    <n v="0"/>
    <n v="0"/>
    <n v="1"/>
    <n v="53000"/>
    <n v="53000"/>
    <n v="62"/>
    <n v="56056"/>
    <n v="3475472"/>
    <n v="79"/>
    <n v="58393"/>
    <n v="4613047"/>
    <m/>
    <m/>
    <n v="0"/>
    <m/>
    <m/>
    <n v="0"/>
    <n v="20"/>
    <n v="115879"/>
    <n v="1896243.956"/>
    <n v="13"/>
    <n v="114314"/>
    <n v="1215912.2924000002"/>
    <n v="26"/>
    <n v="100092"/>
    <n v="2129277.1344000003"/>
    <n v="26"/>
    <n v="91050"/>
    <n v="1936924.86"/>
    <n v="23"/>
    <n v="72080"/>
    <n v="1356444.6880000001"/>
    <n v="21"/>
    <n v="71046"/>
    <n v="1220726.5812000001"/>
    <n v="0"/>
    <n v="0"/>
    <n v="0"/>
    <n v="2"/>
    <n v="43754"/>
    <n v="71599.045599999998"/>
    <n v="25"/>
    <n v="69099"/>
    <n v="1413420.0450000002"/>
    <n v="43"/>
    <n v="66976"/>
    <n v="2356389.8176000002"/>
    <m/>
    <m/>
    <n v="0"/>
    <m/>
    <m/>
    <n v="0"/>
  </r>
  <r>
    <x v="9"/>
    <s v="University of North Carolina at Wilmington"/>
    <m/>
    <n v="199218"/>
    <x v="2"/>
    <n v="137"/>
    <n v="94245"/>
    <n v="12911565"/>
    <n v="141"/>
    <n v="94334"/>
    <n v="13301094"/>
    <n v="159"/>
    <n v="73270"/>
    <n v="11649930"/>
    <n v="174"/>
    <n v="73173"/>
    <n v="12732102"/>
    <n v="169"/>
    <n v="61875"/>
    <n v="10456875"/>
    <n v="152"/>
    <n v="61171"/>
    <n v="9297992"/>
    <n v="0"/>
    <n v="0"/>
    <n v="0"/>
    <n v="0"/>
    <n v="0"/>
    <n v="0"/>
    <n v="76"/>
    <n v="47483"/>
    <n v="3608708"/>
    <n v="81"/>
    <n v="47037"/>
    <n v="3809997"/>
    <m/>
    <m/>
    <n v="0"/>
    <m/>
    <m/>
    <n v="0"/>
    <n v="32"/>
    <n v="119038"/>
    <n v="3116700.5312000001"/>
    <n v="32"/>
    <n v="117934"/>
    <n v="3087795.1616000002"/>
    <n v="12"/>
    <n v="97362"/>
    <n v="955939.06080000009"/>
    <n v="16"/>
    <n v="88375"/>
    <n v="1156934.8"/>
    <n v="1"/>
    <n v="36000"/>
    <n v="29455.200000000001"/>
    <n v="2"/>
    <n v="44667"/>
    <n v="73093.078800000003"/>
    <n v="0"/>
    <n v="0"/>
    <n v="0"/>
    <n v="0"/>
    <n v="0"/>
    <n v="0"/>
    <n v="31"/>
    <n v="60665"/>
    <n v="1538719.193"/>
    <n v="19"/>
    <n v="54999"/>
    <n v="855003.45420000004"/>
    <m/>
    <m/>
    <n v="0"/>
    <m/>
    <m/>
    <n v="0"/>
  </r>
  <r>
    <x v="9"/>
    <s v="Western Carolina University "/>
    <m/>
    <n v="200004"/>
    <x v="2"/>
    <n v="67"/>
    <n v="89321"/>
    <n v="5984507"/>
    <n v="54"/>
    <n v="87580"/>
    <n v="4729320"/>
    <n v="107"/>
    <n v="72769"/>
    <n v="7786283"/>
    <n v="119"/>
    <n v="72963"/>
    <n v="8682597"/>
    <n v="135"/>
    <n v="59539"/>
    <n v="8037765"/>
    <n v="124"/>
    <n v="58964"/>
    <n v="7311536"/>
    <n v="16"/>
    <n v="47057"/>
    <n v="752912"/>
    <n v="14"/>
    <n v="47683"/>
    <n v="667562"/>
    <n v="87"/>
    <n v="56996"/>
    <n v="4958652"/>
    <n v="87"/>
    <n v="55179"/>
    <n v="4800573"/>
    <m/>
    <m/>
    <n v="0"/>
    <m/>
    <m/>
    <n v="0"/>
    <n v="11"/>
    <n v="111753"/>
    <n v="1005799.3506"/>
    <n v="16"/>
    <n v="114451"/>
    <n v="1498300.9312"/>
    <n v="17"/>
    <n v="103290"/>
    <n v="1436701.926"/>
    <n v="20"/>
    <n v="101957"/>
    <n v="1668424.348"/>
    <n v="1"/>
    <n v="46356"/>
    <n v="37928.479200000002"/>
    <n v="2"/>
    <n v="68247"/>
    <n v="111679.39080000001"/>
    <n v="1"/>
    <n v="56774"/>
    <n v="46452.486799999999"/>
    <n v="0"/>
    <n v="0"/>
    <n v="0"/>
    <n v="18"/>
    <n v="82337"/>
    <n v="1212626.4012"/>
    <n v="15"/>
    <n v="88227"/>
    <n v="1082809.9710000001"/>
    <m/>
    <m/>
    <n v="0"/>
    <m/>
    <m/>
    <n v="0"/>
  </r>
  <r>
    <x v="9"/>
    <s v="Fayetteville State University "/>
    <s v="Met the criteria for Four-Year 3 in 2010-11."/>
    <n v="198543"/>
    <x v="3"/>
    <n v="37"/>
    <n v="87367"/>
    <n v="3232579"/>
    <n v="33"/>
    <n v="85429"/>
    <n v="2819157"/>
    <n v="67"/>
    <n v="75507"/>
    <n v="5058969"/>
    <n v="72"/>
    <n v="73418"/>
    <n v="5286096"/>
    <n v="111"/>
    <n v="62383"/>
    <n v="6924513"/>
    <n v="106"/>
    <n v="63055"/>
    <n v="6683830"/>
    <n v="7"/>
    <n v="60510"/>
    <n v="423570"/>
    <n v="9"/>
    <n v="58771"/>
    <n v="528939"/>
    <n v="23"/>
    <n v="52188"/>
    <n v="1200324"/>
    <n v="33"/>
    <n v="53427"/>
    <n v="1763091"/>
    <m/>
    <m/>
    <n v="0"/>
    <m/>
    <m/>
    <n v="0"/>
    <n v="6"/>
    <n v="106885"/>
    <n v="524719.84200000006"/>
    <n v="11"/>
    <n v="106866"/>
    <n v="961815.37320000003"/>
    <n v="11"/>
    <n v="92522"/>
    <n v="832716.50440000009"/>
    <n v="10"/>
    <n v="93002"/>
    <n v="760942.36400000006"/>
    <n v="10"/>
    <n v="79880"/>
    <n v="653578.16"/>
    <n v="3"/>
    <n v="93259"/>
    <n v="228913.54140000002"/>
    <n v="1"/>
    <n v="63726"/>
    <n v="52140.6132"/>
    <n v="0"/>
    <n v="0"/>
    <n v="0"/>
    <n v="14"/>
    <n v="45272"/>
    <n v="518581.70560000004"/>
    <n v="0"/>
    <n v="0"/>
    <n v="0"/>
    <m/>
    <m/>
    <n v="0"/>
    <m/>
    <m/>
    <n v="0"/>
  </r>
  <r>
    <x v="9"/>
    <s v="University of North Carolina at Pembroke"/>
    <m/>
    <n v="199281"/>
    <x v="4"/>
    <n v="53"/>
    <n v="86364"/>
    <n v="4577292"/>
    <n v="59"/>
    <n v="85636"/>
    <n v="5052524"/>
    <n v="56"/>
    <n v="66923"/>
    <n v="3747688"/>
    <n v="63"/>
    <n v="66000"/>
    <n v="4158000"/>
    <n v="105"/>
    <n v="58055"/>
    <n v="6095775"/>
    <n v="113"/>
    <n v="57362"/>
    <n v="6481906"/>
    <n v="5"/>
    <n v="50693"/>
    <n v="253465"/>
    <n v="3"/>
    <n v="50154"/>
    <n v="150462"/>
    <n v="64"/>
    <n v="46841"/>
    <n v="2997824"/>
    <n v="82"/>
    <n v="47843"/>
    <n v="3923126"/>
    <m/>
    <m/>
    <n v="0"/>
    <m/>
    <m/>
    <n v="0"/>
    <n v="2"/>
    <n v="90702"/>
    <n v="148424.75280000002"/>
    <n v="1"/>
    <n v="102572"/>
    <n v="83924.410400000008"/>
    <n v="1"/>
    <n v="115000"/>
    <n v="94093"/>
    <n v="1"/>
    <n v="115000"/>
    <n v="94093"/>
    <n v="3"/>
    <n v="83277"/>
    <n v="204411.7242"/>
    <n v="2"/>
    <n v="86166"/>
    <n v="141002.04240000001"/>
    <n v="0"/>
    <n v="0"/>
    <n v="0"/>
    <n v="0"/>
    <n v="0"/>
    <n v="0"/>
    <n v="4"/>
    <n v="55666"/>
    <n v="182183.68480000002"/>
    <n v="5"/>
    <n v="67012"/>
    <n v="274146.092"/>
    <m/>
    <m/>
    <n v="0"/>
    <m/>
    <m/>
    <n v="0"/>
  </r>
  <r>
    <x v="9"/>
    <s v="Winston-Salem State University "/>
    <m/>
    <n v="199999"/>
    <x v="4"/>
    <n v="26"/>
    <n v="93693"/>
    <n v="2436018"/>
    <n v="16"/>
    <n v="92518"/>
    <n v="1480288"/>
    <n v="81"/>
    <n v="75786"/>
    <n v="6138666"/>
    <n v="61"/>
    <n v="76148"/>
    <n v="4645028"/>
    <n v="82"/>
    <n v="68110"/>
    <n v="5585020"/>
    <n v="78"/>
    <n v="68532"/>
    <n v="5345496"/>
    <n v="33"/>
    <n v="59968"/>
    <n v="1978944"/>
    <n v="20"/>
    <n v="59152"/>
    <n v="1183040"/>
    <n v="6"/>
    <n v="62705"/>
    <n v="376230"/>
    <n v="6"/>
    <n v="60303"/>
    <n v="361818"/>
    <m/>
    <m/>
    <n v="0"/>
    <m/>
    <m/>
    <n v="0"/>
    <n v="10"/>
    <n v="106839"/>
    <n v="874156.69800000009"/>
    <n v="24"/>
    <n v="104759"/>
    <n v="2057131.5312000001"/>
    <n v="31"/>
    <n v="91579"/>
    <n v="2322828.0718"/>
    <n v="48"/>
    <n v="86596"/>
    <n v="3400936.6655999999"/>
    <n v="37"/>
    <n v="78235"/>
    <n v="2368439.449"/>
    <n v="53"/>
    <n v="78698"/>
    <n v="3412707.2908000001"/>
    <n v="8"/>
    <n v="65102"/>
    <n v="426131.65120000002"/>
    <n v="25"/>
    <n v="67758"/>
    <n v="1385989.8900000001"/>
    <n v="11"/>
    <n v="54173"/>
    <n v="487567.8346"/>
    <n v="12"/>
    <n v="66712"/>
    <n v="655005.10080000001"/>
    <m/>
    <m/>
    <n v="0"/>
    <m/>
    <m/>
    <n v="0"/>
  </r>
  <r>
    <x v="9"/>
    <s v="Elizabeth City State University "/>
    <m/>
    <n v="198507"/>
    <x v="5"/>
    <n v="49"/>
    <n v="77960"/>
    <n v="3820040"/>
    <n v="51"/>
    <n v="76043"/>
    <n v="3878193"/>
    <n v="32"/>
    <n v="68412"/>
    <n v="2189184"/>
    <n v="35"/>
    <n v="69438"/>
    <n v="2430330"/>
    <n v="45"/>
    <n v="61124"/>
    <n v="2750580"/>
    <n v="42"/>
    <n v="62321"/>
    <n v="2617482"/>
    <n v="3"/>
    <n v="56294"/>
    <n v="168882"/>
    <n v="3"/>
    <n v="56294"/>
    <n v="168882"/>
    <n v="28"/>
    <n v="59168"/>
    <n v="1656704"/>
    <n v="33"/>
    <n v="59205"/>
    <n v="1953765"/>
    <m/>
    <m/>
    <n v="0"/>
    <m/>
    <m/>
    <n v="0"/>
    <n v="2"/>
    <n v="95772"/>
    <n v="156721.3008"/>
    <n v="2"/>
    <n v="102240"/>
    <n v="167305.53600000002"/>
    <n v="0"/>
    <n v="0"/>
    <n v="0"/>
    <n v="1"/>
    <n v="82000"/>
    <n v="67092.400000000009"/>
    <n v="3"/>
    <n v="89439"/>
    <n v="219536.9694"/>
    <n v="1"/>
    <n v="154211"/>
    <n v="126175.44020000001"/>
    <n v="0"/>
    <n v="0"/>
    <n v="0"/>
    <n v="0"/>
    <n v="0"/>
    <n v="0"/>
    <n v="3"/>
    <n v="63772"/>
    <n v="156534.7512"/>
    <n v="2"/>
    <n v="77492"/>
    <n v="126807.9088"/>
    <m/>
    <m/>
    <n v="0"/>
    <m/>
    <m/>
    <n v="0"/>
  </r>
  <r>
    <x v="9"/>
    <s v="University of North Carolina at Asheville"/>
    <m/>
    <n v="199111"/>
    <x v="5"/>
    <n v="58"/>
    <n v="87909"/>
    <n v="5098722"/>
    <n v="62"/>
    <n v="86905"/>
    <n v="5388110"/>
    <n v="63"/>
    <n v="68283"/>
    <n v="4301829"/>
    <n v="64"/>
    <n v="67703"/>
    <n v="4332992"/>
    <n v="45"/>
    <n v="59779"/>
    <n v="2690055"/>
    <n v="44"/>
    <n v="61218"/>
    <n v="2693592"/>
    <n v="1"/>
    <n v="56000"/>
    <n v="56000"/>
    <n v="0"/>
    <n v="0"/>
    <n v="0"/>
    <n v="40"/>
    <n v="49915"/>
    <n v="1996600"/>
    <n v="47"/>
    <n v="49533"/>
    <n v="2328051"/>
    <m/>
    <m/>
    <n v="0"/>
    <m/>
    <m/>
    <n v="0"/>
    <n v="0"/>
    <n v="0"/>
    <n v="0"/>
    <n v="0"/>
    <n v="0"/>
    <n v="0"/>
    <n v="0"/>
    <n v="0"/>
    <n v="0"/>
    <n v="0"/>
    <n v="0"/>
    <n v="0"/>
    <n v="0"/>
    <n v="0"/>
    <n v="0"/>
    <n v="0"/>
    <n v="0"/>
    <n v="0"/>
    <n v="0"/>
    <n v="0"/>
    <n v="0"/>
    <n v="0"/>
    <n v="0"/>
    <n v="0"/>
    <n v="1"/>
    <n v="76928"/>
    <n v="62942.489600000001"/>
    <n v="0"/>
    <n v="0"/>
    <n v="0"/>
    <m/>
    <m/>
    <n v="0"/>
    <m/>
    <m/>
    <n v="0"/>
  </r>
  <r>
    <x v="9"/>
    <s v="Asheville-Buncombe Technical Community College"/>
    <m/>
    <n v="197887"/>
    <x v="6"/>
    <m/>
    <m/>
    <n v="0"/>
    <m/>
    <m/>
    <n v="0"/>
    <m/>
    <m/>
    <n v="0"/>
    <m/>
    <m/>
    <n v="0"/>
    <m/>
    <m/>
    <n v="0"/>
    <m/>
    <m/>
    <n v="0"/>
    <m/>
    <m/>
    <n v="0"/>
    <m/>
    <m/>
    <n v="0"/>
    <m/>
    <m/>
    <n v="0"/>
    <m/>
    <m/>
    <n v="0"/>
    <n v="172"/>
    <n v="46889"/>
    <n v="8064908"/>
    <n v="172"/>
    <n v="45890"/>
    <n v="7893080"/>
    <m/>
    <m/>
    <n v="0"/>
    <m/>
    <m/>
    <n v="0"/>
    <m/>
    <m/>
    <n v="0"/>
    <m/>
    <m/>
    <n v="0"/>
    <m/>
    <m/>
    <n v="0"/>
    <m/>
    <m/>
    <n v="0"/>
    <m/>
    <m/>
    <n v="0"/>
    <m/>
    <m/>
    <n v="0"/>
    <m/>
    <m/>
    <n v="0"/>
    <m/>
    <m/>
    <n v="0"/>
    <m/>
    <m/>
    <n v="0"/>
    <m/>
    <m/>
    <n v="0"/>
  </r>
  <r>
    <x v="9"/>
    <s v="Cape Fear Community College"/>
    <m/>
    <n v="198154"/>
    <x v="6"/>
    <m/>
    <m/>
    <n v="0"/>
    <m/>
    <m/>
    <n v="0"/>
    <m/>
    <m/>
    <n v="0"/>
    <m/>
    <m/>
    <n v="0"/>
    <m/>
    <m/>
    <n v="0"/>
    <m/>
    <m/>
    <n v="0"/>
    <m/>
    <m/>
    <n v="0"/>
    <m/>
    <m/>
    <n v="0"/>
    <m/>
    <m/>
    <n v="0"/>
    <m/>
    <m/>
    <n v="0"/>
    <n v="253"/>
    <n v="48385"/>
    <n v="12241405"/>
    <n v="279"/>
    <n v="48299"/>
    <n v="13475421"/>
    <m/>
    <m/>
    <n v="0"/>
    <m/>
    <m/>
    <n v="0"/>
    <m/>
    <m/>
    <n v="0"/>
    <m/>
    <m/>
    <n v="0"/>
    <m/>
    <m/>
    <n v="0"/>
    <m/>
    <m/>
    <n v="0"/>
    <m/>
    <m/>
    <n v="0"/>
    <m/>
    <m/>
    <n v="0"/>
    <m/>
    <m/>
    <n v="0"/>
    <m/>
    <m/>
    <n v="0"/>
    <m/>
    <m/>
    <n v="0"/>
    <m/>
    <m/>
    <n v="0"/>
  </r>
  <r>
    <x v="9"/>
    <s v="Central Piedmont Community College "/>
    <m/>
    <n v="198260"/>
    <x v="6"/>
    <m/>
    <m/>
    <n v="0"/>
    <m/>
    <m/>
    <n v="0"/>
    <m/>
    <m/>
    <n v="0"/>
    <m/>
    <m/>
    <n v="0"/>
    <m/>
    <m/>
    <n v="0"/>
    <m/>
    <m/>
    <n v="0"/>
    <m/>
    <m/>
    <n v="0"/>
    <m/>
    <m/>
    <n v="0"/>
    <m/>
    <m/>
    <n v="0"/>
    <m/>
    <m/>
    <n v="0"/>
    <n v="337"/>
    <n v="52089"/>
    <n v="17553993"/>
    <n v="343"/>
    <n v="52475"/>
    <n v="17998925"/>
    <m/>
    <m/>
    <n v="0"/>
    <m/>
    <m/>
    <n v="0"/>
    <m/>
    <m/>
    <n v="0"/>
    <m/>
    <m/>
    <n v="0"/>
    <m/>
    <m/>
    <n v="0"/>
    <m/>
    <m/>
    <n v="0"/>
    <m/>
    <m/>
    <n v="0"/>
    <m/>
    <m/>
    <n v="0"/>
    <m/>
    <m/>
    <n v="0"/>
    <m/>
    <m/>
    <n v="0"/>
    <m/>
    <m/>
    <n v="0"/>
    <m/>
    <m/>
    <n v="0"/>
  </r>
  <r>
    <x v="9"/>
    <s v="Fayetteville Technical Community College"/>
    <m/>
    <n v="198534"/>
    <x v="6"/>
    <m/>
    <m/>
    <n v="0"/>
    <m/>
    <m/>
    <n v="0"/>
    <m/>
    <m/>
    <n v="0"/>
    <m/>
    <m/>
    <n v="0"/>
    <m/>
    <m/>
    <n v="0"/>
    <m/>
    <m/>
    <n v="0"/>
    <m/>
    <m/>
    <n v="0"/>
    <m/>
    <m/>
    <n v="0"/>
    <m/>
    <m/>
    <n v="0"/>
    <m/>
    <m/>
    <n v="0"/>
    <n v="303"/>
    <n v="45447"/>
    <n v="13770441"/>
    <n v="311"/>
    <n v="45787"/>
    <n v="14239757"/>
    <m/>
    <m/>
    <n v="0"/>
    <m/>
    <m/>
    <n v="0"/>
    <m/>
    <m/>
    <n v="0"/>
    <m/>
    <m/>
    <n v="0"/>
    <m/>
    <m/>
    <n v="0"/>
    <m/>
    <m/>
    <n v="0"/>
    <m/>
    <m/>
    <n v="0"/>
    <m/>
    <m/>
    <n v="0"/>
    <m/>
    <m/>
    <n v="0"/>
    <m/>
    <m/>
    <n v="0"/>
    <m/>
    <m/>
    <n v="0"/>
    <m/>
    <m/>
    <n v="0"/>
  </r>
  <r>
    <x v="9"/>
    <s v="Forsyth Technical Community College"/>
    <m/>
    <n v="198552"/>
    <x v="6"/>
    <m/>
    <m/>
    <n v="0"/>
    <m/>
    <m/>
    <n v="0"/>
    <m/>
    <m/>
    <n v="0"/>
    <m/>
    <m/>
    <n v="0"/>
    <m/>
    <m/>
    <n v="0"/>
    <m/>
    <m/>
    <n v="0"/>
    <m/>
    <m/>
    <n v="0"/>
    <m/>
    <m/>
    <n v="0"/>
    <m/>
    <m/>
    <n v="0"/>
    <m/>
    <m/>
    <n v="0"/>
    <n v="198"/>
    <n v="43624"/>
    <n v="8637552"/>
    <n v="214"/>
    <n v="43172"/>
    <n v="9238808"/>
    <m/>
    <m/>
    <n v="0"/>
    <m/>
    <m/>
    <n v="0"/>
    <m/>
    <m/>
    <n v="0"/>
    <m/>
    <m/>
    <n v="0"/>
    <m/>
    <m/>
    <n v="0"/>
    <m/>
    <m/>
    <n v="0"/>
    <m/>
    <m/>
    <n v="0"/>
    <m/>
    <m/>
    <n v="0"/>
    <m/>
    <m/>
    <n v="0"/>
    <m/>
    <m/>
    <n v="0"/>
    <m/>
    <m/>
    <n v="0"/>
    <m/>
    <m/>
    <n v="0"/>
  </r>
  <r>
    <x v="9"/>
    <s v="Gaston College "/>
    <s v="Reclassified, meets the criteria for Two-Year 1."/>
    <n v="198570"/>
    <x v="6"/>
    <m/>
    <m/>
    <n v="0"/>
    <m/>
    <m/>
    <n v="0"/>
    <m/>
    <m/>
    <n v="0"/>
    <m/>
    <m/>
    <n v="0"/>
    <m/>
    <m/>
    <n v="0"/>
    <m/>
    <m/>
    <n v="0"/>
    <m/>
    <m/>
    <n v="0"/>
    <m/>
    <m/>
    <n v="0"/>
    <m/>
    <m/>
    <n v="0"/>
    <m/>
    <m/>
    <n v="0"/>
    <n v="135"/>
    <n v="50287"/>
    <n v="6788745"/>
    <n v="161"/>
    <n v="50329"/>
    <n v="8102969"/>
    <m/>
    <m/>
    <n v="0"/>
    <m/>
    <m/>
    <n v="0"/>
    <m/>
    <m/>
    <n v="0"/>
    <m/>
    <m/>
    <n v="0"/>
    <m/>
    <m/>
    <n v="0"/>
    <m/>
    <m/>
    <n v="0"/>
    <m/>
    <m/>
    <n v="0"/>
    <m/>
    <m/>
    <n v="0"/>
    <m/>
    <m/>
    <n v="0"/>
    <m/>
    <m/>
    <n v="0"/>
    <m/>
    <m/>
    <n v="0"/>
    <m/>
    <m/>
    <n v="0"/>
  </r>
  <r>
    <x v="9"/>
    <s v="Guilford Technical Community College"/>
    <m/>
    <n v="198622"/>
    <x v="6"/>
    <m/>
    <m/>
    <n v="0"/>
    <m/>
    <m/>
    <n v="0"/>
    <m/>
    <m/>
    <n v="0"/>
    <m/>
    <m/>
    <n v="0"/>
    <m/>
    <m/>
    <n v="0"/>
    <m/>
    <m/>
    <n v="0"/>
    <m/>
    <m/>
    <n v="0"/>
    <m/>
    <m/>
    <n v="0"/>
    <m/>
    <m/>
    <n v="0"/>
    <m/>
    <m/>
    <n v="0"/>
    <n v="289"/>
    <n v="50893"/>
    <n v="14708077"/>
    <n v="324"/>
    <n v="49631"/>
    <n v="16080444"/>
    <m/>
    <m/>
    <n v="0"/>
    <m/>
    <m/>
    <n v="0"/>
    <m/>
    <m/>
    <n v="0"/>
    <m/>
    <m/>
    <n v="0"/>
    <m/>
    <m/>
    <n v="0"/>
    <m/>
    <m/>
    <n v="0"/>
    <m/>
    <m/>
    <n v="0"/>
    <m/>
    <m/>
    <n v="0"/>
    <m/>
    <m/>
    <n v="0"/>
    <m/>
    <m/>
    <n v="0"/>
    <m/>
    <m/>
    <n v="0"/>
    <m/>
    <m/>
    <n v="0"/>
  </r>
  <r>
    <x v="9"/>
    <s v="Pitt Community College"/>
    <m/>
    <n v="199333"/>
    <x v="6"/>
    <m/>
    <m/>
    <n v="0"/>
    <m/>
    <m/>
    <n v="0"/>
    <m/>
    <m/>
    <n v="0"/>
    <m/>
    <m/>
    <n v="0"/>
    <m/>
    <m/>
    <n v="0"/>
    <m/>
    <m/>
    <n v="0"/>
    <m/>
    <m/>
    <n v="0"/>
    <m/>
    <m/>
    <n v="0"/>
    <m/>
    <m/>
    <n v="0"/>
    <m/>
    <m/>
    <n v="0"/>
    <n v="196"/>
    <n v="47072"/>
    <n v="9226112"/>
    <n v="226"/>
    <n v="47137"/>
    <n v="10652962"/>
    <m/>
    <m/>
    <n v="0"/>
    <m/>
    <m/>
    <n v="0"/>
    <m/>
    <m/>
    <n v="0"/>
    <m/>
    <m/>
    <n v="0"/>
    <m/>
    <m/>
    <n v="0"/>
    <m/>
    <m/>
    <n v="0"/>
    <m/>
    <m/>
    <n v="0"/>
    <m/>
    <m/>
    <n v="0"/>
    <m/>
    <m/>
    <n v="0"/>
    <m/>
    <m/>
    <n v="0"/>
    <m/>
    <m/>
    <n v="0"/>
    <m/>
    <m/>
    <n v="0"/>
  </r>
  <r>
    <x v="9"/>
    <s v="Rowan-Cabarrus Community College"/>
    <m/>
    <n v="199494"/>
    <x v="6"/>
    <m/>
    <m/>
    <n v="0"/>
    <m/>
    <m/>
    <n v="0"/>
    <m/>
    <m/>
    <n v="0"/>
    <m/>
    <m/>
    <n v="0"/>
    <m/>
    <m/>
    <n v="0"/>
    <m/>
    <m/>
    <n v="0"/>
    <m/>
    <m/>
    <n v="0"/>
    <m/>
    <m/>
    <n v="0"/>
    <m/>
    <m/>
    <n v="0"/>
    <m/>
    <m/>
    <n v="0"/>
    <n v="145"/>
    <n v="54021"/>
    <n v="7833045"/>
    <n v="157"/>
    <n v="54252"/>
    <n v="8517564"/>
    <m/>
    <m/>
    <n v="0"/>
    <m/>
    <m/>
    <n v="0"/>
    <m/>
    <m/>
    <n v="0"/>
    <m/>
    <m/>
    <n v="0"/>
    <m/>
    <m/>
    <n v="0"/>
    <m/>
    <m/>
    <n v="0"/>
    <m/>
    <m/>
    <n v="0"/>
    <m/>
    <m/>
    <n v="0"/>
    <m/>
    <m/>
    <n v="0"/>
    <m/>
    <m/>
    <n v="0"/>
    <m/>
    <m/>
    <n v="0"/>
    <m/>
    <m/>
    <n v="0"/>
  </r>
  <r>
    <x v="9"/>
    <s v="Wake Technical Community College"/>
    <m/>
    <n v="199856"/>
    <x v="6"/>
    <m/>
    <m/>
    <n v="0"/>
    <m/>
    <m/>
    <n v="0"/>
    <m/>
    <m/>
    <n v="0"/>
    <m/>
    <m/>
    <n v="0"/>
    <m/>
    <m/>
    <n v="0"/>
    <m/>
    <m/>
    <n v="0"/>
    <m/>
    <m/>
    <n v="0"/>
    <m/>
    <m/>
    <n v="0"/>
    <m/>
    <m/>
    <n v="0"/>
    <m/>
    <m/>
    <n v="0"/>
    <n v="453"/>
    <n v="45085"/>
    <n v="20423505"/>
    <n v="503"/>
    <n v="44216"/>
    <n v="22240648"/>
    <m/>
    <m/>
    <n v="0"/>
    <m/>
    <m/>
    <n v="0"/>
    <m/>
    <m/>
    <n v="0"/>
    <m/>
    <m/>
    <n v="0"/>
    <m/>
    <m/>
    <n v="0"/>
    <m/>
    <m/>
    <n v="0"/>
    <m/>
    <m/>
    <n v="0"/>
    <m/>
    <m/>
    <n v="0"/>
    <m/>
    <m/>
    <n v="0"/>
    <m/>
    <m/>
    <n v="0"/>
    <m/>
    <m/>
    <n v="0"/>
    <m/>
    <m/>
    <n v="0"/>
  </r>
  <r>
    <x v="9"/>
    <s v="Alamance Community College"/>
    <m/>
    <n v="199786"/>
    <x v="7"/>
    <m/>
    <m/>
    <n v="0"/>
    <m/>
    <m/>
    <n v="0"/>
    <m/>
    <m/>
    <n v="0"/>
    <m/>
    <m/>
    <n v="0"/>
    <m/>
    <m/>
    <n v="0"/>
    <m/>
    <m/>
    <n v="0"/>
    <m/>
    <m/>
    <n v="0"/>
    <m/>
    <m/>
    <n v="0"/>
    <m/>
    <m/>
    <n v="0"/>
    <m/>
    <m/>
    <n v="0"/>
    <n v="110"/>
    <n v="48587"/>
    <n v="5344570"/>
    <n v="111"/>
    <n v="48158"/>
    <n v="5345538"/>
    <m/>
    <m/>
    <n v="0"/>
    <m/>
    <m/>
    <n v="0"/>
    <m/>
    <m/>
    <n v="0"/>
    <m/>
    <m/>
    <n v="0"/>
    <m/>
    <m/>
    <n v="0"/>
    <m/>
    <m/>
    <n v="0"/>
    <m/>
    <m/>
    <n v="0"/>
    <m/>
    <m/>
    <n v="0"/>
    <m/>
    <m/>
    <n v="0"/>
    <m/>
    <m/>
    <n v="0"/>
    <m/>
    <m/>
    <n v="0"/>
    <m/>
    <m/>
    <n v="0"/>
  </r>
  <r>
    <x v="9"/>
    <s v="Caldwell Community College &amp; Technical Institute"/>
    <m/>
    <n v="198118"/>
    <x v="7"/>
    <m/>
    <m/>
    <n v="0"/>
    <m/>
    <m/>
    <n v="0"/>
    <m/>
    <m/>
    <n v="0"/>
    <m/>
    <m/>
    <n v="0"/>
    <m/>
    <m/>
    <n v="0"/>
    <m/>
    <m/>
    <n v="0"/>
    <m/>
    <m/>
    <n v="0"/>
    <m/>
    <m/>
    <n v="0"/>
    <m/>
    <m/>
    <n v="0"/>
    <m/>
    <m/>
    <n v="0"/>
    <n v="138"/>
    <n v="43482"/>
    <n v="6000516"/>
    <n v="136"/>
    <n v="44230"/>
    <n v="6015280"/>
    <m/>
    <m/>
    <n v="0"/>
    <m/>
    <m/>
    <n v="0"/>
    <m/>
    <m/>
    <n v="0"/>
    <m/>
    <m/>
    <n v="0"/>
    <m/>
    <m/>
    <n v="0"/>
    <m/>
    <m/>
    <n v="0"/>
    <m/>
    <m/>
    <n v="0"/>
    <m/>
    <m/>
    <n v="0"/>
    <m/>
    <m/>
    <n v="0"/>
    <m/>
    <m/>
    <n v="0"/>
    <m/>
    <m/>
    <n v="0"/>
    <m/>
    <m/>
    <n v="0"/>
  </r>
  <r>
    <x v="9"/>
    <s v="Catawba Valley Community College"/>
    <s v="Reclassified, meets the criteria for Two-Year 2."/>
    <n v="198233"/>
    <x v="7"/>
    <m/>
    <m/>
    <n v="0"/>
    <m/>
    <m/>
    <n v="0"/>
    <m/>
    <m/>
    <n v="0"/>
    <m/>
    <m/>
    <n v="0"/>
    <m/>
    <m/>
    <n v="0"/>
    <m/>
    <m/>
    <n v="0"/>
    <m/>
    <m/>
    <n v="0"/>
    <m/>
    <m/>
    <n v="0"/>
    <m/>
    <m/>
    <n v="0"/>
    <m/>
    <m/>
    <n v="0"/>
    <n v="144"/>
    <n v="50714"/>
    <n v="7302816"/>
    <n v="153"/>
    <n v="50879"/>
    <n v="7784487"/>
    <m/>
    <m/>
    <n v="0"/>
    <m/>
    <m/>
    <n v="0"/>
    <m/>
    <m/>
    <n v="0"/>
    <m/>
    <m/>
    <n v="0"/>
    <m/>
    <m/>
    <n v="0"/>
    <m/>
    <m/>
    <n v="0"/>
    <m/>
    <m/>
    <n v="0"/>
    <m/>
    <m/>
    <n v="0"/>
    <m/>
    <m/>
    <n v="0"/>
    <m/>
    <m/>
    <n v="0"/>
    <m/>
    <m/>
    <n v="0"/>
    <m/>
    <m/>
    <n v="0"/>
  </r>
  <r>
    <x v="9"/>
    <s v="Central Carolina Commuity College"/>
    <s v="Reclassified, meets the criteria for Two-Year 2."/>
    <n v="198251"/>
    <x v="7"/>
    <m/>
    <m/>
    <n v="0"/>
    <m/>
    <m/>
    <n v="0"/>
    <m/>
    <m/>
    <n v="0"/>
    <m/>
    <m/>
    <n v="0"/>
    <m/>
    <m/>
    <n v="0"/>
    <m/>
    <m/>
    <n v="0"/>
    <m/>
    <m/>
    <n v="0"/>
    <m/>
    <m/>
    <n v="0"/>
    <m/>
    <m/>
    <n v="0"/>
    <m/>
    <m/>
    <n v="0"/>
    <n v="172"/>
    <n v="45172"/>
    <n v="7769584"/>
    <n v="170"/>
    <n v="40825"/>
    <n v="6940250"/>
    <m/>
    <m/>
    <n v="0"/>
    <m/>
    <m/>
    <n v="0"/>
    <m/>
    <m/>
    <n v="0"/>
    <m/>
    <m/>
    <n v="0"/>
    <m/>
    <m/>
    <n v="0"/>
    <m/>
    <m/>
    <n v="0"/>
    <m/>
    <m/>
    <n v="0"/>
    <m/>
    <m/>
    <n v="0"/>
    <m/>
    <m/>
    <n v="0"/>
    <m/>
    <m/>
    <n v="0"/>
    <m/>
    <m/>
    <n v="0"/>
    <m/>
    <m/>
    <n v="0"/>
  </r>
  <r>
    <x v="9"/>
    <s v="Cleveland Community College"/>
    <m/>
    <n v="198321"/>
    <x v="7"/>
    <m/>
    <m/>
    <n v="0"/>
    <m/>
    <m/>
    <n v="0"/>
    <m/>
    <m/>
    <n v="0"/>
    <m/>
    <m/>
    <n v="0"/>
    <m/>
    <m/>
    <n v="0"/>
    <m/>
    <m/>
    <n v="0"/>
    <m/>
    <m/>
    <n v="0"/>
    <m/>
    <m/>
    <n v="0"/>
    <m/>
    <m/>
    <n v="0"/>
    <m/>
    <m/>
    <n v="0"/>
    <n v="83"/>
    <n v="46132"/>
    <n v="3828956"/>
    <n v="83"/>
    <n v="55442"/>
    <n v="4601686"/>
    <m/>
    <m/>
    <n v="0"/>
    <m/>
    <m/>
    <n v="0"/>
    <m/>
    <m/>
    <n v="0"/>
    <m/>
    <m/>
    <n v="0"/>
    <m/>
    <m/>
    <n v="0"/>
    <m/>
    <m/>
    <n v="0"/>
    <m/>
    <m/>
    <n v="0"/>
    <m/>
    <m/>
    <n v="0"/>
    <m/>
    <m/>
    <n v="0"/>
    <m/>
    <m/>
    <n v="0"/>
    <m/>
    <m/>
    <n v="0"/>
    <m/>
    <m/>
    <n v="0"/>
  </r>
  <r>
    <x v="9"/>
    <s v="Coastal Carolina Community College "/>
    <m/>
    <n v="198330"/>
    <x v="7"/>
    <m/>
    <m/>
    <n v="0"/>
    <m/>
    <m/>
    <n v="0"/>
    <m/>
    <m/>
    <n v="0"/>
    <m/>
    <m/>
    <n v="0"/>
    <m/>
    <m/>
    <n v="0"/>
    <m/>
    <m/>
    <n v="0"/>
    <m/>
    <m/>
    <n v="0"/>
    <m/>
    <m/>
    <n v="0"/>
    <m/>
    <m/>
    <n v="0"/>
    <m/>
    <m/>
    <n v="0"/>
    <n v="134"/>
    <n v="42974"/>
    <n v="5758516"/>
    <n v="141"/>
    <n v="41857"/>
    <n v="5901837"/>
    <m/>
    <m/>
    <n v="0"/>
    <m/>
    <m/>
    <n v="0"/>
    <m/>
    <m/>
    <n v="0"/>
    <m/>
    <m/>
    <n v="0"/>
    <m/>
    <m/>
    <n v="0"/>
    <m/>
    <m/>
    <n v="0"/>
    <m/>
    <m/>
    <n v="0"/>
    <m/>
    <m/>
    <n v="0"/>
    <m/>
    <m/>
    <n v="0"/>
    <m/>
    <m/>
    <n v="0"/>
    <m/>
    <m/>
    <n v="0"/>
    <m/>
    <m/>
    <n v="0"/>
  </r>
  <r>
    <x v="9"/>
    <s v="Craven Community College "/>
    <m/>
    <n v="198367"/>
    <x v="7"/>
    <m/>
    <m/>
    <n v="0"/>
    <m/>
    <m/>
    <n v="0"/>
    <m/>
    <m/>
    <n v="0"/>
    <m/>
    <m/>
    <n v="0"/>
    <m/>
    <m/>
    <n v="0"/>
    <m/>
    <m/>
    <n v="0"/>
    <m/>
    <m/>
    <n v="0"/>
    <m/>
    <m/>
    <n v="0"/>
    <m/>
    <m/>
    <n v="0"/>
    <m/>
    <m/>
    <n v="0"/>
    <n v="77"/>
    <n v="43908"/>
    <n v="3380916"/>
    <n v="92"/>
    <n v="51508"/>
    <n v="4738736"/>
    <m/>
    <m/>
    <n v="0"/>
    <m/>
    <m/>
    <n v="0"/>
    <m/>
    <m/>
    <n v="0"/>
    <m/>
    <m/>
    <n v="0"/>
    <m/>
    <m/>
    <n v="0"/>
    <m/>
    <m/>
    <n v="0"/>
    <m/>
    <m/>
    <n v="0"/>
    <m/>
    <m/>
    <n v="0"/>
    <m/>
    <m/>
    <n v="0"/>
    <m/>
    <m/>
    <n v="0"/>
    <m/>
    <m/>
    <n v="0"/>
    <m/>
    <m/>
    <n v="0"/>
  </r>
  <r>
    <x v="9"/>
    <s v="Davidson County Community College "/>
    <m/>
    <n v="198376"/>
    <x v="7"/>
    <m/>
    <m/>
    <n v="0"/>
    <m/>
    <m/>
    <n v="0"/>
    <m/>
    <m/>
    <n v="0"/>
    <m/>
    <m/>
    <n v="0"/>
    <m/>
    <m/>
    <n v="0"/>
    <m/>
    <m/>
    <n v="0"/>
    <m/>
    <m/>
    <n v="0"/>
    <m/>
    <m/>
    <n v="0"/>
    <m/>
    <m/>
    <n v="0"/>
    <m/>
    <m/>
    <n v="0"/>
    <n v="85"/>
    <n v="47023"/>
    <n v="3996955"/>
    <n v="90"/>
    <n v="46692"/>
    <n v="4202280"/>
    <m/>
    <m/>
    <n v="0"/>
    <m/>
    <m/>
    <n v="0"/>
    <m/>
    <m/>
    <n v="0"/>
    <m/>
    <m/>
    <n v="0"/>
    <m/>
    <m/>
    <n v="0"/>
    <m/>
    <m/>
    <n v="0"/>
    <m/>
    <m/>
    <n v="0"/>
    <m/>
    <m/>
    <n v="0"/>
    <m/>
    <m/>
    <n v="0"/>
    <m/>
    <m/>
    <n v="0"/>
    <m/>
    <m/>
    <n v="0"/>
    <m/>
    <m/>
    <n v="0"/>
  </r>
  <r>
    <x v="9"/>
    <s v="Durham Technical Community College"/>
    <s v="Reclassified, meets the criteria for Two-Year 2."/>
    <n v="198455"/>
    <x v="7"/>
    <m/>
    <m/>
    <n v="0"/>
    <m/>
    <m/>
    <n v="0"/>
    <m/>
    <m/>
    <n v="0"/>
    <m/>
    <m/>
    <n v="0"/>
    <m/>
    <m/>
    <n v="0"/>
    <m/>
    <m/>
    <n v="0"/>
    <m/>
    <m/>
    <n v="0"/>
    <m/>
    <m/>
    <n v="0"/>
    <m/>
    <m/>
    <n v="0"/>
    <m/>
    <m/>
    <n v="0"/>
    <n v="151"/>
    <n v="53070"/>
    <n v="8013570"/>
    <n v="163"/>
    <n v="52676"/>
    <n v="8586188"/>
    <m/>
    <m/>
    <n v="0"/>
    <m/>
    <m/>
    <n v="0"/>
    <m/>
    <m/>
    <n v="0"/>
    <m/>
    <m/>
    <n v="0"/>
    <m/>
    <m/>
    <n v="0"/>
    <m/>
    <m/>
    <n v="0"/>
    <m/>
    <m/>
    <n v="0"/>
    <m/>
    <m/>
    <n v="0"/>
    <m/>
    <m/>
    <n v="0"/>
    <m/>
    <m/>
    <n v="0"/>
    <m/>
    <m/>
    <n v="0"/>
    <m/>
    <m/>
    <n v="0"/>
  </r>
  <r>
    <x v="9"/>
    <s v="Edgecombe Community College"/>
    <m/>
    <n v="198491"/>
    <x v="7"/>
    <m/>
    <m/>
    <n v="0"/>
    <m/>
    <m/>
    <n v="0"/>
    <m/>
    <m/>
    <n v="0"/>
    <m/>
    <m/>
    <n v="0"/>
    <m/>
    <m/>
    <n v="0"/>
    <m/>
    <m/>
    <n v="0"/>
    <m/>
    <m/>
    <n v="0"/>
    <m/>
    <m/>
    <n v="0"/>
    <m/>
    <m/>
    <n v="0"/>
    <m/>
    <m/>
    <n v="0"/>
    <n v="71"/>
    <n v="42264"/>
    <n v="3000744"/>
    <n v="93"/>
    <n v="44337"/>
    <n v="4123341"/>
    <m/>
    <m/>
    <n v="0"/>
    <m/>
    <m/>
    <n v="0"/>
    <m/>
    <m/>
    <n v="0"/>
    <m/>
    <m/>
    <n v="0"/>
    <m/>
    <m/>
    <n v="0"/>
    <m/>
    <m/>
    <n v="0"/>
    <m/>
    <m/>
    <n v="0"/>
    <m/>
    <m/>
    <n v="0"/>
    <m/>
    <m/>
    <n v="0"/>
    <m/>
    <m/>
    <n v="0"/>
    <m/>
    <m/>
    <n v="0"/>
    <m/>
    <m/>
    <n v="0"/>
  </r>
  <r>
    <x v="9"/>
    <s v="Haywood Community College"/>
    <m/>
    <n v="198668"/>
    <x v="7"/>
    <m/>
    <m/>
    <n v="0"/>
    <m/>
    <m/>
    <n v="0"/>
    <m/>
    <m/>
    <n v="0"/>
    <m/>
    <m/>
    <n v="0"/>
    <m/>
    <m/>
    <n v="0"/>
    <m/>
    <m/>
    <n v="0"/>
    <m/>
    <m/>
    <n v="0"/>
    <m/>
    <m/>
    <n v="0"/>
    <m/>
    <m/>
    <n v="0"/>
    <m/>
    <m/>
    <n v="0"/>
    <n v="70"/>
    <n v="48111"/>
    <n v="3367770"/>
    <n v="79"/>
    <n v="47429"/>
    <n v="3746891"/>
    <m/>
    <m/>
    <n v="0"/>
    <m/>
    <m/>
    <n v="0"/>
    <m/>
    <m/>
    <n v="0"/>
    <m/>
    <m/>
    <n v="0"/>
    <m/>
    <m/>
    <n v="0"/>
    <m/>
    <m/>
    <n v="0"/>
    <m/>
    <m/>
    <n v="0"/>
    <m/>
    <m/>
    <n v="0"/>
    <m/>
    <m/>
    <n v="0"/>
    <m/>
    <m/>
    <n v="0"/>
    <m/>
    <m/>
    <n v="0"/>
    <m/>
    <m/>
    <n v="0"/>
  </r>
  <r>
    <x v="9"/>
    <s v="Isothermal Community College "/>
    <m/>
    <n v="198710"/>
    <x v="7"/>
    <m/>
    <m/>
    <n v="0"/>
    <m/>
    <m/>
    <n v="0"/>
    <m/>
    <m/>
    <n v="0"/>
    <m/>
    <m/>
    <n v="0"/>
    <m/>
    <m/>
    <n v="0"/>
    <m/>
    <m/>
    <n v="0"/>
    <m/>
    <m/>
    <n v="0"/>
    <m/>
    <m/>
    <n v="0"/>
    <m/>
    <m/>
    <n v="0"/>
    <m/>
    <m/>
    <n v="0"/>
    <n v="67"/>
    <n v="45307"/>
    <n v="3035569"/>
    <n v="68"/>
    <n v="51838"/>
    <n v="3524984"/>
    <m/>
    <m/>
    <n v="0"/>
    <m/>
    <m/>
    <n v="0"/>
    <m/>
    <m/>
    <n v="0"/>
    <m/>
    <m/>
    <n v="0"/>
    <m/>
    <m/>
    <n v="0"/>
    <m/>
    <m/>
    <n v="0"/>
    <m/>
    <m/>
    <n v="0"/>
    <m/>
    <m/>
    <n v="0"/>
    <m/>
    <m/>
    <n v="0"/>
    <m/>
    <m/>
    <n v="0"/>
    <m/>
    <m/>
    <n v="0"/>
    <m/>
    <m/>
    <n v="0"/>
  </r>
  <r>
    <x v="9"/>
    <s v="Johnston Community College"/>
    <m/>
    <n v="198774"/>
    <x v="7"/>
    <m/>
    <m/>
    <n v="0"/>
    <m/>
    <m/>
    <n v="0"/>
    <m/>
    <m/>
    <n v="0"/>
    <m/>
    <m/>
    <n v="0"/>
    <m/>
    <m/>
    <n v="0"/>
    <m/>
    <m/>
    <n v="0"/>
    <m/>
    <m/>
    <n v="0"/>
    <m/>
    <m/>
    <n v="0"/>
    <m/>
    <m/>
    <n v="0"/>
    <m/>
    <m/>
    <n v="0"/>
    <n v="137"/>
    <n v="58063"/>
    <n v="7954631"/>
    <n v="127"/>
    <n v="60884"/>
    <n v="7732268"/>
    <m/>
    <m/>
    <n v="0"/>
    <m/>
    <m/>
    <n v="0"/>
    <m/>
    <m/>
    <n v="0"/>
    <m/>
    <m/>
    <n v="0"/>
    <m/>
    <m/>
    <n v="0"/>
    <m/>
    <m/>
    <n v="0"/>
    <m/>
    <m/>
    <n v="0"/>
    <m/>
    <m/>
    <n v="0"/>
    <m/>
    <m/>
    <n v="0"/>
    <m/>
    <m/>
    <n v="0"/>
    <m/>
    <m/>
    <n v="0"/>
    <m/>
    <m/>
    <n v="0"/>
  </r>
  <r>
    <x v="9"/>
    <s v="Lenoir Community College "/>
    <m/>
    <n v="198817"/>
    <x v="7"/>
    <m/>
    <m/>
    <n v="0"/>
    <m/>
    <m/>
    <n v="0"/>
    <m/>
    <m/>
    <n v="0"/>
    <m/>
    <m/>
    <n v="0"/>
    <m/>
    <m/>
    <n v="0"/>
    <m/>
    <m/>
    <n v="0"/>
    <m/>
    <m/>
    <n v="0"/>
    <m/>
    <m/>
    <n v="0"/>
    <m/>
    <m/>
    <n v="0"/>
    <m/>
    <m/>
    <n v="0"/>
    <n v="106"/>
    <n v="43831"/>
    <n v="4646086"/>
    <n v="109"/>
    <n v="44658"/>
    <n v="4867722"/>
    <m/>
    <m/>
    <n v="0"/>
    <m/>
    <m/>
    <n v="0"/>
    <m/>
    <m/>
    <n v="0"/>
    <m/>
    <m/>
    <n v="0"/>
    <m/>
    <m/>
    <n v="0"/>
    <m/>
    <m/>
    <n v="0"/>
    <m/>
    <m/>
    <n v="0"/>
    <m/>
    <m/>
    <n v="0"/>
    <m/>
    <m/>
    <n v="0"/>
    <m/>
    <m/>
    <n v="0"/>
    <m/>
    <m/>
    <n v="0"/>
    <m/>
    <m/>
    <n v="0"/>
  </r>
  <r>
    <x v="9"/>
    <s v="Mitchell Community College "/>
    <m/>
    <n v="198987"/>
    <x v="7"/>
    <m/>
    <m/>
    <n v="0"/>
    <m/>
    <m/>
    <n v="0"/>
    <m/>
    <m/>
    <n v="0"/>
    <m/>
    <m/>
    <n v="0"/>
    <m/>
    <m/>
    <n v="0"/>
    <m/>
    <m/>
    <n v="0"/>
    <m/>
    <m/>
    <n v="0"/>
    <m/>
    <m/>
    <n v="0"/>
    <m/>
    <m/>
    <n v="0"/>
    <m/>
    <m/>
    <n v="0"/>
    <n v="76"/>
    <n v="48316"/>
    <n v="3672016"/>
    <n v="92"/>
    <n v="48179"/>
    <n v="4432468"/>
    <m/>
    <m/>
    <n v="0"/>
    <m/>
    <m/>
    <n v="0"/>
    <m/>
    <m/>
    <n v="0"/>
    <m/>
    <m/>
    <n v="0"/>
    <m/>
    <m/>
    <n v="0"/>
    <m/>
    <m/>
    <n v="0"/>
    <m/>
    <m/>
    <n v="0"/>
    <m/>
    <m/>
    <n v="0"/>
    <m/>
    <m/>
    <n v="0"/>
    <m/>
    <m/>
    <n v="0"/>
    <m/>
    <m/>
    <n v="0"/>
    <m/>
    <m/>
    <n v="0"/>
  </r>
  <r>
    <x v="9"/>
    <s v="Nash Community College"/>
    <m/>
    <n v="199087"/>
    <x v="7"/>
    <m/>
    <m/>
    <n v="0"/>
    <m/>
    <m/>
    <n v="0"/>
    <m/>
    <m/>
    <n v="0"/>
    <m/>
    <m/>
    <n v="0"/>
    <m/>
    <m/>
    <n v="0"/>
    <m/>
    <m/>
    <n v="0"/>
    <m/>
    <m/>
    <n v="0"/>
    <m/>
    <m/>
    <n v="0"/>
    <m/>
    <m/>
    <n v="0"/>
    <m/>
    <m/>
    <n v="0"/>
    <n v="103"/>
    <n v="43834"/>
    <n v="4514902"/>
    <n v="103"/>
    <n v="44328"/>
    <n v="4565784"/>
    <m/>
    <m/>
    <n v="0"/>
    <m/>
    <m/>
    <n v="0"/>
    <m/>
    <m/>
    <n v="0"/>
    <m/>
    <m/>
    <n v="0"/>
    <m/>
    <m/>
    <n v="0"/>
    <m/>
    <m/>
    <n v="0"/>
    <m/>
    <m/>
    <n v="0"/>
    <m/>
    <m/>
    <n v="0"/>
    <m/>
    <m/>
    <n v="0"/>
    <m/>
    <m/>
    <n v="0"/>
    <m/>
    <m/>
    <n v="0"/>
    <m/>
    <m/>
    <n v="0"/>
  </r>
  <r>
    <x v="9"/>
    <s v="Randolph Community College"/>
    <m/>
    <n v="199421"/>
    <x v="7"/>
    <m/>
    <m/>
    <n v="0"/>
    <m/>
    <m/>
    <n v="0"/>
    <m/>
    <m/>
    <n v="0"/>
    <m/>
    <m/>
    <n v="0"/>
    <m/>
    <m/>
    <n v="0"/>
    <m/>
    <m/>
    <n v="0"/>
    <m/>
    <m/>
    <n v="0"/>
    <m/>
    <m/>
    <n v="0"/>
    <m/>
    <m/>
    <n v="0"/>
    <m/>
    <m/>
    <n v="0"/>
    <n v="60"/>
    <n v="43062"/>
    <n v="2583720"/>
    <n v="89"/>
    <n v="42243"/>
    <n v="3759627"/>
    <m/>
    <m/>
    <n v="0"/>
    <m/>
    <m/>
    <n v="0"/>
    <m/>
    <m/>
    <n v="0"/>
    <m/>
    <m/>
    <n v="0"/>
    <m/>
    <m/>
    <n v="0"/>
    <m/>
    <m/>
    <n v="0"/>
    <m/>
    <m/>
    <n v="0"/>
    <m/>
    <m/>
    <n v="0"/>
    <m/>
    <m/>
    <n v="0"/>
    <m/>
    <m/>
    <n v="0"/>
    <m/>
    <m/>
    <n v="0"/>
    <m/>
    <m/>
    <n v="0"/>
  </r>
  <r>
    <x v="9"/>
    <s v="Robeson Community College"/>
    <m/>
    <n v="199476"/>
    <x v="7"/>
    <m/>
    <m/>
    <n v="0"/>
    <m/>
    <m/>
    <n v="0"/>
    <m/>
    <m/>
    <n v="0"/>
    <m/>
    <m/>
    <n v="0"/>
    <m/>
    <m/>
    <n v="0"/>
    <m/>
    <m/>
    <n v="0"/>
    <m/>
    <m/>
    <n v="0"/>
    <m/>
    <m/>
    <n v="0"/>
    <m/>
    <m/>
    <n v="0"/>
    <m/>
    <m/>
    <n v="0"/>
    <n v="88"/>
    <n v="50857"/>
    <n v="4475416"/>
    <n v="96"/>
    <n v="50206"/>
    <n v="4819776"/>
    <m/>
    <m/>
    <n v="0"/>
    <m/>
    <m/>
    <n v="0"/>
    <m/>
    <m/>
    <n v="0"/>
    <m/>
    <m/>
    <n v="0"/>
    <m/>
    <m/>
    <n v="0"/>
    <m/>
    <m/>
    <n v="0"/>
    <m/>
    <m/>
    <n v="0"/>
    <m/>
    <m/>
    <n v="0"/>
    <m/>
    <m/>
    <n v="0"/>
    <m/>
    <m/>
    <n v="0"/>
    <m/>
    <m/>
    <n v="0"/>
    <m/>
    <m/>
    <n v="0"/>
  </r>
  <r>
    <x v="9"/>
    <s v="Sandhills Community College "/>
    <m/>
    <n v="199634"/>
    <x v="7"/>
    <m/>
    <m/>
    <n v="0"/>
    <m/>
    <m/>
    <n v="0"/>
    <m/>
    <m/>
    <n v="0"/>
    <m/>
    <m/>
    <n v="0"/>
    <m/>
    <m/>
    <n v="0"/>
    <m/>
    <m/>
    <n v="0"/>
    <m/>
    <m/>
    <n v="0"/>
    <m/>
    <m/>
    <n v="0"/>
    <m/>
    <m/>
    <n v="0"/>
    <m/>
    <m/>
    <n v="0"/>
    <n v="129"/>
    <n v="49181"/>
    <n v="6344349"/>
    <n v="145"/>
    <n v="48625"/>
    <n v="7050625"/>
    <m/>
    <m/>
    <n v="0"/>
    <m/>
    <m/>
    <n v="0"/>
    <m/>
    <m/>
    <n v="0"/>
    <m/>
    <m/>
    <n v="0"/>
    <m/>
    <m/>
    <n v="0"/>
    <m/>
    <m/>
    <n v="0"/>
    <m/>
    <m/>
    <n v="0"/>
    <m/>
    <m/>
    <n v="0"/>
    <m/>
    <m/>
    <n v="0"/>
    <m/>
    <m/>
    <n v="0"/>
    <m/>
    <m/>
    <n v="0"/>
    <m/>
    <m/>
    <n v="0"/>
  </r>
  <r>
    <x v="9"/>
    <s v="Stanly Community College"/>
    <m/>
    <n v="199740"/>
    <x v="7"/>
    <m/>
    <m/>
    <n v="0"/>
    <m/>
    <m/>
    <n v="0"/>
    <m/>
    <m/>
    <n v="0"/>
    <m/>
    <m/>
    <n v="0"/>
    <m/>
    <m/>
    <n v="0"/>
    <m/>
    <m/>
    <n v="0"/>
    <m/>
    <m/>
    <n v="0"/>
    <m/>
    <m/>
    <n v="0"/>
    <m/>
    <m/>
    <n v="0"/>
    <m/>
    <m/>
    <n v="0"/>
    <n v="94"/>
    <n v="44142"/>
    <n v="4149348"/>
    <n v="102"/>
    <n v="43544"/>
    <n v="4441488"/>
    <m/>
    <m/>
    <n v="0"/>
    <m/>
    <m/>
    <n v="0"/>
    <m/>
    <m/>
    <n v="0"/>
    <m/>
    <m/>
    <n v="0"/>
    <m/>
    <m/>
    <n v="0"/>
    <m/>
    <m/>
    <n v="0"/>
    <m/>
    <m/>
    <n v="0"/>
    <m/>
    <m/>
    <n v="0"/>
    <m/>
    <m/>
    <n v="0"/>
    <m/>
    <m/>
    <n v="0"/>
    <m/>
    <m/>
    <n v="0"/>
    <m/>
    <m/>
    <n v="0"/>
  </r>
  <r>
    <x v="9"/>
    <s v="Surry Community College "/>
    <m/>
    <n v="199768"/>
    <x v="7"/>
    <m/>
    <m/>
    <n v="0"/>
    <m/>
    <m/>
    <n v="0"/>
    <m/>
    <m/>
    <n v="0"/>
    <m/>
    <m/>
    <n v="0"/>
    <m/>
    <m/>
    <n v="0"/>
    <m/>
    <m/>
    <n v="0"/>
    <m/>
    <m/>
    <n v="0"/>
    <m/>
    <m/>
    <n v="0"/>
    <m/>
    <m/>
    <n v="0"/>
    <m/>
    <m/>
    <n v="0"/>
    <n v="104"/>
    <n v="48207"/>
    <n v="5013528"/>
    <n v="104"/>
    <n v="47175"/>
    <n v="4906200"/>
    <m/>
    <m/>
    <n v="0"/>
    <m/>
    <m/>
    <n v="0"/>
    <m/>
    <m/>
    <n v="0"/>
    <m/>
    <m/>
    <n v="0"/>
    <m/>
    <m/>
    <n v="0"/>
    <m/>
    <m/>
    <n v="0"/>
    <m/>
    <m/>
    <n v="0"/>
    <m/>
    <m/>
    <n v="0"/>
    <m/>
    <m/>
    <n v="0"/>
    <m/>
    <m/>
    <n v="0"/>
    <m/>
    <m/>
    <n v="0"/>
    <m/>
    <m/>
    <n v="0"/>
  </r>
  <r>
    <x v="9"/>
    <s v="Vance-Granville Community College "/>
    <m/>
    <n v="199838"/>
    <x v="7"/>
    <m/>
    <m/>
    <n v="0"/>
    <m/>
    <m/>
    <n v="0"/>
    <m/>
    <m/>
    <n v="0"/>
    <m/>
    <m/>
    <n v="0"/>
    <m/>
    <m/>
    <n v="0"/>
    <m/>
    <m/>
    <n v="0"/>
    <m/>
    <m/>
    <n v="0"/>
    <m/>
    <m/>
    <n v="0"/>
    <m/>
    <m/>
    <n v="0"/>
    <m/>
    <m/>
    <n v="0"/>
    <n v="144"/>
    <n v="44252"/>
    <n v="6372288"/>
    <n v="137"/>
    <n v="43856"/>
    <n v="6008272"/>
    <m/>
    <m/>
    <n v="0"/>
    <m/>
    <m/>
    <n v="0"/>
    <m/>
    <m/>
    <n v="0"/>
    <m/>
    <m/>
    <n v="0"/>
    <m/>
    <m/>
    <n v="0"/>
    <m/>
    <m/>
    <n v="0"/>
    <m/>
    <m/>
    <n v="0"/>
    <m/>
    <m/>
    <n v="0"/>
    <m/>
    <m/>
    <n v="0"/>
    <m/>
    <m/>
    <n v="0"/>
    <m/>
    <m/>
    <n v="0"/>
    <m/>
    <m/>
    <n v="0"/>
  </r>
  <r>
    <x v="9"/>
    <s v="Wayne Community College"/>
    <m/>
    <n v="199892"/>
    <x v="7"/>
    <m/>
    <m/>
    <n v="0"/>
    <m/>
    <m/>
    <n v="0"/>
    <m/>
    <m/>
    <n v="0"/>
    <m/>
    <m/>
    <n v="0"/>
    <m/>
    <m/>
    <n v="0"/>
    <m/>
    <m/>
    <n v="0"/>
    <m/>
    <m/>
    <n v="0"/>
    <m/>
    <m/>
    <n v="0"/>
    <m/>
    <m/>
    <n v="0"/>
    <m/>
    <m/>
    <n v="0"/>
    <n v="124"/>
    <n v="43961"/>
    <n v="5451164"/>
    <n v="125"/>
    <n v="44540"/>
    <n v="5567500"/>
    <m/>
    <m/>
    <n v="0"/>
    <m/>
    <m/>
    <n v="0"/>
    <m/>
    <m/>
    <n v="0"/>
    <m/>
    <m/>
    <n v="0"/>
    <m/>
    <m/>
    <n v="0"/>
    <m/>
    <m/>
    <n v="0"/>
    <m/>
    <m/>
    <n v="0"/>
    <m/>
    <m/>
    <n v="0"/>
    <m/>
    <m/>
    <n v="0"/>
    <m/>
    <m/>
    <n v="0"/>
    <m/>
    <m/>
    <n v="0"/>
    <m/>
    <m/>
    <n v="0"/>
  </r>
  <r>
    <x v="9"/>
    <s v="Western Piedmont Community College "/>
    <m/>
    <n v="199908"/>
    <x v="7"/>
    <m/>
    <m/>
    <n v="0"/>
    <m/>
    <m/>
    <n v="0"/>
    <m/>
    <m/>
    <n v="0"/>
    <m/>
    <m/>
    <n v="0"/>
    <m/>
    <m/>
    <n v="0"/>
    <m/>
    <m/>
    <n v="0"/>
    <m/>
    <m/>
    <n v="0"/>
    <m/>
    <m/>
    <n v="0"/>
    <m/>
    <m/>
    <n v="0"/>
    <m/>
    <m/>
    <n v="0"/>
    <n v="75"/>
    <n v="49691"/>
    <n v="3726825"/>
    <n v="78"/>
    <n v="49442"/>
    <n v="3856476"/>
    <m/>
    <m/>
    <n v="0"/>
    <m/>
    <m/>
    <n v="0"/>
    <m/>
    <m/>
    <n v="0"/>
    <m/>
    <m/>
    <n v="0"/>
    <m/>
    <m/>
    <n v="0"/>
    <m/>
    <m/>
    <n v="0"/>
    <m/>
    <m/>
    <n v="0"/>
    <m/>
    <m/>
    <n v="0"/>
    <m/>
    <m/>
    <n v="0"/>
    <m/>
    <m/>
    <n v="0"/>
    <m/>
    <m/>
    <n v="0"/>
    <m/>
    <m/>
    <n v="0"/>
  </r>
  <r>
    <x v="9"/>
    <s v="Wilkes Community College "/>
    <m/>
    <n v="199926"/>
    <x v="7"/>
    <m/>
    <m/>
    <n v="0"/>
    <m/>
    <m/>
    <n v="0"/>
    <m/>
    <m/>
    <n v="0"/>
    <m/>
    <m/>
    <n v="0"/>
    <m/>
    <m/>
    <n v="0"/>
    <m/>
    <m/>
    <n v="0"/>
    <m/>
    <m/>
    <n v="0"/>
    <m/>
    <m/>
    <n v="0"/>
    <m/>
    <m/>
    <n v="0"/>
    <m/>
    <m/>
    <n v="0"/>
    <n v="76"/>
    <n v="46632"/>
    <n v="3544032"/>
    <n v="84"/>
    <n v="47128"/>
    <n v="3958752"/>
    <m/>
    <m/>
    <n v="0"/>
    <m/>
    <m/>
    <n v="0"/>
    <m/>
    <m/>
    <n v="0"/>
    <m/>
    <m/>
    <n v="0"/>
    <m/>
    <m/>
    <n v="0"/>
    <m/>
    <m/>
    <n v="0"/>
    <m/>
    <m/>
    <n v="0"/>
    <m/>
    <m/>
    <n v="0"/>
    <m/>
    <m/>
    <n v="0"/>
    <m/>
    <m/>
    <n v="0"/>
    <m/>
    <m/>
    <n v="0"/>
    <m/>
    <m/>
    <n v="0"/>
  </r>
  <r>
    <x v="9"/>
    <s v="Beaufort County Community College "/>
    <m/>
    <n v="197966"/>
    <x v="8"/>
    <m/>
    <m/>
    <n v="0"/>
    <m/>
    <m/>
    <n v="0"/>
    <m/>
    <m/>
    <n v="0"/>
    <m/>
    <m/>
    <n v="0"/>
    <m/>
    <m/>
    <n v="0"/>
    <m/>
    <m/>
    <n v="0"/>
    <m/>
    <m/>
    <n v="0"/>
    <m/>
    <m/>
    <n v="0"/>
    <m/>
    <m/>
    <n v="0"/>
    <m/>
    <m/>
    <n v="0"/>
    <n v="59"/>
    <n v="45745"/>
    <n v="2698955"/>
    <n v="64"/>
    <n v="45007"/>
    <n v="2880448"/>
    <m/>
    <m/>
    <n v="0"/>
    <m/>
    <m/>
    <n v="0"/>
    <m/>
    <m/>
    <n v="0"/>
    <m/>
    <m/>
    <n v="0"/>
    <m/>
    <m/>
    <n v="0"/>
    <m/>
    <m/>
    <n v="0"/>
    <m/>
    <m/>
    <n v="0"/>
    <m/>
    <m/>
    <n v="0"/>
    <m/>
    <m/>
    <n v="0"/>
    <m/>
    <m/>
    <n v="0"/>
    <m/>
    <m/>
    <n v="0"/>
    <m/>
    <m/>
    <n v="0"/>
  </r>
  <r>
    <x v="9"/>
    <s v="Bladen Community College"/>
    <m/>
    <n v="198011"/>
    <x v="8"/>
    <m/>
    <m/>
    <n v="0"/>
    <m/>
    <m/>
    <n v="0"/>
    <m/>
    <m/>
    <n v="0"/>
    <m/>
    <m/>
    <n v="0"/>
    <m/>
    <m/>
    <n v="0"/>
    <m/>
    <m/>
    <n v="0"/>
    <m/>
    <m/>
    <n v="0"/>
    <m/>
    <m/>
    <n v="0"/>
    <m/>
    <m/>
    <n v="0"/>
    <m/>
    <m/>
    <n v="0"/>
    <n v="43"/>
    <n v="48259"/>
    <n v="2075137"/>
    <n v="46"/>
    <n v="60218"/>
    <n v="2770028"/>
    <m/>
    <m/>
    <n v="0"/>
    <m/>
    <m/>
    <n v="0"/>
    <m/>
    <m/>
    <n v="0"/>
    <m/>
    <m/>
    <n v="0"/>
    <m/>
    <m/>
    <n v="0"/>
    <m/>
    <m/>
    <n v="0"/>
    <m/>
    <m/>
    <n v="0"/>
    <m/>
    <m/>
    <n v="0"/>
    <m/>
    <m/>
    <n v="0"/>
    <m/>
    <m/>
    <n v="0"/>
    <m/>
    <m/>
    <n v="0"/>
    <m/>
    <m/>
    <n v="0"/>
  </r>
  <r>
    <x v="9"/>
    <s v="Blue Ridge Community College"/>
    <s v="Reclassified, meets the criteria for Two-Year 3."/>
    <n v="198039"/>
    <x v="8"/>
    <m/>
    <m/>
    <n v="0"/>
    <m/>
    <m/>
    <n v="0"/>
    <m/>
    <m/>
    <n v="0"/>
    <m/>
    <m/>
    <n v="0"/>
    <m/>
    <m/>
    <n v="0"/>
    <m/>
    <m/>
    <n v="0"/>
    <m/>
    <m/>
    <n v="0"/>
    <m/>
    <m/>
    <n v="0"/>
    <m/>
    <m/>
    <n v="0"/>
    <m/>
    <m/>
    <n v="0"/>
    <n v="70"/>
    <n v="51515"/>
    <n v="3606050"/>
    <n v="72"/>
    <n v="41806"/>
    <n v="3010032"/>
    <m/>
    <m/>
    <n v="0"/>
    <m/>
    <m/>
    <n v="0"/>
    <m/>
    <m/>
    <n v="0"/>
    <m/>
    <m/>
    <n v="0"/>
    <m/>
    <m/>
    <n v="0"/>
    <m/>
    <m/>
    <n v="0"/>
    <m/>
    <m/>
    <n v="0"/>
    <m/>
    <m/>
    <n v="0"/>
    <m/>
    <m/>
    <n v="0"/>
    <m/>
    <m/>
    <n v="0"/>
    <m/>
    <m/>
    <n v="0"/>
    <m/>
    <m/>
    <n v="0"/>
  </r>
  <r>
    <x v="9"/>
    <s v="Brunswick Community College"/>
    <m/>
    <n v="198084"/>
    <x v="8"/>
    <m/>
    <m/>
    <n v="0"/>
    <m/>
    <m/>
    <n v="0"/>
    <m/>
    <m/>
    <n v="0"/>
    <m/>
    <m/>
    <n v="0"/>
    <m/>
    <m/>
    <n v="0"/>
    <m/>
    <m/>
    <n v="0"/>
    <m/>
    <m/>
    <n v="0"/>
    <m/>
    <m/>
    <n v="0"/>
    <m/>
    <m/>
    <n v="0"/>
    <m/>
    <m/>
    <n v="0"/>
    <n v="49"/>
    <n v="35983"/>
    <n v="1763167"/>
    <n v="53"/>
    <n v="35325"/>
    <n v="1872225"/>
    <m/>
    <m/>
    <n v="0"/>
    <m/>
    <m/>
    <n v="0"/>
    <m/>
    <m/>
    <n v="0"/>
    <m/>
    <m/>
    <n v="0"/>
    <m/>
    <m/>
    <n v="0"/>
    <m/>
    <m/>
    <n v="0"/>
    <m/>
    <m/>
    <n v="0"/>
    <m/>
    <m/>
    <n v="0"/>
    <m/>
    <m/>
    <n v="0"/>
    <m/>
    <m/>
    <n v="0"/>
    <m/>
    <m/>
    <n v="0"/>
    <m/>
    <m/>
    <n v="0"/>
  </r>
  <r>
    <x v="9"/>
    <s v="Carteret Community College"/>
    <m/>
    <n v="198206"/>
    <x v="8"/>
    <m/>
    <m/>
    <n v="0"/>
    <m/>
    <m/>
    <n v="0"/>
    <m/>
    <m/>
    <n v="0"/>
    <m/>
    <m/>
    <n v="0"/>
    <m/>
    <m/>
    <n v="0"/>
    <m/>
    <m/>
    <n v="0"/>
    <m/>
    <m/>
    <n v="0"/>
    <m/>
    <m/>
    <n v="0"/>
    <m/>
    <m/>
    <n v="0"/>
    <m/>
    <m/>
    <n v="0"/>
    <n v="66"/>
    <n v="44964"/>
    <n v="2967624"/>
    <n v="60"/>
    <n v="44773"/>
    <n v="2686380"/>
    <m/>
    <m/>
    <n v="0"/>
    <m/>
    <m/>
    <n v="0"/>
    <m/>
    <m/>
    <n v="0"/>
    <m/>
    <m/>
    <n v="0"/>
    <m/>
    <m/>
    <n v="0"/>
    <m/>
    <m/>
    <n v="0"/>
    <m/>
    <m/>
    <n v="0"/>
    <m/>
    <m/>
    <n v="0"/>
    <m/>
    <m/>
    <n v="0"/>
    <m/>
    <m/>
    <n v="0"/>
    <m/>
    <m/>
    <n v="0"/>
    <m/>
    <m/>
    <n v="0"/>
  </r>
  <r>
    <x v="9"/>
    <s v="College of the Albemarle"/>
    <s v="Reclassified, meets the criteria for Two-Year 3."/>
    <n v="197814"/>
    <x v="8"/>
    <m/>
    <m/>
    <n v="0"/>
    <m/>
    <m/>
    <n v="0"/>
    <m/>
    <m/>
    <n v="0"/>
    <m/>
    <m/>
    <n v="0"/>
    <m/>
    <m/>
    <n v="0"/>
    <m/>
    <m/>
    <n v="0"/>
    <m/>
    <m/>
    <n v="0"/>
    <m/>
    <m/>
    <n v="0"/>
    <m/>
    <m/>
    <n v="0"/>
    <m/>
    <m/>
    <n v="0"/>
    <n v="84"/>
    <n v="41976"/>
    <n v="3525984"/>
    <n v="84"/>
    <n v="42517"/>
    <n v="3571428"/>
    <m/>
    <m/>
    <n v="0"/>
    <m/>
    <m/>
    <n v="0"/>
    <m/>
    <m/>
    <n v="0"/>
    <m/>
    <m/>
    <n v="0"/>
    <m/>
    <m/>
    <n v="0"/>
    <m/>
    <m/>
    <n v="0"/>
    <m/>
    <m/>
    <n v="0"/>
    <m/>
    <m/>
    <n v="0"/>
    <m/>
    <m/>
    <n v="0"/>
    <m/>
    <m/>
    <n v="0"/>
    <m/>
    <m/>
    <n v="0"/>
    <m/>
    <m/>
    <n v="0"/>
  </r>
  <r>
    <x v="9"/>
    <s v="Halifax Community College "/>
    <m/>
    <n v="198640"/>
    <x v="8"/>
    <m/>
    <m/>
    <n v="0"/>
    <m/>
    <m/>
    <n v="0"/>
    <m/>
    <m/>
    <n v="0"/>
    <m/>
    <m/>
    <n v="0"/>
    <m/>
    <m/>
    <n v="0"/>
    <m/>
    <m/>
    <n v="0"/>
    <m/>
    <m/>
    <n v="0"/>
    <m/>
    <m/>
    <n v="0"/>
    <m/>
    <m/>
    <n v="0"/>
    <m/>
    <m/>
    <n v="0"/>
    <n v="66"/>
    <n v="44425"/>
    <n v="2932050"/>
    <n v="64"/>
    <n v="44620"/>
    <n v="2855680"/>
    <m/>
    <m/>
    <n v="0"/>
    <m/>
    <m/>
    <n v="0"/>
    <m/>
    <m/>
    <n v="0"/>
    <m/>
    <m/>
    <n v="0"/>
    <m/>
    <m/>
    <n v="0"/>
    <m/>
    <m/>
    <n v="0"/>
    <m/>
    <m/>
    <n v="0"/>
    <m/>
    <m/>
    <n v="0"/>
    <m/>
    <m/>
    <n v="0"/>
    <m/>
    <m/>
    <n v="0"/>
    <m/>
    <m/>
    <n v="0"/>
    <m/>
    <m/>
    <n v="0"/>
  </r>
  <r>
    <x v="9"/>
    <s v="James Sprunt Community College"/>
    <m/>
    <n v="198729"/>
    <x v="8"/>
    <m/>
    <m/>
    <n v="0"/>
    <m/>
    <m/>
    <n v="0"/>
    <m/>
    <m/>
    <n v="0"/>
    <m/>
    <m/>
    <n v="0"/>
    <m/>
    <m/>
    <n v="0"/>
    <m/>
    <m/>
    <n v="0"/>
    <m/>
    <m/>
    <n v="0"/>
    <m/>
    <m/>
    <n v="0"/>
    <m/>
    <m/>
    <n v="0"/>
    <m/>
    <m/>
    <n v="0"/>
    <n v="58"/>
    <n v="42858"/>
    <n v="2485764"/>
    <n v="58"/>
    <n v="41645"/>
    <n v="2415410"/>
    <m/>
    <m/>
    <n v="0"/>
    <m/>
    <m/>
    <n v="0"/>
    <m/>
    <m/>
    <n v="0"/>
    <m/>
    <m/>
    <n v="0"/>
    <m/>
    <m/>
    <n v="0"/>
    <m/>
    <m/>
    <n v="0"/>
    <m/>
    <m/>
    <n v="0"/>
    <m/>
    <m/>
    <n v="0"/>
    <m/>
    <m/>
    <n v="0"/>
    <m/>
    <m/>
    <n v="0"/>
    <m/>
    <m/>
    <n v="0"/>
    <m/>
    <m/>
    <n v="0"/>
  </r>
  <r>
    <x v="9"/>
    <s v="Martin Community College "/>
    <m/>
    <n v="198905"/>
    <x v="8"/>
    <m/>
    <m/>
    <n v="0"/>
    <m/>
    <m/>
    <n v="0"/>
    <m/>
    <m/>
    <n v="0"/>
    <m/>
    <m/>
    <n v="0"/>
    <m/>
    <m/>
    <n v="0"/>
    <m/>
    <m/>
    <n v="0"/>
    <m/>
    <m/>
    <n v="0"/>
    <m/>
    <m/>
    <n v="0"/>
    <m/>
    <m/>
    <n v="0"/>
    <m/>
    <m/>
    <n v="0"/>
    <n v="27"/>
    <n v="41728"/>
    <n v="1126656"/>
    <n v="23"/>
    <n v="42865"/>
    <n v="985895"/>
    <m/>
    <m/>
    <n v="0"/>
    <m/>
    <m/>
    <n v="0"/>
    <m/>
    <m/>
    <n v="0"/>
    <m/>
    <m/>
    <n v="0"/>
    <m/>
    <m/>
    <n v="0"/>
    <m/>
    <m/>
    <n v="0"/>
    <m/>
    <m/>
    <n v="0"/>
    <m/>
    <m/>
    <n v="0"/>
    <m/>
    <m/>
    <n v="0"/>
    <m/>
    <m/>
    <n v="0"/>
    <m/>
    <m/>
    <n v="0"/>
    <m/>
    <m/>
    <n v="0"/>
  </r>
  <r>
    <x v="9"/>
    <s v="Mayland Community College"/>
    <s v="Reclassified, meets the criteria for Two-Year 3."/>
    <n v="198914"/>
    <x v="8"/>
    <m/>
    <m/>
    <n v="0"/>
    <m/>
    <m/>
    <n v="0"/>
    <m/>
    <m/>
    <n v="0"/>
    <m/>
    <m/>
    <n v="0"/>
    <m/>
    <m/>
    <n v="0"/>
    <m/>
    <m/>
    <n v="0"/>
    <m/>
    <m/>
    <n v="0"/>
    <m/>
    <m/>
    <n v="0"/>
    <m/>
    <m/>
    <n v="0"/>
    <m/>
    <m/>
    <n v="0"/>
    <n v="56"/>
    <n v="41166"/>
    <n v="2305296"/>
    <n v="49"/>
    <n v="50828"/>
    <n v="2490572"/>
    <m/>
    <m/>
    <n v="0"/>
    <m/>
    <m/>
    <n v="0"/>
    <m/>
    <m/>
    <n v="0"/>
    <m/>
    <m/>
    <n v="0"/>
    <m/>
    <m/>
    <n v="0"/>
    <m/>
    <m/>
    <n v="0"/>
    <m/>
    <m/>
    <n v="0"/>
    <m/>
    <m/>
    <n v="0"/>
    <m/>
    <m/>
    <n v="0"/>
    <m/>
    <m/>
    <n v="0"/>
    <m/>
    <m/>
    <n v="0"/>
    <m/>
    <m/>
    <n v="0"/>
  </r>
  <r>
    <x v="9"/>
    <s v="McDowell Technical Community College"/>
    <m/>
    <n v="198923"/>
    <x v="8"/>
    <m/>
    <m/>
    <n v="0"/>
    <m/>
    <m/>
    <n v="0"/>
    <m/>
    <m/>
    <n v="0"/>
    <m/>
    <m/>
    <n v="0"/>
    <m/>
    <m/>
    <n v="0"/>
    <m/>
    <m/>
    <n v="0"/>
    <m/>
    <m/>
    <n v="0"/>
    <m/>
    <m/>
    <n v="0"/>
    <m/>
    <m/>
    <n v="0"/>
    <m/>
    <m/>
    <n v="0"/>
    <n v="49"/>
    <n v="40936"/>
    <n v="2005864"/>
    <n v="49"/>
    <n v="43210"/>
    <n v="2117290"/>
    <m/>
    <m/>
    <n v="0"/>
    <m/>
    <m/>
    <n v="0"/>
    <m/>
    <m/>
    <n v="0"/>
    <m/>
    <m/>
    <n v="0"/>
    <m/>
    <m/>
    <n v="0"/>
    <m/>
    <m/>
    <n v="0"/>
    <m/>
    <m/>
    <n v="0"/>
    <m/>
    <m/>
    <n v="0"/>
    <m/>
    <m/>
    <n v="0"/>
    <m/>
    <m/>
    <n v="0"/>
    <m/>
    <m/>
    <n v="0"/>
    <m/>
    <m/>
    <n v="0"/>
  </r>
  <r>
    <x v="9"/>
    <s v="Montgomery Community College"/>
    <m/>
    <n v="199023"/>
    <x v="8"/>
    <m/>
    <m/>
    <n v="0"/>
    <m/>
    <m/>
    <n v="0"/>
    <m/>
    <m/>
    <n v="0"/>
    <m/>
    <m/>
    <n v="0"/>
    <m/>
    <m/>
    <n v="0"/>
    <m/>
    <m/>
    <n v="0"/>
    <m/>
    <m/>
    <n v="0"/>
    <m/>
    <m/>
    <n v="0"/>
    <m/>
    <m/>
    <n v="0"/>
    <m/>
    <m/>
    <n v="0"/>
    <n v="40"/>
    <n v="42110"/>
    <n v="1684400"/>
    <n v="41"/>
    <n v="42373"/>
    <n v="1737293"/>
    <m/>
    <m/>
    <n v="0"/>
    <m/>
    <m/>
    <n v="0"/>
    <m/>
    <m/>
    <n v="0"/>
    <m/>
    <m/>
    <n v="0"/>
    <m/>
    <m/>
    <n v="0"/>
    <m/>
    <m/>
    <n v="0"/>
    <m/>
    <m/>
    <n v="0"/>
    <m/>
    <m/>
    <n v="0"/>
    <m/>
    <m/>
    <n v="0"/>
    <m/>
    <m/>
    <n v="0"/>
    <m/>
    <m/>
    <n v="0"/>
    <m/>
    <m/>
    <n v="0"/>
  </r>
  <r>
    <x v="9"/>
    <s v="Pamlico Community College"/>
    <m/>
    <n v="199263"/>
    <x v="8"/>
    <m/>
    <m/>
    <n v="0"/>
    <m/>
    <m/>
    <n v="0"/>
    <m/>
    <m/>
    <n v="0"/>
    <m/>
    <m/>
    <n v="0"/>
    <m/>
    <m/>
    <n v="0"/>
    <m/>
    <m/>
    <n v="0"/>
    <m/>
    <m/>
    <n v="0"/>
    <m/>
    <m/>
    <n v="0"/>
    <m/>
    <m/>
    <n v="0"/>
    <m/>
    <m/>
    <n v="0"/>
    <n v="28"/>
    <n v="43505"/>
    <n v="1218140"/>
    <n v="28"/>
    <n v="45879"/>
    <n v="1284612"/>
    <m/>
    <m/>
    <n v="0"/>
    <m/>
    <m/>
    <n v="0"/>
    <m/>
    <m/>
    <n v="0"/>
    <m/>
    <m/>
    <n v="0"/>
    <m/>
    <m/>
    <n v="0"/>
    <m/>
    <m/>
    <n v="0"/>
    <m/>
    <m/>
    <n v="0"/>
    <m/>
    <m/>
    <n v="0"/>
    <m/>
    <m/>
    <n v="0"/>
    <m/>
    <m/>
    <n v="0"/>
    <m/>
    <m/>
    <n v="0"/>
    <m/>
    <m/>
    <n v="0"/>
  </r>
  <r>
    <x v="9"/>
    <s v="Piedmont Community College"/>
    <s v="Reclassified, meets the criteria for Two-Year 3."/>
    <n v="199324"/>
    <x v="8"/>
    <m/>
    <m/>
    <n v="0"/>
    <m/>
    <m/>
    <n v="0"/>
    <m/>
    <m/>
    <n v="0"/>
    <m/>
    <m/>
    <n v="0"/>
    <m/>
    <m/>
    <n v="0"/>
    <m/>
    <m/>
    <n v="0"/>
    <m/>
    <m/>
    <n v="0"/>
    <m/>
    <m/>
    <n v="0"/>
    <m/>
    <m/>
    <n v="0"/>
    <m/>
    <m/>
    <n v="0"/>
    <n v="94"/>
    <n v="44337"/>
    <n v="4167678"/>
    <n v="93"/>
    <n v="51521"/>
    <n v="4791453"/>
    <m/>
    <m/>
    <n v="0"/>
    <m/>
    <m/>
    <n v="0"/>
    <m/>
    <m/>
    <n v="0"/>
    <m/>
    <m/>
    <n v="0"/>
    <m/>
    <m/>
    <n v="0"/>
    <m/>
    <m/>
    <n v="0"/>
    <m/>
    <m/>
    <n v="0"/>
    <m/>
    <m/>
    <n v="0"/>
    <m/>
    <m/>
    <n v="0"/>
    <m/>
    <m/>
    <n v="0"/>
    <m/>
    <m/>
    <n v="0"/>
    <m/>
    <m/>
    <n v="0"/>
  </r>
  <r>
    <x v="9"/>
    <s v="Richmond Community College"/>
    <s v="Reclassified, meets the criteria for Two-Year 3."/>
    <n v="199449"/>
    <x v="8"/>
    <m/>
    <m/>
    <n v="0"/>
    <m/>
    <m/>
    <n v="0"/>
    <m/>
    <m/>
    <n v="0"/>
    <m/>
    <m/>
    <n v="0"/>
    <m/>
    <m/>
    <n v="0"/>
    <m/>
    <m/>
    <n v="0"/>
    <m/>
    <m/>
    <n v="0"/>
    <m/>
    <m/>
    <n v="0"/>
    <m/>
    <m/>
    <n v="0"/>
    <m/>
    <m/>
    <n v="0"/>
    <n v="52"/>
    <n v="54752"/>
    <n v="2847104"/>
    <n v="63"/>
    <n v="56569"/>
    <n v="3563847"/>
    <m/>
    <m/>
    <n v="0"/>
    <m/>
    <m/>
    <n v="0"/>
    <m/>
    <m/>
    <n v="0"/>
    <m/>
    <m/>
    <n v="0"/>
    <m/>
    <m/>
    <n v="0"/>
    <m/>
    <m/>
    <n v="0"/>
    <m/>
    <m/>
    <n v="0"/>
    <m/>
    <m/>
    <n v="0"/>
    <m/>
    <m/>
    <n v="0"/>
    <m/>
    <m/>
    <n v="0"/>
    <m/>
    <m/>
    <n v="0"/>
    <m/>
    <m/>
    <n v="0"/>
  </r>
  <r>
    <x v="9"/>
    <s v="Roanoke-Chowan Community College"/>
    <m/>
    <n v="199467"/>
    <x v="8"/>
    <m/>
    <m/>
    <n v="0"/>
    <m/>
    <m/>
    <n v="0"/>
    <m/>
    <m/>
    <n v="0"/>
    <m/>
    <m/>
    <n v="0"/>
    <m/>
    <m/>
    <n v="0"/>
    <m/>
    <m/>
    <n v="0"/>
    <m/>
    <m/>
    <n v="0"/>
    <m/>
    <m/>
    <n v="0"/>
    <m/>
    <m/>
    <n v="0"/>
    <m/>
    <m/>
    <n v="0"/>
    <n v="41"/>
    <n v="48867"/>
    <n v="2003547"/>
    <n v="36"/>
    <n v="50003"/>
    <n v="1800108"/>
    <m/>
    <m/>
    <n v="0"/>
    <m/>
    <m/>
    <n v="0"/>
    <m/>
    <m/>
    <n v="0"/>
    <m/>
    <m/>
    <n v="0"/>
    <m/>
    <m/>
    <n v="0"/>
    <m/>
    <m/>
    <n v="0"/>
    <m/>
    <m/>
    <n v="0"/>
    <m/>
    <m/>
    <n v="0"/>
    <m/>
    <m/>
    <n v="0"/>
    <m/>
    <m/>
    <n v="0"/>
    <m/>
    <m/>
    <n v="0"/>
    <m/>
    <m/>
    <n v="0"/>
  </r>
  <r>
    <x v="9"/>
    <s v="Rockingham Community College "/>
    <s v="Reclassified, meets the criteria for Two-Year 3."/>
    <n v="199485"/>
    <x v="8"/>
    <m/>
    <m/>
    <n v="0"/>
    <m/>
    <m/>
    <n v="0"/>
    <m/>
    <m/>
    <n v="0"/>
    <m/>
    <m/>
    <n v="0"/>
    <m/>
    <m/>
    <n v="0"/>
    <m/>
    <m/>
    <n v="0"/>
    <m/>
    <m/>
    <n v="0"/>
    <m/>
    <m/>
    <n v="0"/>
    <m/>
    <m/>
    <n v="0"/>
    <m/>
    <m/>
    <n v="0"/>
    <n v="62"/>
    <n v="46652"/>
    <n v="2892424"/>
    <n v="62"/>
    <n v="45895"/>
    <n v="2845490"/>
    <m/>
    <m/>
    <n v="0"/>
    <m/>
    <m/>
    <n v="0"/>
    <m/>
    <m/>
    <n v="0"/>
    <m/>
    <m/>
    <n v="0"/>
    <m/>
    <m/>
    <n v="0"/>
    <m/>
    <m/>
    <n v="0"/>
    <m/>
    <m/>
    <n v="0"/>
    <m/>
    <m/>
    <n v="0"/>
    <m/>
    <m/>
    <n v="0"/>
    <m/>
    <m/>
    <n v="0"/>
    <m/>
    <m/>
    <n v="0"/>
    <m/>
    <m/>
    <n v="0"/>
  </r>
  <r>
    <x v="9"/>
    <s v="Sampson Community College"/>
    <m/>
    <n v="199625"/>
    <x v="8"/>
    <m/>
    <m/>
    <n v="0"/>
    <m/>
    <m/>
    <n v="0"/>
    <m/>
    <m/>
    <n v="0"/>
    <m/>
    <m/>
    <n v="0"/>
    <m/>
    <m/>
    <n v="0"/>
    <m/>
    <m/>
    <n v="0"/>
    <m/>
    <m/>
    <n v="0"/>
    <m/>
    <m/>
    <n v="0"/>
    <m/>
    <m/>
    <n v="0"/>
    <m/>
    <m/>
    <n v="0"/>
    <n v="59"/>
    <n v="44185"/>
    <n v="2606915"/>
    <n v="65"/>
    <n v="44722"/>
    <n v="2906930"/>
    <m/>
    <m/>
    <n v="0"/>
    <m/>
    <m/>
    <n v="0"/>
    <m/>
    <m/>
    <n v="0"/>
    <m/>
    <m/>
    <n v="0"/>
    <m/>
    <m/>
    <n v="0"/>
    <m/>
    <m/>
    <n v="0"/>
    <m/>
    <m/>
    <n v="0"/>
    <m/>
    <m/>
    <n v="0"/>
    <m/>
    <m/>
    <n v="0"/>
    <m/>
    <m/>
    <n v="0"/>
    <m/>
    <m/>
    <n v="0"/>
    <m/>
    <m/>
    <n v="0"/>
  </r>
  <r>
    <x v="9"/>
    <s v="South Piedmont Community College"/>
    <s v="Reclassified, meets the criteria for Two-Year 3."/>
    <n v="197850"/>
    <x v="8"/>
    <m/>
    <m/>
    <n v="0"/>
    <m/>
    <m/>
    <n v="0"/>
    <m/>
    <m/>
    <n v="0"/>
    <m/>
    <m/>
    <n v="0"/>
    <m/>
    <m/>
    <n v="0"/>
    <m/>
    <m/>
    <n v="0"/>
    <m/>
    <m/>
    <n v="0"/>
    <m/>
    <m/>
    <n v="0"/>
    <m/>
    <m/>
    <n v="0"/>
    <m/>
    <m/>
    <n v="0"/>
    <n v="83"/>
    <n v="46098"/>
    <n v="3826134"/>
    <n v="86"/>
    <n v="45691"/>
    <n v="3929426"/>
    <m/>
    <m/>
    <n v="0"/>
    <m/>
    <m/>
    <n v="0"/>
    <m/>
    <m/>
    <n v="0"/>
    <m/>
    <m/>
    <n v="0"/>
    <m/>
    <m/>
    <n v="0"/>
    <m/>
    <m/>
    <n v="0"/>
    <m/>
    <m/>
    <n v="0"/>
    <m/>
    <m/>
    <n v="0"/>
    <m/>
    <m/>
    <n v="0"/>
    <m/>
    <m/>
    <n v="0"/>
    <m/>
    <m/>
    <n v="0"/>
    <m/>
    <m/>
    <n v="0"/>
  </r>
  <r>
    <x v="9"/>
    <s v="Southeastern Community College "/>
    <s v="Reclassified, meets the criteria for Two-Year 3."/>
    <n v="199722"/>
    <x v="8"/>
    <m/>
    <m/>
    <n v="0"/>
    <m/>
    <m/>
    <n v="0"/>
    <m/>
    <m/>
    <n v="0"/>
    <m/>
    <m/>
    <n v="0"/>
    <m/>
    <m/>
    <n v="0"/>
    <m/>
    <m/>
    <n v="0"/>
    <m/>
    <m/>
    <n v="0"/>
    <m/>
    <m/>
    <n v="0"/>
    <m/>
    <m/>
    <n v="0"/>
    <m/>
    <m/>
    <n v="0"/>
    <n v="76"/>
    <n v="49678"/>
    <n v="3775528"/>
    <n v="80"/>
    <n v="46112"/>
    <n v="3688960"/>
    <m/>
    <m/>
    <n v="0"/>
    <m/>
    <m/>
    <n v="0"/>
    <m/>
    <m/>
    <n v="0"/>
    <m/>
    <m/>
    <n v="0"/>
    <m/>
    <m/>
    <n v="0"/>
    <m/>
    <m/>
    <n v="0"/>
    <m/>
    <m/>
    <n v="0"/>
    <m/>
    <m/>
    <n v="0"/>
    <m/>
    <m/>
    <n v="0"/>
    <m/>
    <m/>
    <n v="0"/>
    <m/>
    <m/>
    <n v="0"/>
    <m/>
    <m/>
    <n v="0"/>
  </r>
  <r>
    <x v="9"/>
    <s v="Southwestern Community College "/>
    <s v="Reclassified, meets the criteria for Two-Year 3."/>
    <n v="199731"/>
    <x v="8"/>
    <m/>
    <m/>
    <n v="0"/>
    <m/>
    <m/>
    <n v="0"/>
    <m/>
    <m/>
    <n v="0"/>
    <m/>
    <m/>
    <n v="0"/>
    <m/>
    <m/>
    <n v="0"/>
    <m/>
    <m/>
    <n v="0"/>
    <m/>
    <m/>
    <n v="0"/>
    <m/>
    <m/>
    <n v="0"/>
    <m/>
    <m/>
    <n v="0"/>
    <m/>
    <m/>
    <n v="0"/>
    <n v="83"/>
    <n v="45330"/>
    <n v="3762390"/>
    <n v="83"/>
    <n v="44670"/>
    <n v="3707610"/>
    <m/>
    <m/>
    <n v="0"/>
    <m/>
    <m/>
    <n v="0"/>
    <m/>
    <m/>
    <n v="0"/>
    <m/>
    <m/>
    <n v="0"/>
    <m/>
    <m/>
    <n v="0"/>
    <m/>
    <m/>
    <n v="0"/>
    <m/>
    <m/>
    <n v="0"/>
    <m/>
    <m/>
    <n v="0"/>
    <m/>
    <m/>
    <n v="0"/>
    <m/>
    <m/>
    <n v="0"/>
    <m/>
    <m/>
    <n v="0"/>
    <m/>
    <m/>
    <n v="0"/>
  </r>
  <r>
    <x v="9"/>
    <s v="Tri-County Community College "/>
    <m/>
    <n v="199795"/>
    <x v="8"/>
    <m/>
    <m/>
    <n v="0"/>
    <m/>
    <m/>
    <n v="0"/>
    <m/>
    <m/>
    <n v="0"/>
    <m/>
    <m/>
    <n v="0"/>
    <m/>
    <m/>
    <n v="0"/>
    <m/>
    <m/>
    <n v="0"/>
    <m/>
    <m/>
    <n v="0"/>
    <m/>
    <m/>
    <n v="0"/>
    <m/>
    <m/>
    <n v="0"/>
    <m/>
    <m/>
    <n v="0"/>
    <n v="35"/>
    <n v="44958"/>
    <n v="1573530"/>
    <n v="34"/>
    <n v="44505"/>
    <n v="1513170"/>
    <m/>
    <m/>
    <n v="0"/>
    <m/>
    <m/>
    <n v="0"/>
    <m/>
    <m/>
    <n v="0"/>
    <m/>
    <m/>
    <n v="0"/>
    <m/>
    <m/>
    <n v="0"/>
    <m/>
    <m/>
    <n v="0"/>
    <m/>
    <m/>
    <n v="0"/>
    <m/>
    <m/>
    <n v="0"/>
    <m/>
    <m/>
    <n v="0"/>
    <m/>
    <m/>
    <n v="0"/>
    <m/>
    <m/>
    <n v="0"/>
    <m/>
    <m/>
    <n v="0"/>
  </r>
  <r>
    <x v="9"/>
    <s v="Wilson Technical Community College"/>
    <s v="Reclassified, meets the criteria for Two-Year 3."/>
    <n v="199953"/>
    <x v="8"/>
    <m/>
    <m/>
    <n v="0"/>
    <m/>
    <m/>
    <n v="0"/>
    <m/>
    <m/>
    <n v="0"/>
    <m/>
    <m/>
    <n v="0"/>
    <m/>
    <m/>
    <n v="0"/>
    <m/>
    <m/>
    <n v="0"/>
    <m/>
    <m/>
    <n v="0"/>
    <m/>
    <m/>
    <n v="0"/>
    <m/>
    <m/>
    <n v="0"/>
    <m/>
    <m/>
    <n v="0"/>
    <n v="52"/>
    <n v="48150"/>
    <n v="2503800"/>
    <n v="54"/>
    <n v="46670"/>
    <n v="2520180"/>
    <m/>
    <m/>
    <n v="0"/>
    <m/>
    <m/>
    <n v="0"/>
    <m/>
    <m/>
    <n v="0"/>
    <m/>
    <m/>
    <n v="0"/>
    <m/>
    <m/>
    <n v="0"/>
    <m/>
    <m/>
    <n v="0"/>
    <m/>
    <m/>
    <n v="0"/>
    <m/>
    <m/>
    <n v="0"/>
    <m/>
    <m/>
    <n v="0"/>
    <m/>
    <m/>
    <n v="0"/>
    <m/>
    <m/>
    <n v="0"/>
    <m/>
    <m/>
    <n v="0"/>
  </r>
  <r>
    <x v="10"/>
    <s v="Oklahoma State University Main Campus"/>
    <m/>
    <n v="207388"/>
    <x v="0"/>
    <n v="220"/>
    <n v="105365"/>
    <n v="23180300"/>
    <n v="222"/>
    <n v="108659"/>
    <n v="24122298"/>
    <n v="237"/>
    <n v="73935"/>
    <n v="17522595"/>
    <n v="238"/>
    <n v="73407"/>
    <n v="17470866"/>
    <n v="232"/>
    <n v="64879"/>
    <n v="15051928"/>
    <n v="220"/>
    <n v="65302"/>
    <n v="14366440"/>
    <n v="64"/>
    <n v="45191"/>
    <n v="2892224"/>
    <n v="67"/>
    <n v="45032"/>
    <n v="3017144"/>
    <m/>
    <m/>
    <n v="0"/>
    <m/>
    <m/>
    <n v="0"/>
    <m/>
    <m/>
    <n v="0"/>
    <m/>
    <m/>
    <n v="0"/>
    <n v="62"/>
    <n v="124861"/>
    <n v="6333998.7524000006"/>
    <n v="60"/>
    <n v="140832"/>
    <n v="6913724.5440000007"/>
    <n v="32"/>
    <n v="81373"/>
    <n v="2130540.4352000002"/>
    <n v="32"/>
    <n v="79641"/>
    <n v="2085192.5184000002"/>
    <n v="29"/>
    <n v="59360"/>
    <n v="1408482.2080000001"/>
    <n v="27"/>
    <n v="56422"/>
    <n v="1246440.9708"/>
    <n v="52"/>
    <n v="47405"/>
    <n v="2016912.0920000002"/>
    <n v="64"/>
    <n v="47822"/>
    <n v="2504189.4656000002"/>
    <m/>
    <m/>
    <n v="0"/>
    <m/>
    <m/>
    <n v="0"/>
    <m/>
    <m/>
    <n v="0"/>
    <m/>
    <m/>
    <n v="0"/>
  </r>
  <r>
    <x v="10"/>
    <s v="University of Oklahoma Norman Campus"/>
    <m/>
    <n v="207500"/>
    <x v="0"/>
    <n v="337"/>
    <n v="105418"/>
    <n v="35525866"/>
    <n v="331"/>
    <n v="105912"/>
    <n v="35056872"/>
    <n v="252"/>
    <n v="70440"/>
    <n v="17750880"/>
    <n v="256"/>
    <n v="69834"/>
    <n v="17877504"/>
    <n v="254"/>
    <n v="62569"/>
    <n v="15892526"/>
    <n v="238"/>
    <n v="62796"/>
    <n v="14945448"/>
    <n v="157"/>
    <n v="39164"/>
    <n v="6148748"/>
    <n v="157"/>
    <n v="41155"/>
    <n v="6461335"/>
    <m/>
    <m/>
    <n v="0"/>
    <m/>
    <m/>
    <n v="0"/>
    <m/>
    <m/>
    <n v="0"/>
    <m/>
    <m/>
    <n v="0"/>
    <n v="80"/>
    <n v="142494"/>
    <n v="9327087.2640000004"/>
    <n v="84"/>
    <n v="143744"/>
    <n v="9879352.6272"/>
    <n v="30"/>
    <n v="97355"/>
    <n v="2389675.83"/>
    <n v="31"/>
    <n v="95632"/>
    <n v="2425629.1743999999"/>
    <n v="12"/>
    <n v="77110"/>
    <n v="757096.82400000002"/>
    <n v="17"/>
    <n v="78420"/>
    <n v="1090775.148"/>
    <n v="2"/>
    <n v="59410"/>
    <n v="97218.524000000005"/>
    <n v="7"/>
    <n v="56282"/>
    <n v="322349.52679999999"/>
    <m/>
    <m/>
    <n v="0"/>
    <m/>
    <m/>
    <n v="0"/>
    <m/>
    <m/>
    <n v="0"/>
    <m/>
    <m/>
    <n v="0"/>
  </r>
  <r>
    <x v="10"/>
    <s v="Northeastern State University"/>
    <m/>
    <n v="207263"/>
    <x v="2"/>
    <n v="53"/>
    <n v="69328"/>
    <n v="3674384"/>
    <n v="52"/>
    <n v="69908"/>
    <n v="3635216"/>
    <n v="72"/>
    <n v="57791"/>
    <n v="4160952"/>
    <n v="74"/>
    <n v="56178"/>
    <n v="4157172"/>
    <n v="86"/>
    <n v="48748"/>
    <n v="4192328"/>
    <n v="88"/>
    <n v="48233"/>
    <n v="4244504"/>
    <n v="77"/>
    <n v="38088"/>
    <n v="2932776"/>
    <n v="82"/>
    <n v="38143"/>
    <n v="3127726"/>
    <m/>
    <m/>
    <n v="0"/>
    <m/>
    <m/>
    <n v="0"/>
    <m/>
    <m/>
    <n v="0"/>
    <m/>
    <m/>
    <n v="0"/>
    <n v="10"/>
    <n v="102322"/>
    <n v="837198.60400000005"/>
    <n v="10"/>
    <n v="100119"/>
    <n v="819173.65800000005"/>
    <n v="6"/>
    <n v="78604"/>
    <n v="385882.75680000003"/>
    <n v="8"/>
    <n v="82117"/>
    <n v="537505.03520000004"/>
    <n v="9"/>
    <n v="77271"/>
    <n v="569008.18980000005"/>
    <n v="11"/>
    <n v="77327"/>
    <n v="695958.46539999999"/>
    <n v="9"/>
    <n v="48642"/>
    <n v="358189.9596"/>
    <n v="8"/>
    <n v="48765"/>
    <n v="319196.18400000001"/>
    <m/>
    <m/>
    <n v="0"/>
    <m/>
    <m/>
    <n v="0"/>
    <m/>
    <m/>
    <n v="0"/>
    <m/>
    <m/>
    <n v="0"/>
  </r>
  <r>
    <x v="10"/>
    <s v="University of Central Oklahoma"/>
    <m/>
    <n v="206941"/>
    <x v="2"/>
    <n v="168"/>
    <n v="77761"/>
    <n v="13063848"/>
    <n v="170"/>
    <n v="77722"/>
    <n v="13212740"/>
    <n v="60"/>
    <n v="64390"/>
    <n v="3863400"/>
    <n v="70"/>
    <n v="63374"/>
    <n v="4436180"/>
    <n v="126"/>
    <n v="59055"/>
    <n v="7440930"/>
    <n v="116"/>
    <n v="59200"/>
    <n v="6867200"/>
    <n v="91"/>
    <n v="40925"/>
    <n v="3724175"/>
    <n v="92"/>
    <n v="40887"/>
    <n v="3761604"/>
    <m/>
    <m/>
    <n v="0"/>
    <m/>
    <m/>
    <n v="0"/>
    <m/>
    <m/>
    <n v="0"/>
    <m/>
    <m/>
    <n v="0"/>
    <m/>
    <m/>
    <n v="0"/>
    <m/>
    <m/>
    <n v="0"/>
    <m/>
    <m/>
    <n v="0"/>
    <m/>
    <m/>
    <n v="0"/>
    <m/>
    <m/>
    <n v="0"/>
    <m/>
    <m/>
    <n v="0"/>
    <m/>
    <m/>
    <n v="0"/>
    <m/>
    <m/>
    <n v="0"/>
    <m/>
    <m/>
    <n v="0"/>
    <m/>
    <m/>
    <n v="0"/>
    <m/>
    <m/>
    <n v="0"/>
    <m/>
    <m/>
    <n v="0"/>
  </r>
  <r>
    <x v="10"/>
    <s v="Cameron University "/>
    <m/>
    <n v="206914"/>
    <x v="4"/>
    <n v="34"/>
    <n v="63373"/>
    <n v="2154682"/>
    <n v="32"/>
    <n v="65202"/>
    <n v="2086464"/>
    <n v="40"/>
    <n v="58282"/>
    <n v="2331280"/>
    <n v="42"/>
    <n v="57959"/>
    <n v="2434278"/>
    <n v="61"/>
    <n v="48631"/>
    <n v="2966491"/>
    <n v="56"/>
    <n v="49512"/>
    <n v="2772672"/>
    <n v="33"/>
    <n v="36309"/>
    <n v="1198197"/>
    <n v="43"/>
    <n v="38012"/>
    <n v="1634516"/>
    <m/>
    <m/>
    <n v="0"/>
    <m/>
    <m/>
    <n v="0"/>
    <m/>
    <m/>
    <n v="0"/>
    <m/>
    <m/>
    <n v="0"/>
    <m/>
    <m/>
    <n v="0"/>
    <m/>
    <m/>
    <n v="0"/>
    <m/>
    <m/>
    <n v="0"/>
    <n v="2"/>
    <n v="51000"/>
    <n v="83456.400000000009"/>
    <m/>
    <m/>
    <n v="0"/>
    <n v="1"/>
    <n v="45679"/>
    <n v="37374.557800000002"/>
    <m/>
    <m/>
    <n v="0"/>
    <n v="3"/>
    <n v="41667"/>
    <n v="102275.81820000001"/>
    <m/>
    <m/>
    <n v="0"/>
    <m/>
    <m/>
    <n v="0"/>
    <m/>
    <m/>
    <n v="0"/>
    <m/>
    <m/>
    <n v="0"/>
  </r>
  <r>
    <x v="10"/>
    <s v="East Central University "/>
    <m/>
    <n v="207041"/>
    <x v="4"/>
    <n v="48"/>
    <n v="67952"/>
    <n v="3261696"/>
    <n v="50"/>
    <n v="65905"/>
    <n v="3295250"/>
    <n v="25"/>
    <n v="54785"/>
    <n v="1369625"/>
    <n v="22"/>
    <n v="53713"/>
    <n v="1181686"/>
    <n v="45"/>
    <n v="47943"/>
    <n v="2157435"/>
    <n v="42"/>
    <n v="47879"/>
    <n v="2010918"/>
    <n v="42"/>
    <n v="41239"/>
    <n v="1732038"/>
    <n v="43"/>
    <n v="41391"/>
    <n v="1779813"/>
    <m/>
    <m/>
    <n v="0"/>
    <m/>
    <m/>
    <n v="0"/>
    <m/>
    <m/>
    <n v="0"/>
    <m/>
    <m/>
    <n v="0"/>
    <n v="2"/>
    <n v="86440"/>
    <n v="141450.416"/>
    <n v="3"/>
    <n v="82537"/>
    <n v="202595.32020000002"/>
    <n v="1"/>
    <n v="72774"/>
    <n v="59543.686800000003"/>
    <n v="1"/>
    <n v="72911"/>
    <n v="59655.780200000001"/>
    <n v="0"/>
    <m/>
    <n v="0"/>
    <m/>
    <m/>
    <n v="0"/>
    <n v="5"/>
    <n v="51668"/>
    <n v="211373.788"/>
    <n v="6"/>
    <n v="52068"/>
    <n v="255612.22560000001"/>
    <m/>
    <m/>
    <n v="0"/>
    <m/>
    <m/>
    <n v="0"/>
    <m/>
    <m/>
    <n v="0"/>
    <m/>
    <m/>
    <n v="0"/>
  </r>
  <r>
    <x v="10"/>
    <s v="Langston University"/>
    <m/>
    <n v="207209"/>
    <x v="4"/>
    <n v="6"/>
    <n v="57559"/>
    <n v="345354"/>
    <n v="4"/>
    <n v="56728"/>
    <n v="226912"/>
    <n v="23"/>
    <n v="57157"/>
    <n v="1314611"/>
    <n v="23"/>
    <n v="57163"/>
    <n v="1314749"/>
    <n v="38"/>
    <n v="46620"/>
    <n v="1771560"/>
    <n v="35"/>
    <n v="49217"/>
    <n v="1722595"/>
    <n v="29"/>
    <n v="42144"/>
    <n v="1222176"/>
    <n v="27"/>
    <n v="44656"/>
    <n v="1205712"/>
    <m/>
    <m/>
    <n v="0"/>
    <m/>
    <m/>
    <n v="0"/>
    <m/>
    <m/>
    <n v="0"/>
    <m/>
    <m/>
    <n v="0"/>
    <n v="2"/>
    <n v="93352"/>
    <n v="152761.21280000001"/>
    <n v="2"/>
    <n v="95002"/>
    <n v="155461.27280000001"/>
    <n v="18"/>
    <n v="70678"/>
    <n v="1040917.3128000001"/>
    <n v="17"/>
    <n v="70242"/>
    <n v="977024.07480000006"/>
    <n v="19"/>
    <n v="60386"/>
    <n v="938748.67879999999"/>
    <n v="17"/>
    <n v="59730"/>
    <n v="830808.46200000006"/>
    <n v="11"/>
    <n v="45995"/>
    <n v="413964.19900000002"/>
    <n v="11"/>
    <n v="48354"/>
    <n v="435195.67080000002"/>
    <m/>
    <m/>
    <n v="0"/>
    <m/>
    <m/>
    <n v="0"/>
    <m/>
    <m/>
    <n v="0"/>
    <m/>
    <m/>
    <n v="0"/>
  </r>
  <r>
    <x v="10"/>
    <s v="Northwestern Oklahoma State University "/>
    <m/>
    <n v="207306"/>
    <x v="4"/>
    <n v="15"/>
    <n v="64407"/>
    <n v="966105"/>
    <n v="18"/>
    <n v="63623"/>
    <n v="1145214"/>
    <n v="16"/>
    <n v="55426"/>
    <n v="886816"/>
    <n v="14"/>
    <n v="55443"/>
    <n v="776202"/>
    <n v="13"/>
    <n v="47506"/>
    <n v="617578"/>
    <n v="13"/>
    <n v="47978"/>
    <n v="623714"/>
    <n v="34"/>
    <n v="39776"/>
    <n v="1352384"/>
    <n v="37"/>
    <n v="40126"/>
    <n v="1484662"/>
    <m/>
    <m/>
    <n v="0"/>
    <m/>
    <m/>
    <n v="0"/>
    <m/>
    <m/>
    <n v="0"/>
    <m/>
    <m/>
    <n v="0"/>
    <n v="1"/>
    <n v="75000"/>
    <n v="61365"/>
    <n v="1"/>
    <n v="75000"/>
    <n v="61365"/>
    <n v="2"/>
    <n v="93850"/>
    <n v="153576.14000000001"/>
    <n v="2"/>
    <n v="93850"/>
    <n v="153576.14000000001"/>
    <n v="0"/>
    <m/>
    <n v="0"/>
    <m/>
    <m/>
    <n v="0"/>
    <n v="4"/>
    <n v="59404"/>
    <n v="194417.4112"/>
    <n v="4"/>
    <n v="60000"/>
    <n v="196368"/>
    <m/>
    <m/>
    <n v="0"/>
    <m/>
    <m/>
    <n v="0"/>
    <m/>
    <m/>
    <n v="0"/>
    <m/>
    <m/>
    <n v="0"/>
  </r>
  <r>
    <x v="10"/>
    <s v="Southeastern Oklahoma State University "/>
    <s v="Met the criteria for Four-Year 4 in 2010-11."/>
    <n v="207847"/>
    <x v="4"/>
    <n v="44"/>
    <n v="68835"/>
    <n v="3028740"/>
    <n v="43"/>
    <n v="69232"/>
    <n v="2976976"/>
    <n v="31"/>
    <n v="61940"/>
    <n v="1920140"/>
    <n v="31"/>
    <n v="61193"/>
    <n v="1896983"/>
    <n v="36"/>
    <n v="51209"/>
    <n v="1843524"/>
    <n v="32"/>
    <n v="52799"/>
    <n v="1689568"/>
    <n v="18"/>
    <n v="40004"/>
    <n v="720072"/>
    <n v="22"/>
    <n v="40870"/>
    <n v="899140"/>
    <m/>
    <m/>
    <n v="0"/>
    <m/>
    <m/>
    <n v="0"/>
    <m/>
    <m/>
    <n v="0"/>
    <m/>
    <m/>
    <n v="0"/>
    <n v="6"/>
    <n v="117430"/>
    <n v="576487.35600000003"/>
    <n v="6"/>
    <n v="110140"/>
    <n v="540699.28800000006"/>
    <m/>
    <m/>
    <n v="0"/>
    <n v="1"/>
    <n v="71792"/>
    <n v="58740.214400000004"/>
    <n v="1"/>
    <n v="71137"/>
    <n v="58204.293400000002"/>
    <n v="5"/>
    <n v="53104"/>
    <n v="217248.46400000001"/>
    <n v="5"/>
    <n v="53688"/>
    <n v="219637.60800000001"/>
    <m/>
    <m/>
    <n v="0"/>
    <m/>
    <m/>
    <n v="0"/>
    <m/>
    <m/>
    <n v="0"/>
    <m/>
    <m/>
    <n v="0"/>
    <m/>
    <m/>
    <n v="0"/>
  </r>
  <r>
    <x v="10"/>
    <s v="Southwestern Oklahoma State University"/>
    <m/>
    <n v="207865"/>
    <x v="4"/>
    <n v="35"/>
    <n v="75716"/>
    <n v="2650060"/>
    <n v="35"/>
    <n v="76177"/>
    <n v="2666195"/>
    <n v="25"/>
    <n v="58915"/>
    <n v="1472875"/>
    <n v="26"/>
    <n v="60759"/>
    <n v="1579734"/>
    <n v="52"/>
    <n v="48674"/>
    <n v="2531048"/>
    <n v="56"/>
    <n v="49054"/>
    <n v="2747024"/>
    <n v="79"/>
    <n v="44663"/>
    <n v="3528377"/>
    <n v="76"/>
    <n v="45972"/>
    <n v="3493872"/>
    <m/>
    <m/>
    <n v="0"/>
    <m/>
    <m/>
    <n v="0"/>
    <m/>
    <m/>
    <n v="0"/>
    <m/>
    <m/>
    <n v="0"/>
    <n v="3"/>
    <n v="121100"/>
    <n v="297252.06"/>
    <n v="3"/>
    <n v="111683"/>
    <n v="274137.09179999999"/>
    <n v="9"/>
    <n v="97588"/>
    <n v="718618.51439999999"/>
    <n v="8"/>
    <n v="98787"/>
    <n v="646620.18720000004"/>
    <n v="4"/>
    <n v="91794"/>
    <n v="300423.4032"/>
    <n v="7"/>
    <n v="91093"/>
    <n v="521726.04820000002"/>
    <n v="3"/>
    <n v="57698"/>
    <n v="141625.51080000002"/>
    <n v="3"/>
    <n v="50269"/>
    <n v="123390.2874"/>
    <m/>
    <m/>
    <n v="0"/>
    <m/>
    <m/>
    <n v="0"/>
    <m/>
    <m/>
    <n v="0"/>
    <m/>
    <m/>
    <n v="0"/>
  </r>
  <r>
    <x v="10"/>
    <s v="Oklahoma Panhandle State University "/>
    <m/>
    <n v="207351"/>
    <x v="5"/>
    <n v="2"/>
    <n v="47658"/>
    <n v="95316"/>
    <n v="3"/>
    <n v="47347"/>
    <n v="142041"/>
    <n v="9"/>
    <n v="48154"/>
    <n v="433386"/>
    <n v="11"/>
    <n v="49967"/>
    <n v="549637"/>
    <n v="17"/>
    <n v="42040"/>
    <n v="714680"/>
    <n v="18"/>
    <n v="42303"/>
    <n v="761454"/>
    <n v="17"/>
    <n v="32021"/>
    <n v="544357"/>
    <n v="13"/>
    <n v="30589"/>
    <n v="397657"/>
    <m/>
    <m/>
    <n v="0"/>
    <m/>
    <m/>
    <n v="0"/>
    <m/>
    <m/>
    <n v="0"/>
    <m/>
    <m/>
    <n v="0"/>
    <m/>
    <m/>
    <n v="0"/>
    <m/>
    <m/>
    <n v="0"/>
    <m/>
    <m/>
    <n v="0"/>
    <n v="1"/>
    <n v="55230"/>
    <n v="45189.186000000002"/>
    <n v="2"/>
    <n v="56783"/>
    <n v="92919.70120000001"/>
    <n v="3"/>
    <n v="49442"/>
    <n v="121360.33320000001"/>
    <n v="7"/>
    <n v="30216"/>
    <n v="173059.11840000001"/>
    <n v="5"/>
    <n v="35883"/>
    <n v="146797.353"/>
    <m/>
    <m/>
    <n v="0"/>
    <m/>
    <m/>
    <n v="0"/>
    <m/>
    <m/>
    <n v="0"/>
    <m/>
    <m/>
    <n v="0"/>
  </r>
  <r>
    <x v="10"/>
    <s v="Rogers State University"/>
    <m/>
    <n v="207661"/>
    <x v="5"/>
    <n v="8"/>
    <n v="70504"/>
    <n v="564032"/>
    <n v="8"/>
    <n v="68627"/>
    <n v="549016"/>
    <n v="25"/>
    <n v="55348"/>
    <n v="1383700"/>
    <n v="30"/>
    <n v="58566"/>
    <n v="1756980"/>
    <n v="31"/>
    <n v="48657"/>
    <n v="1508367"/>
    <n v="27"/>
    <n v="48122"/>
    <n v="1299294"/>
    <n v="19"/>
    <n v="42789"/>
    <n v="812991"/>
    <n v="27"/>
    <n v="35530"/>
    <n v="959310"/>
    <m/>
    <m/>
    <n v="0"/>
    <m/>
    <m/>
    <n v="0"/>
    <m/>
    <m/>
    <n v="0"/>
    <m/>
    <m/>
    <n v="0"/>
    <n v="3"/>
    <n v="75340"/>
    <n v="184929.56400000001"/>
    <n v="4"/>
    <n v="75915"/>
    <n v="248454.61200000002"/>
    <n v="5"/>
    <n v="82957"/>
    <n v="339377.087"/>
    <n v="1"/>
    <n v="48400"/>
    <n v="39600.880000000005"/>
    <n v="2"/>
    <n v="66023"/>
    <n v="108040.03720000001"/>
    <n v="3"/>
    <n v="61315"/>
    <n v="150503.799"/>
    <n v="3"/>
    <n v="38045"/>
    <n v="93385.256999999998"/>
    <n v="4"/>
    <n v="45908"/>
    <n v="150247.70240000001"/>
    <m/>
    <m/>
    <n v="0"/>
    <m/>
    <m/>
    <n v="0"/>
    <m/>
    <m/>
    <n v="0"/>
    <m/>
    <m/>
    <n v="0"/>
  </r>
  <r>
    <x v="10"/>
    <s v="University of Science and Arts of Oklahoma"/>
    <m/>
    <n v="207722"/>
    <x v="5"/>
    <n v="15"/>
    <n v="62792"/>
    <n v="941880"/>
    <n v="14"/>
    <n v="60589"/>
    <n v="848246"/>
    <n v="12"/>
    <n v="51723"/>
    <n v="620676"/>
    <n v="11"/>
    <n v="50390"/>
    <n v="554290"/>
    <n v="13"/>
    <n v="45858"/>
    <n v="596154"/>
    <n v="15"/>
    <n v="44982"/>
    <n v="674730"/>
    <n v="7"/>
    <n v="42146"/>
    <n v="295022"/>
    <n v="7"/>
    <n v="41303"/>
    <n v="289121"/>
    <m/>
    <m/>
    <n v="0"/>
    <m/>
    <m/>
    <n v="0"/>
    <m/>
    <m/>
    <n v="0"/>
    <m/>
    <m/>
    <n v="0"/>
    <n v="4"/>
    <n v="79588"/>
    <n v="260475.60640000002"/>
    <n v="3"/>
    <n v="78265"/>
    <n v="192109.269"/>
    <n v="2"/>
    <n v="71313"/>
    <n v="116696.5932"/>
    <n v="2"/>
    <n v="67338"/>
    <n v="110191.9032"/>
    <m/>
    <m/>
    <n v="0"/>
    <m/>
    <m/>
    <n v="0"/>
    <n v="3"/>
    <n v="61525"/>
    <n v="151019.26500000001"/>
    <n v="4"/>
    <n v="50751"/>
    <n v="166097.87280000001"/>
    <m/>
    <m/>
    <n v="0"/>
    <m/>
    <m/>
    <n v="0"/>
    <m/>
    <m/>
    <n v="0"/>
    <m/>
    <m/>
    <n v="0"/>
  </r>
  <r>
    <x v="10"/>
    <s v="Oklahoma State University Technical Branch-Okmulgee "/>
    <m/>
    <n v="207564"/>
    <x v="11"/>
    <m/>
    <m/>
    <n v="0"/>
    <m/>
    <m/>
    <n v="0"/>
    <m/>
    <m/>
    <n v="0"/>
    <m/>
    <m/>
    <n v="0"/>
    <m/>
    <m/>
    <n v="0"/>
    <m/>
    <m/>
    <n v="0"/>
    <m/>
    <m/>
    <n v="0"/>
    <m/>
    <m/>
    <n v="0"/>
    <m/>
    <m/>
    <n v="0"/>
    <m/>
    <m/>
    <n v="0"/>
    <n v="124"/>
    <n v="53446"/>
    <n v="6627304"/>
    <n v="122"/>
    <n v="52064"/>
    <n v="6351808"/>
    <m/>
    <m/>
    <n v="0"/>
    <m/>
    <m/>
    <n v="0"/>
    <m/>
    <m/>
    <n v="0"/>
    <m/>
    <m/>
    <n v="0"/>
    <m/>
    <m/>
    <n v="0"/>
    <m/>
    <m/>
    <n v="0"/>
    <m/>
    <m/>
    <n v="0"/>
    <m/>
    <m/>
    <n v="0"/>
    <m/>
    <m/>
    <n v="0"/>
    <m/>
    <m/>
    <n v="0"/>
    <m/>
    <m/>
    <n v="0"/>
    <m/>
    <m/>
    <n v="0"/>
  </r>
  <r>
    <x v="10"/>
    <s v="Oklahoma City Community College "/>
    <m/>
    <n v="207449"/>
    <x v="6"/>
    <m/>
    <m/>
    <n v="0"/>
    <m/>
    <m/>
    <n v="0"/>
    <m/>
    <m/>
    <n v="0"/>
    <m/>
    <m/>
    <n v="0"/>
    <m/>
    <m/>
    <n v="0"/>
    <m/>
    <m/>
    <n v="0"/>
    <m/>
    <m/>
    <n v="0"/>
    <m/>
    <m/>
    <n v="0"/>
    <m/>
    <m/>
    <n v="0"/>
    <m/>
    <m/>
    <n v="0"/>
    <n v="144"/>
    <n v="49118"/>
    <n v="7072992"/>
    <n v="146"/>
    <n v="48335"/>
    <n v="7056910"/>
    <m/>
    <m/>
    <n v="0"/>
    <m/>
    <m/>
    <n v="0"/>
    <m/>
    <m/>
    <n v="0"/>
    <m/>
    <m/>
    <n v="0"/>
    <m/>
    <m/>
    <n v="0"/>
    <m/>
    <m/>
    <n v="0"/>
    <m/>
    <m/>
    <n v="0"/>
    <m/>
    <m/>
    <n v="0"/>
    <m/>
    <m/>
    <n v="0"/>
    <m/>
    <m/>
    <n v="0"/>
    <n v="1"/>
    <n v="89824"/>
    <n v="73493.996800000008"/>
    <m/>
    <m/>
    <n v="0"/>
  </r>
  <r>
    <x v="10"/>
    <s v="Tulsa Community College "/>
    <m/>
    <n v="207935"/>
    <x v="6"/>
    <m/>
    <m/>
    <n v="0"/>
    <m/>
    <m/>
    <n v="0"/>
    <m/>
    <m/>
    <n v="0"/>
    <m/>
    <m/>
    <n v="0"/>
    <m/>
    <m/>
    <n v="0"/>
    <m/>
    <m/>
    <n v="0"/>
    <m/>
    <m/>
    <n v="0"/>
    <m/>
    <m/>
    <n v="0"/>
    <m/>
    <m/>
    <n v="0"/>
    <m/>
    <m/>
    <n v="0"/>
    <n v="260"/>
    <n v="56648"/>
    <n v="14728480"/>
    <n v="256"/>
    <n v="55806"/>
    <n v="14286336"/>
    <m/>
    <m/>
    <n v="0"/>
    <m/>
    <m/>
    <n v="0"/>
    <m/>
    <m/>
    <n v="0"/>
    <m/>
    <m/>
    <n v="0"/>
    <m/>
    <m/>
    <n v="0"/>
    <m/>
    <m/>
    <n v="0"/>
    <m/>
    <m/>
    <n v="0"/>
    <m/>
    <m/>
    <n v="0"/>
    <m/>
    <m/>
    <n v="0"/>
    <m/>
    <m/>
    <n v="0"/>
    <n v="41"/>
    <n v="62912"/>
    <n v="2110458.5344000002"/>
    <n v="42"/>
    <n v="62679"/>
    <n v="2153926.2276000003"/>
  </r>
  <r>
    <x v="10"/>
    <s v="Northern Oklahoma College "/>
    <m/>
    <n v="207281"/>
    <x v="7"/>
    <m/>
    <m/>
    <n v="0"/>
    <m/>
    <m/>
    <n v="0"/>
    <m/>
    <m/>
    <n v="0"/>
    <m/>
    <m/>
    <n v="0"/>
    <m/>
    <m/>
    <n v="0"/>
    <m/>
    <m/>
    <n v="0"/>
    <m/>
    <m/>
    <n v="0"/>
    <m/>
    <m/>
    <n v="0"/>
    <m/>
    <m/>
    <n v="0"/>
    <m/>
    <m/>
    <n v="0"/>
    <n v="95"/>
    <n v="46191"/>
    <n v="4388145"/>
    <n v="92"/>
    <n v="46234"/>
    <n v="4253528"/>
    <m/>
    <m/>
    <n v="0"/>
    <m/>
    <m/>
    <n v="0"/>
    <m/>
    <m/>
    <n v="0"/>
    <m/>
    <m/>
    <n v="0"/>
    <m/>
    <m/>
    <n v="0"/>
    <m/>
    <m/>
    <n v="0"/>
    <m/>
    <m/>
    <n v="0"/>
    <m/>
    <m/>
    <n v="0"/>
    <m/>
    <m/>
    <n v="0"/>
    <m/>
    <m/>
    <n v="0"/>
    <n v="3"/>
    <n v="53887"/>
    <n v="132271.03020000001"/>
    <n v="3"/>
    <n v="53887"/>
    <n v="132271.03020000001"/>
  </r>
  <r>
    <x v="10"/>
    <s v="Oklahoma State University-Oklahoma City "/>
    <s v="Met criteria for Two-Year with Bachelor's in 2009-10 and 2010-11."/>
    <n v="207397"/>
    <x v="7"/>
    <m/>
    <m/>
    <n v="0"/>
    <m/>
    <m/>
    <n v="0"/>
    <m/>
    <m/>
    <n v="0"/>
    <m/>
    <m/>
    <n v="0"/>
    <m/>
    <m/>
    <n v="0"/>
    <m/>
    <m/>
    <n v="0"/>
    <m/>
    <m/>
    <n v="0"/>
    <m/>
    <m/>
    <n v="0"/>
    <m/>
    <m/>
    <n v="0"/>
    <m/>
    <m/>
    <n v="0"/>
    <n v="81"/>
    <n v="49425"/>
    <n v="4003425"/>
    <n v="82"/>
    <n v="49128"/>
    <n v="4028496"/>
    <m/>
    <m/>
    <n v="0"/>
    <m/>
    <m/>
    <n v="0"/>
    <m/>
    <m/>
    <n v="0"/>
    <m/>
    <m/>
    <n v="0"/>
    <m/>
    <m/>
    <n v="0"/>
    <m/>
    <m/>
    <n v="0"/>
    <m/>
    <m/>
    <n v="0"/>
    <m/>
    <m/>
    <n v="0"/>
    <m/>
    <m/>
    <n v="0"/>
    <m/>
    <m/>
    <n v="0"/>
    <m/>
    <m/>
    <n v="0"/>
    <m/>
    <m/>
    <n v="0"/>
  </r>
  <r>
    <x v="10"/>
    <s v="Rose State College "/>
    <s v="Met the criteria for Two-Year 1 institution in 2009-10 and 2010-11."/>
    <n v="207670"/>
    <x v="7"/>
    <m/>
    <m/>
    <n v="0"/>
    <m/>
    <m/>
    <n v="0"/>
    <m/>
    <m/>
    <n v="0"/>
    <m/>
    <m/>
    <n v="0"/>
    <m/>
    <m/>
    <n v="0"/>
    <m/>
    <m/>
    <n v="0"/>
    <m/>
    <m/>
    <n v="0"/>
    <m/>
    <m/>
    <n v="0"/>
    <m/>
    <m/>
    <n v="0"/>
    <m/>
    <m/>
    <n v="0"/>
    <n v="104"/>
    <n v="46904"/>
    <n v="4878016"/>
    <n v="100"/>
    <n v="46254"/>
    <n v="4625400"/>
    <m/>
    <m/>
    <n v="0"/>
    <m/>
    <m/>
    <n v="0"/>
    <m/>
    <m/>
    <n v="0"/>
    <m/>
    <m/>
    <n v="0"/>
    <m/>
    <m/>
    <n v="0"/>
    <m/>
    <m/>
    <n v="0"/>
    <m/>
    <m/>
    <n v="0"/>
    <m/>
    <m/>
    <n v="0"/>
    <m/>
    <m/>
    <n v="0"/>
    <m/>
    <m/>
    <n v="0"/>
    <n v="17"/>
    <n v="60541"/>
    <n v="842088.98540000001"/>
    <n v="17"/>
    <n v="60655"/>
    <n v="843674.65700000001"/>
  </r>
  <r>
    <x v="10"/>
    <s v="Carl Albert State College"/>
    <s v="Met the criteria for Two-Year 2 institution in 2010-11."/>
    <n v="206923"/>
    <x v="8"/>
    <m/>
    <m/>
    <n v="0"/>
    <m/>
    <m/>
    <n v="0"/>
    <m/>
    <m/>
    <n v="0"/>
    <m/>
    <m/>
    <n v="0"/>
    <m/>
    <m/>
    <n v="0"/>
    <m/>
    <m/>
    <n v="0"/>
    <m/>
    <m/>
    <n v="0"/>
    <m/>
    <m/>
    <n v="0"/>
    <m/>
    <m/>
    <n v="0"/>
    <m/>
    <m/>
    <n v="0"/>
    <n v="39"/>
    <n v="50328"/>
    <n v="1962792"/>
    <n v="47"/>
    <n v="47166"/>
    <n v="2216802"/>
    <m/>
    <m/>
    <n v="0"/>
    <m/>
    <m/>
    <n v="0"/>
    <m/>
    <m/>
    <n v="0"/>
    <m/>
    <m/>
    <n v="0"/>
    <m/>
    <m/>
    <n v="0"/>
    <m/>
    <m/>
    <n v="0"/>
    <m/>
    <m/>
    <n v="0"/>
    <m/>
    <m/>
    <n v="0"/>
    <m/>
    <m/>
    <n v="0"/>
    <m/>
    <m/>
    <n v="0"/>
    <n v="6"/>
    <n v="36505"/>
    <n v="179210.34600000002"/>
    <n v="6"/>
    <n v="36910"/>
    <n v="181198.57200000001"/>
  </r>
  <r>
    <x v="10"/>
    <s v="Connors State College "/>
    <m/>
    <n v="206996"/>
    <x v="8"/>
    <m/>
    <m/>
    <n v="0"/>
    <m/>
    <m/>
    <n v="0"/>
    <m/>
    <m/>
    <n v="0"/>
    <m/>
    <m/>
    <n v="0"/>
    <m/>
    <m/>
    <n v="0"/>
    <m/>
    <m/>
    <n v="0"/>
    <m/>
    <m/>
    <n v="0"/>
    <m/>
    <m/>
    <n v="0"/>
    <m/>
    <m/>
    <n v="0"/>
    <m/>
    <m/>
    <n v="0"/>
    <n v="43"/>
    <n v="43134"/>
    <n v="1854762"/>
    <n v="46"/>
    <n v="43853"/>
    <n v="2017238"/>
    <m/>
    <m/>
    <n v="0"/>
    <m/>
    <m/>
    <n v="0"/>
    <m/>
    <m/>
    <n v="0"/>
    <m/>
    <m/>
    <n v="0"/>
    <m/>
    <m/>
    <n v="0"/>
    <m/>
    <m/>
    <n v="0"/>
    <m/>
    <m/>
    <n v="0"/>
    <m/>
    <m/>
    <n v="0"/>
    <m/>
    <m/>
    <n v="0"/>
    <m/>
    <m/>
    <n v="0"/>
    <n v="3"/>
    <n v="51258"/>
    <n v="125817.88680000001"/>
    <n v="3"/>
    <n v="51465"/>
    <n v="126325.989"/>
  </r>
  <r>
    <x v="10"/>
    <s v="Eastern Oklahoma State College "/>
    <m/>
    <n v="207050"/>
    <x v="8"/>
    <m/>
    <m/>
    <n v="0"/>
    <m/>
    <m/>
    <n v="0"/>
    <m/>
    <m/>
    <n v="0"/>
    <m/>
    <m/>
    <n v="0"/>
    <m/>
    <m/>
    <n v="0"/>
    <m/>
    <m/>
    <n v="0"/>
    <m/>
    <m/>
    <n v="0"/>
    <m/>
    <m/>
    <n v="0"/>
    <m/>
    <m/>
    <n v="0"/>
    <m/>
    <m/>
    <n v="0"/>
    <n v="47"/>
    <n v="42608"/>
    <n v="2002576"/>
    <n v="46"/>
    <n v="45356"/>
    <n v="2086376"/>
    <m/>
    <m/>
    <n v="0"/>
    <m/>
    <m/>
    <n v="0"/>
    <m/>
    <m/>
    <n v="0"/>
    <m/>
    <m/>
    <n v="0"/>
    <m/>
    <m/>
    <n v="0"/>
    <m/>
    <m/>
    <n v="0"/>
    <m/>
    <m/>
    <n v="0"/>
    <m/>
    <m/>
    <n v="0"/>
    <m/>
    <m/>
    <n v="0"/>
    <m/>
    <m/>
    <n v="0"/>
    <m/>
    <m/>
    <n v="0"/>
    <m/>
    <m/>
    <n v="0"/>
  </r>
  <r>
    <x v="10"/>
    <s v="Murray State College "/>
    <s v="Met the criteria for Two-Year 2 institution in 2010-11."/>
    <n v="207236"/>
    <x v="8"/>
    <m/>
    <m/>
    <n v="0"/>
    <m/>
    <m/>
    <n v="0"/>
    <m/>
    <m/>
    <n v="0"/>
    <m/>
    <m/>
    <n v="0"/>
    <m/>
    <m/>
    <n v="0"/>
    <m/>
    <m/>
    <n v="0"/>
    <m/>
    <m/>
    <n v="0"/>
    <m/>
    <m/>
    <n v="0"/>
    <m/>
    <m/>
    <n v="0"/>
    <m/>
    <m/>
    <n v="0"/>
    <n v="40"/>
    <n v="40690"/>
    <n v="1627600"/>
    <n v="36"/>
    <n v="40596"/>
    <n v="1461456"/>
    <m/>
    <m/>
    <n v="0"/>
    <m/>
    <m/>
    <n v="0"/>
    <m/>
    <m/>
    <n v="0"/>
    <m/>
    <m/>
    <n v="0"/>
    <m/>
    <m/>
    <n v="0"/>
    <m/>
    <m/>
    <n v="0"/>
    <m/>
    <m/>
    <n v="0"/>
    <m/>
    <m/>
    <n v="0"/>
    <m/>
    <m/>
    <n v="0"/>
    <m/>
    <m/>
    <n v="0"/>
    <n v="9"/>
    <n v="55880"/>
    <n v="411489.14400000003"/>
    <n v="9"/>
    <n v="56013"/>
    <n v="412468.5294"/>
  </r>
  <r>
    <x v="10"/>
    <s v="Northeastern Oklahoma A &amp; M College "/>
    <m/>
    <n v="207290"/>
    <x v="8"/>
    <m/>
    <m/>
    <n v="0"/>
    <m/>
    <m/>
    <n v="0"/>
    <m/>
    <m/>
    <n v="0"/>
    <m/>
    <m/>
    <n v="0"/>
    <m/>
    <m/>
    <n v="0"/>
    <m/>
    <m/>
    <n v="0"/>
    <m/>
    <m/>
    <n v="0"/>
    <m/>
    <m/>
    <n v="0"/>
    <m/>
    <m/>
    <n v="0"/>
    <m/>
    <m/>
    <n v="0"/>
    <n v="68"/>
    <n v="41333"/>
    <n v="2810644"/>
    <n v="56"/>
    <n v="40971"/>
    <n v="2294376"/>
    <m/>
    <m/>
    <n v="0"/>
    <m/>
    <m/>
    <n v="0"/>
    <m/>
    <m/>
    <n v="0"/>
    <m/>
    <m/>
    <n v="0"/>
    <m/>
    <m/>
    <n v="0"/>
    <m/>
    <m/>
    <n v="0"/>
    <m/>
    <m/>
    <n v="0"/>
    <m/>
    <m/>
    <n v="0"/>
    <m/>
    <m/>
    <n v="0"/>
    <m/>
    <m/>
    <n v="0"/>
    <n v="5"/>
    <n v="53612"/>
    <n v="219326.69200000001"/>
    <n v="10"/>
    <n v="55776"/>
    <n v="456359.23200000002"/>
  </r>
  <r>
    <x v="10"/>
    <s v="Redlands Community College"/>
    <m/>
    <n v="207069"/>
    <x v="8"/>
    <m/>
    <m/>
    <n v="0"/>
    <m/>
    <m/>
    <n v="0"/>
    <m/>
    <m/>
    <n v="0"/>
    <m/>
    <m/>
    <n v="0"/>
    <m/>
    <m/>
    <n v="0"/>
    <m/>
    <m/>
    <n v="0"/>
    <m/>
    <m/>
    <n v="0"/>
    <m/>
    <m/>
    <n v="0"/>
    <m/>
    <m/>
    <n v="0"/>
    <m/>
    <m/>
    <n v="0"/>
    <n v="24"/>
    <n v="40341"/>
    <n v="968184"/>
    <n v="23"/>
    <n v="39478"/>
    <n v="907994"/>
    <m/>
    <m/>
    <n v="0"/>
    <m/>
    <m/>
    <n v="0"/>
    <m/>
    <m/>
    <n v="0"/>
    <m/>
    <m/>
    <n v="0"/>
    <m/>
    <m/>
    <n v="0"/>
    <m/>
    <m/>
    <n v="0"/>
    <m/>
    <m/>
    <n v="0"/>
    <m/>
    <m/>
    <n v="0"/>
    <m/>
    <m/>
    <n v="0"/>
    <m/>
    <m/>
    <n v="0"/>
    <n v="6"/>
    <n v="47765"/>
    <n v="234487.93800000002"/>
    <n v="6"/>
    <n v="47299"/>
    <n v="232200.25080000001"/>
  </r>
  <r>
    <x v="10"/>
    <s v="Seminole State College "/>
    <m/>
    <n v="207740"/>
    <x v="8"/>
    <m/>
    <m/>
    <n v="0"/>
    <m/>
    <m/>
    <n v="0"/>
    <m/>
    <m/>
    <n v="0"/>
    <m/>
    <m/>
    <n v="0"/>
    <m/>
    <m/>
    <n v="0"/>
    <m/>
    <m/>
    <n v="0"/>
    <m/>
    <m/>
    <n v="0"/>
    <m/>
    <m/>
    <n v="0"/>
    <m/>
    <m/>
    <n v="0"/>
    <m/>
    <m/>
    <n v="0"/>
    <n v="38"/>
    <n v="43403"/>
    <n v="1649314"/>
    <n v="40"/>
    <n v="42515"/>
    <n v="1700600"/>
    <m/>
    <m/>
    <n v="0"/>
    <m/>
    <m/>
    <n v="0"/>
    <m/>
    <m/>
    <n v="0"/>
    <m/>
    <m/>
    <n v="0"/>
    <m/>
    <m/>
    <n v="0"/>
    <m/>
    <m/>
    <n v="0"/>
    <m/>
    <m/>
    <n v="0"/>
    <m/>
    <m/>
    <n v="0"/>
    <m/>
    <m/>
    <n v="0"/>
    <m/>
    <m/>
    <n v="0"/>
    <n v="9"/>
    <n v="40410"/>
    <n v="297571.158"/>
    <n v="7"/>
    <n v="45916"/>
    <n v="262979.29840000003"/>
  </r>
  <r>
    <x v="10"/>
    <s v="Western Oklahoma State College "/>
    <m/>
    <n v="208035"/>
    <x v="8"/>
    <m/>
    <m/>
    <n v="0"/>
    <m/>
    <m/>
    <n v="0"/>
    <m/>
    <m/>
    <n v="0"/>
    <m/>
    <m/>
    <n v="0"/>
    <m/>
    <m/>
    <n v="0"/>
    <m/>
    <m/>
    <n v="0"/>
    <m/>
    <m/>
    <n v="0"/>
    <m/>
    <m/>
    <n v="0"/>
    <m/>
    <m/>
    <n v="0"/>
    <m/>
    <m/>
    <n v="0"/>
    <n v="37"/>
    <n v="44416"/>
    <n v="1643392"/>
    <n v="37"/>
    <n v="44564"/>
    <n v="1648868"/>
    <m/>
    <m/>
    <n v="0"/>
    <m/>
    <m/>
    <n v="0"/>
    <m/>
    <m/>
    <n v="0"/>
    <m/>
    <m/>
    <n v="0"/>
    <m/>
    <m/>
    <n v="0"/>
    <m/>
    <m/>
    <n v="0"/>
    <m/>
    <m/>
    <n v="0"/>
    <m/>
    <m/>
    <n v="0"/>
    <m/>
    <m/>
    <n v="0"/>
    <m/>
    <m/>
    <n v="0"/>
    <n v="4"/>
    <n v="51696"/>
    <n v="169190.66880000001"/>
    <n v="4"/>
    <n v="53814"/>
    <n v="176122.45920000001"/>
  </r>
  <r>
    <x v="10"/>
    <s v="Canadian Valley Technology Center                 "/>
    <m/>
    <n v="365374"/>
    <x v="9"/>
    <m/>
    <m/>
    <n v="0"/>
    <m/>
    <m/>
    <n v="0"/>
    <m/>
    <m/>
    <n v="0"/>
    <m/>
    <m/>
    <n v="0"/>
    <m/>
    <m/>
    <n v="0"/>
    <m/>
    <m/>
    <n v="0"/>
    <m/>
    <m/>
    <n v="0"/>
    <m/>
    <m/>
    <n v="0"/>
    <m/>
    <m/>
    <n v="0"/>
    <m/>
    <m/>
    <n v="0"/>
    <n v="39"/>
    <n v="51351"/>
    <n v="2002689"/>
    <n v="39"/>
    <n v="51344"/>
    <n v="2002416"/>
    <m/>
    <m/>
    <n v="0"/>
    <m/>
    <m/>
    <n v="0"/>
    <m/>
    <m/>
    <n v="0"/>
    <m/>
    <m/>
    <n v="0"/>
    <m/>
    <m/>
    <n v="0"/>
    <m/>
    <m/>
    <n v="0"/>
    <m/>
    <m/>
    <n v="0"/>
    <m/>
    <m/>
    <n v="0"/>
    <m/>
    <m/>
    <n v="0"/>
    <m/>
    <m/>
    <n v="0"/>
    <n v="14"/>
    <n v="61319"/>
    <n v="702396.88120000006"/>
    <n v="15"/>
    <n v="63029"/>
    <n v="773554.91700000002"/>
  </r>
  <r>
    <x v="10"/>
    <s v="Francis Tuttle Technology Center                  "/>
    <m/>
    <n v="245999"/>
    <x v="9"/>
    <m/>
    <m/>
    <n v="0"/>
    <m/>
    <m/>
    <n v="0"/>
    <m/>
    <m/>
    <n v="0"/>
    <m/>
    <m/>
    <n v="0"/>
    <m/>
    <m/>
    <n v="0"/>
    <m/>
    <m/>
    <n v="0"/>
    <m/>
    <m/>
    <n v="0"/>
    <m/>
    <m/>
    <n v="0"/>
    <m/>
    <m/>
    <n v="0"/>
    <m/>
    <m/>
    <n v="0"/>
    <n v="75"/>
    <n v="58061"/>
    <n v="4354575"/>
    <n v="76"/>
    <n v="59866"/>
    <n v="4549816"/>
    <m/>
    <m/>
    <n v="0"/>
    <m/>
    <m/>
    <n v="0"/>
    <m/>
    <m/>
    <n v="0"/>
    <m/>
    <m/>
    <n v="0"/>
    <m/>
    <m/>
    <n v="0"/>
    <m/>
    <m/>
    <n v="0"/>
    <m/>
    <m/>
    <n v="0"/>
    <m/>
    <m/>
    <n v="0"/>
    <m/>
    <m/>
    <n v="0"/>
    <m/>
    <m/>
    <n v="0"/>
    <n v="21"/>
    <n v="65490"/>
    <n v="1125262.2780000002"/>
    <n v="22"/>
    <n v="67732"/>
    <n v="1219203.0928"/>
  </r>
  <r>
    <x v="10"/>
    <s v="Great Plains Technology Center                    "/>
    <s v="Met criteria for Technical Institute or College 2 in 2009-10 and 2010-11."/>
    <n v="364548"/>
    <x v="9"/>
    <m/>
    <m/>
    <n v="0"/>
    <m/>
    <m/>
    <n v="0"/>
    <m/>
    <m/>
    <n v="0"/>
    <m/>
    <m/>
    <n v="0"/>
    <m/>
    <m/>
    <n v="0"/>
    <m/>
    <m/>
    <n v="0"/>
    <m/>
    <m/>
    <n v="0"/>
    <m/>
    <m/>
    <n v="0"/>
    <m/>
    <m/>
    <n v="0"/>
    <m/>
    <m/>
    <n v="0"/>
    <n v="32"/>
    <n v="46679"/>
    <n v="1493728"/>
    <n v="31"/>
    <n v="45866"/>
    <n v="1421846"/>
    <m/>
    <m/>
    <n v="0"/>
    <m/>
    <m/>
    <n v="0"/>
    <m/>
    <m/>
    <n v="0"/>
    <m/>
    <m/>
    <n v="0"/>
    <m/>
    <m/>
    <n v="0"/>
    <m/>
    <m/>
    <n v="0"/>
    <m/>
    <m/>
    <n v="0"/>
    <m/>
    <m/>
    <n v="0"/>
    <m/>
    <m/>
    <n v="0"/>
    <m/>
    <m/>
    <n v="0"/>
    <n v="21"/>
    <n v="52150"/>
    <n v="896051.7300000001"/>
    <n v="23"/>
    <n v="51583"/>
    <n v="970719.84380000003"/>
  </r>
  <r>
    <x v="10"/>
    <s v="Metro Technology Centers                          "/>
    <m/>
    <n v="363165"/>
    <x v="9"/>
    <m/>
    <m/>
    <n v="0"/>
    <m/>
    <m/>
    <n v="0"/>
    <m/>
    <m/>
    <n v="0"/>
    <m/>
    <m/>
    <n v="0"/>
    <m/>
    <m/>
    <n v="0"/>
    <m/>
    <m/>
    <n v="0"/>
    <m/>
    <m/>
    <n v="0"/>
    <m/>
    <m/>
    <n v="0"/>
    <m/>
    <m/>
    <n v="0"/>
    <m/>
    <m/>
    <n v="0"/>
    <n v="34"/>
    <n v="51016"/>
    <n v="1734544"/>
    <n v="32"/>
    <n v="50085"/>
    <n v="1602720"/>
    <m/>
    <m/>
    <n v="0"/>
    <m/>
    <m/>
    <n v="0"/>
    <m/>
    <m/>
    <n v="0"/>
    <m/>
    <m/>
    <n v="0"/>
    <m/>
    <m/>
    <n v="0"/>
    <m/>
    <m/>
    <n v="0"/>
    <m/>
    <m/>
    <n v="0"/>
    <m/>
    <m/>
    <n v="0"/>
    <m/>
    <m/>
    <n v="0"/>
    <m/>
    <m/>
    <n v="0"/>
    <n v="30"/>
    <n v="55790"/>
    <n v="1369421.34"/>
    <n v="34"/>
    <n v="55525"/>
    <n v="1544638.87"/>
  </r>
  <r>
    <x v="10"/>
    <s v="Tulsa Technology Center-Broken Arrow Campus       "/>
    <s v="Met criteria for Technical Institute or College 2 in 2009-10 and 2010-11."/>
    <n v="261393"/>
    <x v="9"/>
    <m/>
    <m/>
    <n v="0"/>
    <m/>
    <m/>
    <n v="0"/>
    <m/>
    <m/>
    <n v="0"/>
    <m/>
    <m/>
    <n v="0"/>
    <m/>
    <m/>
    <n v="0"/>
    <m/>
    <m/>
    <n v="0"/>
    <m/>
    <m/>
    <n v="0"/>
    <m/>
    <m/>
    <n v="0"/>
    <m/>
    <m/>
    <n v="0"/>
    <m/>
    <m/>
    <n v="0"/>
    <m/>
    <m/>
    <n v="0"/>
    <m/>
    <m/>
    <n v="0"/>
    <m/>
    <m/>
    <n v="0"/>
    <m/>
    <m/>
    <n v="0"/>
    <m/>
    <m/>
    <n v="0"/>
    <m/>
    <m/>
    <n v="0"/>
    <m/>
    <m/>
    <n v="0"/>
    <m/>
    <m/>
    <n v="0"/>
    <m/>
    <m/>
    <n v="0"/>
    <m/>
    <m/>
    <n v="0"/>
    <m/>
    <m/>
    <n v="0"/>
    <m/>
    <m/>
    <n v="0"/>
    <n v="36"/>
    <n v="55420"/>
    <n v="1632407.1840000001"/>
    <n v="37"/>
    <n v="55364"/>
    <n v="1676056.5176000001"/>
  </r>
  <r>
    <x v="10"/>
    <s v="Autry Technology Center                           "/>
    <m/>
    <n v="365213"/>
    <x v="10"/>
    <m/>
    <m/>
    <n v="0"/>
    <m/>
    <m/>
    <n v="0"/>
    <m/>
    <m/>
    <n v="0"/>
    <m/>
    <m/>
    <n v="0"/>
    <m/>
    <m/>
    <n v="0"/>
    <m/>
    <m/>
    <n v="0"/>
    <m/>
    <m/>
    <n v="0"/>
    <m/>
    <m/>
    <n v="0"/>
    <m/>
    <m/>
    <n v="0"/>
    <m/>
    <m/>
    <n v="0"/>
    <n v="15"/>
    <n v="51080"/>
    <n v="766200"/>
    <n v="18"/>
    <n v="49369"/>
    <n v="888642"/>
    <m/>
    <m/>
    <n v="0"/>
    <m/>
    <m/>
    <n v="0"/>
    <m/>
    <m/>
    <n v="0"/>
    <m/>
    <m/>
    <n v="0"/>
    <m/>
    <m/>
    <n v="0"/>
    <m/>
    <m/>
    <n v="0"/>
    <m/>
    <m/>
    <n v="0"/>
    <m/>
    <m/>
    <n v="0"/>
    <m/>
    <m/>
    <n v="0"/>
    <m/>
    <m/>
    <n v="0"/>
    <n v="14"/>
    <n v="62261"/>
    <n v="713187.30280000006"/>
    <n v="13"/>
    <n v="62054"/>
    <n v="660043.57640000002"/>
  </r>
  <r>
    <x v="10"/>
    <s v="Caddo Kiowa Technology Center                     "/>
    <m/>
    <n v="364946"/>
    <x v="10"/>
    <m/>
    <m/>
    <n v="0"/>
    <m/>
    <m/>
    <n v="0"/>
    <m/>
    <m/>
    <n v="0"/>
    <m/>
    <m/>
    <n v="0"/>
    <m/>
    <m/>
    <n v="0"/>
    <m/>
    <m/>
    <n v="0"/>
    <m/>
    <m/>
    <n v="0"/>
    <m/>
    <m/>
    <n v="0"/>
    <m/>
    <m/>
    <n v="0"/>
    <m/>
    <m/>
    <n v="0"/>
    <n v="21"/>
    <n v="46060"/>
    <n v="967260"/>
    <n v="22"/>
    <n v="47201"/>
    <n v="1038422"/>
    <m/>
    <m/>
    <n v="0"/>
    <m/>
    <m/>
    <n v="0"/>
    <m/>
    <m/>
    <n v="0"/>
    <m/>
    <m/>
    <n v="0"/>
    <m/>
    <m/>
    <n v="0"/>
    <m/>
    <m/>
    <n v="0"/>
    <m/>
    <m/>
    <n v="0"/>
    <m/>
    <m/>
    <n v="0"/>
    <m/>
    <m/>
    <n v="0"/>
    <m/>
    <m/>
    <n v="0"/>
    <n v="13"/>
    <n v="52363"/>
    <n v="556964.28580000007"/>
    <n v="12"/>
    <n v="52061"/>
    <n v="511155.72240000003"/>
  </r>
  <r>
    <x v="10"/>
    <s v="Central Technology Center                         "/>
    <m/>
    <n v="246017"/>
    <x v="10"/>
    <m/>
    <m/>
    <n v="0"/>
    <m/>
    <m/>
    <n v="0"/>
    <m/>
    <m/>
    <n v="0"/>
    <m/>
    <m/>
    <n v="0"/>
    <m/>
    <m/>
    <n v="0"/>
    <m/>
    <m/>
    <n v="0"/>
    <m/>
    <m/>
    <n v="0"/>
    <m/>
    <m/>
    <n v="0"/>
    <m/>
    <m/>
    <n v="0"/>
    <m/>
    <m/>
    <n v="0"/>
    <n v="30"/>
    <n v="46741"/>
    <n v="1402230"/>
    <n v="30"/>
    <n v="46964"/>
    <n v="1408920"/>
    <m/>
    <m/>
    <n v="0"/>
    <m/>
    <m/>
    <n v="0"/>
    <m/>
    <m/>
    <n v="0"/>
    <m/>
    <m/>
    <n v="0"/>
    <m/>
    <m/>
    <n v="0"/>
    <m/>
    <m/>
    <n v="0"/>
    <m/>
    <m/>
    <n v="0"/>
    <m/>
    <m/>
    <n v="0"/>
    <m/>
    <m/>
    <n v="0"/>
    <m/>
    <m/>
    <n v="0"/>
    <n v="20"/>
    <n v="56981"/>
    <n v="932437.08400000003"/>
    <n v="17"/>
    <n v="59084"/>
    <n v="821822.98960000009"/>
  </r>
  <r>
    <x v="10"/>
    <s v="Chisholm Trail Technology Center                  "/>
    <m/>
    <n v="375656"/>
    <x v="10"/>
    <m/>
    <m/>
    <n v="0"/>
    <m/>
    <m/>
    <n v="0"/>
    <m/>
    <m/>
    <n v="0"/>
    <m/>
    <m/>
    <n v="0"/>
    <m/>
    <m/>
    <n v="0"/>
    <m/>
    <m/>
    <n v="0"/>
    <m/>
    <m/>
    <n v="0"/>
    <m/>
    <m/>
    <n v="0"/>
    <m/>
    <m/>
    <n v="0"/>
    <m/>
    <m/>
    <n v="0"/>
    <n v="4"/>
    <n v="40208"/>
    <n v="160832"/>
    <n v="5"/>
    <n v="43970"/>
    <n v="219850"/>
    <m/>
    <m/>
    <n v="0"/>
    <m/>
    <m/>
    <n v="0"/>
    <m/>
    <m/>
    <n v="0"/>
    <m/>
    <m/>
    <n v="0"/>
    <m/>
    <m/>
    <n v="0"/>
    <m/>
    <m/>
    <n v="0"/>
    <m/>
    <m/>
    <n v="0"/>
    <m/>
    <m/>
    <n v="0"/>
    <m/>
    <m/>
    <n v="0"/>
    <m/>
    <m/>
    <n v="0"/>
    <n v="2"/>
    <n v="51700"/>
    <n v="84601.88"/>
    <n v="2"/>
    <n v="54215"/>
    <n v="88717.426000000007"/>
  </r>
  <r>
    <x v="10"/>
    <s v="Eastern Oklahoma County Technology Center         "/>
    <m/>
    <n v="418348"/>
    <x v="10"/>
    <m/>
    <m/>
    <n v="0"/>
    <m/>
    <m/>
    <n v="0"/>
    <m/>
    <m/>
    <n v="0"/>
    <m/>
    <m/>
    <n v="0"/>
    <m/>
    <m/>
    <n v="0"/>
    <m/>
    <m/>
    <n v="0"/>
    <m/>
    <m/>
    <n v="0"/>
    <m/>
    <m/>
    <n v="0"/>
    <m/>
    <m/>
    <n v="0"/>
    <m/>
    <m/>
    <n v="0"/>
    <n v="17"/>
    <n v="49314"/>
    <n v="838338"/>
    <n v="17"/>
    <n v="49314"/>
    <n v="838338"/>
    <m/>
    <m/>
    <n v="0"/>
    <m/>
    <m/>
    <n v="0"/>
    <m/>
    <m/>
    <n v="0"/>
    <m/>
    <m/>
    <n v="0"/>
    <m/>
    <m/>
    <n v="0"/>
    <m/>
    <m/>
    <n v="0"/>
    <m/>
    <m/>
    <n v="0"/>
    <m/>
    <m/>
    <n v="0"/>
    <m/>
    <m/>
    <n v="0"/>
    <m/>
    <m/>
    <n v="0"/>
    <n v="2"/>
    <n v="62253"/>
    <n v="101870.8092"/>
    <n v="2"/>
    <n v="62253"/>
    <n v="101870.8092"/>
  </r>
  <r>
    <x v="10"/>
    <s v="Gordon Cooper Technology Center                   "/>
    <m/>
    <n v="375683"/>
    <x v="10"/>
    <m/>
    <m/>
    <n v="0"/>
    <m/>
    <m/>
    <n v="0"/>
    <m/>
    <m/>
    <n v="0"/>
    <m/>
    <m/>
    <n v="0"/>
    <m/>
    <m/>
    <n v="0"/>
    <m/>
    <m/>
    <n v="0"/>
    <m/>
    <m/>
    <n v="0"/>
    <m/>
    <m/>
    <n v="0"/>
    <m/>
    <m/>
    <n v="0"/>
    <m/>
    <m/>
    <n v="0"/>
    <n v="32"/>
    <n v="50358"/>
    <n v="1611456"/>
    <n v="32"/>
    <n v="50032"/>
    <n v="1601024"/>
    <m/>
    <m/>
    <n v="0"/>
    <m/>
    <m/>
    <n v="0"/>
    <m/>
    <m/>
    <n v="0"/>
    <m/>
    <m/>
    <n v="0"/>
    <m/>
    <m/>
    <n v="0"/>
    <m/>
    <m/>
    <n v="0"/>
    <m/>
    <m/>
    <n v="0"/>
    <m/>
    <m/>
    <n v="0"/>
    <m/>
    <m/>
    <n v="0"/>
    <m/>
    <m/>
    <n v="0"/>
    <n v="7"/>
    <n v="56671"/>
    <n v="324577.48540000001"/>
    <n v="7"/>
    <n v="57122"/>
    <n v="327160.5428"/>
  </r>
  <r>
    <x v="10"/>
    <s v="Green Country Technology Center                   "/>
    <m/>
    <n v="428019"/>
    <x v="10"/>
    <m/>
    <m/>
    <n v="0"/>
    <m/>
    <m/>
    <n v="0"/>
    <m/>
    <m/>
    <n v="0"/>
    <m/>
    <m/>
    <n v="0"/>
    <m/>
    <m/>
    <n v="0"/>
    <m/>
    <m/>
    <n v="0"/>
    <m/>
    <m/>
    <n v="0"/>
    <m/>
    <m/>
    <n v="0"/>
    <m/>
    <m/>
    <n v="0"/>
    <m/>
    <m/>
    <n v="0"/>
    <n v="5"/>
    <n v="45325"/>
    <n v="226625"/>
    <n v="6"/>
    <n v="45724"/>
    <n v="274344"/>
    <m/>
    <m/>
    <n v="0"/>
    <m/>
    <m/>
    <n v="0"/>
    <m/>
    <m/>
    <n v="0"/>
    <m/>
    <m/>
    <n v="0"/>
    <m/>
    <m/>
    <n v="0"/>
    <m/>
    <m/>
    <n v="0"/>
    <m/>
    <m/>
    <n v="0"/>
    <m/>
    <m/>
    <n v="0"/>
    <m/>
    <m/>
    <n v="0"/>
    <m/>
    <m/>
    <n v="0"/>
    <n v="6"/>
    <n v="53608"/>
    <n v="263172.39360000001"/>
    <n v="6"/>
    <n v="54068"/>
    <n v="265430.62560000003"/>
  </r>
  <r>
    <x v="10"/>
    <s v="High Plains Technology Center                     "/>
    <m/>
    <n v="208053"/>
    <x v="10"/>
    <m/>
    <m/>
    <n v="0"/>
    <m/>
    <m/>
    <n v="0"/>
    <m/>
    <m/>
    <n v="0"/>
    <m/>
    <m/>
    <n v="0"/>
    <m/>
    <m/>
    <n v="0"/>
    <m/>
    <m/>
    <n v="0"/>
    <m/>
    <m/>
    <n v="0"/>
    <m/>
    <m/>
    <n v="0"/>
    <m/>
    <m/>
    <n v="0"/>
    <m/>
    <m/>
    <n v="0"/>
    <n v="9"/>
    <n v="50800"/>
    <n v="457200"/>
    <n v="9"/>
    <n v="51022"/>
    <n v="459198"/>
    <m/>
    <m/>
    <n v="0"/>
    <m/>
    <m/>
    <n v="0"/>
    <m/>
    <m/>
    <n v="0"/>
    <m/>
    <m/>
    <n v="0"/>
    <m/>
    <m/>
    <n v="0"/>
    <m/>
    <m/>
    <n v="0"/>
    <m/>
    <m/>
    <n v="0"/>
    <m/>
    <m/>
    <n v="0"/>
    <m/>
    <m/>
    <n v="0"/>
    <m/>
    <m/>
    <n v="0"/>
    <n v="5"/>
    <n v="53195"/>
    <n v="217620.74500000002"/>
    <n v="5"/>
    <n v="54525"/>
    <n v="223061.77500000002"/>
  </r>
  <r>
    <x v="10"/>
    <s v="Indian Capital Technology Center-Muskogee         "/>
    <m/>
    <n v="418296"/>
    <x v="10"/>
    <m/>
    <m/>
    <n v="0"/>
    <m/>
    <m/>
    <n v="0"/>
    <m/>
    <m/>
    <n v="0"/>
    <m/>
    <m/>
    <n v="0"/>
    <m/>
    <m/>
    <n v="0"/>
    <m/>
    <m/>
    <n v="0"/>
    <m/>
    <m/>
    <n v="0"/>
    <m/>
    <m/>
    <n v="0"/>
    <m/>
    <m/>
    <n v="0"/>
    <m/>
    <m/>
    <n v="0"/>
    <n v="20"/>
    <n v="49409"/>
    <n v="988180"/>
    <n v="19"/>
    <n v="49963"/>
    <n v="949297"/>
    <m/>
    <m/>
    <n v="0"/>
    <m/>
    <m/>
    <n v="0"/>
    <m/>
    <m/>
    <n v="0"/>
    <m/>
    <m/>
    <n v="0"/>
    <m/>
    <m/>
    <n v="0"/>
    <m/>
    <m/>
    <n v="0"/>
    <m/>
    <m/>
    <n v="0"/>
    <m/>
    <m/>
    <n v="0"/>
    <m/>
    <m/>
    <n v="0"/>
    <m/>
    <m/>
    <n v="0"/>
    <n v="6"/>
    <n v="58023"/>
    <n v="284846.51160000003"/>
    <n v="6"/>
    <n v="59180"/>
    <n v="290526.45600000001"/>
  </r>
  <r>
    <x v="10"/>
    <s v="Indian Capital Technology Center-Sallisaw         "/>
    <m/>
    <n v="421540"/>
    <x v="10"/>
    <m/>
    <m/>
    <n v="0"/>
    <m/>
    <m/>
    <n v="0"/>
    <m/>
    <m/>
    <n v="0"/>
    <m/>
    <m/>
    <n v="0"/>
    <m/>
    <m/>
    <n v="0"/>
    <m/>
    <m/>
    <n v="0"/>
    <m/>
    <m/>
    <n v="0"/>
    <m/>
    <m/>
    <n v="0"/>
    <m/>
    <m/>
    <n v="0"/>
    <m/>
    <m/>
    <n v="0"/>
    <n v="9"/>
    <n v="49498"/>
    <n v="445482"/>
    <n v="9"/>
    <n v="49998"/>
    <n v="449982"/>
    <m/>
    <m/>
    <n v="0"/>
    <m/>
    <m/>
    <n v="0"/>
    <m/>
    <m/>
    <n v="0"/>
    <m/>
    <m/>
    <n v="0"/>
    <m/>
    <m/>
    <n v="0"/>
    <m/>
    <m/>
    <n v="0"/>
    <m/>
    <m/>
    <n v="0"/>
    <m/>
    <m/>
    <n v="0"/>
    <m/>
    <m/>
    <n v="0"/>
    <m/>
    <m/>
    <n v="0"/>
    <n v="2"/>
    <n v="52131"/>
    <n v="85307.16840000001"/>
    <n v="2"/>
    <n v="52657"/>
    <n v="86167.914799999999"/>
  </r>
  <r>
    <x v="10"/>
    <s v="Indian Capital Technology Center-Stilwell         "/>
    <m/>
    <n v="421559"/>
    <x v="10"/>
    <m/>
    <m/>
    <n v="0"/>
    <m/>
    <m/>
    <n v="0"/>
    <m/>
    <m/>
    <n v="0"/>
    <m/>
    <m/>
    <n v="0"/>
    <m/>
    <m/>
    <n v="0"/>
    <m/>
    <m/>
    <n v="0"/>
    <m/>
    <m/>
    <n v="0"/>
    <m/>
    <m/>
    <n v="0"/>
    <m/>
    <m/>
    <n v="0"/>
    <m/>
    <m/>
    <n v="0"/>
    <n v="6"/>
    <n v="50156"/>
    <n v="300936"/>
    <n v="6"/>
    <n v="50718"/>
    <n v="304308"/>
    <m/>
    <m/>
    <n v="0"/>
    <m/>
    <m/>
    <n v="0"/>
    <m/>
    <m/>
    <n v="0"/>
    <m/>
    <m/>
    <n v="0"/>
    <m/>
    <m/>
    <n v="0"/>
    <m/>
    <m/>
    <n v="0"/>
    <m/>
    <m/>
    <n v="0"/>
    <m/>
    <m/>
    <n v="0"/>
    <m/>
    <m/>
    <n v="0"/>
    <m/>
    <m/>
    <n v="0"/>
    <n v="2"/>
    <n v="56706"/>
    <n v="92793.698400000008"/>
    <n v="2"/>
    <n v="57464"/>
    <n v="94034.089600000007"/>
  </r>
  <r>
    <x v="10"/>
    <s v="Indian Capital Technology Center-Tahlequah        "/>
    <m/>
    <n v="208026"/>
    <x v="10"/>
    <m/>
    <m/>
    <n v="0"/>
    <m/>
    <m/>
    <n v="0"/>
    <m/>
    <m/>
    <n v="0"/>
    <m/>
    <m/>
    <n v="0"/>
    <m/>
    <m/>
    <n v="0"/>
    <m/>
    <m/>
    <n v="0"/>
    <m/>
    <m/>
    <n v="0"/>
    <m/>
    <m/>
    <n v="0"/>
    <m/>
    <m/>
    <n v="0"/>
    <m/>
    <m/>
    <n v="0"/>
    <n v="12"/>
    <n v="49111"/>
    <n v="589332"/>
    <n v="12"/>
    <n v="49247"/>
    <n v="590964"/>
    <m/>
    <m/>
    <n v="0"/>
    <m/>
    <m/>
    <n v="0"/>
    <m/>
    <m/>
    <n v="0"/>
    <m/>
    <m/>
    <n v="0"/>
    <m/>
    <m/>
    <n v="0"/>
    <m/>
    <m/>
    <n v="0"/>
    <m/>
    <m/>
    <n v="0"/>
    <m/>
    <m/>
    <n v="0"/>
    <m/>
    <m/>
    <n v="0"/>
    <m/>
    <m/>
    <n v="0"/>
    <n v="3"/>
    <n v="53726"/>
    <n v="131875.83960000001"/>
    <n v="3"/>
    <n v="55193"/>
    <n v="135476.7378"/>
  </r>
  <r>
    <x v="10"/>
    <s v="Kiamichi Technology Center-Atoka                  "/>
    <m/>
    <n v="375692"/>
    <x v="10"/>
    <m/>
    <m/>
    <n v="0"/>
    <m/>
    <m/>
    <n v="0"/>
    <m/>
    <m/>
    <n v="0"/>
    <m/>
    <m/>
    <n v="0"/>
    <m/>
    <m/>
    <n v="0"/>
    <m/>
    <m/>
    <n v="0"/>
    <m/>
    <m/>
    <n v="0"/>
    <m/>
    <m/>
    <n v="0"/>
    <m/>
    <m/>
    <n v="0"/>
    <m/>
    <m/>
    <n v="0"/>
    <n v="7"/>
    <n v="48865"/>
    <n v="342055"/>
    <n v="7"/>
    <n v="48601"/>
    <n v="340207"/>
    <m/>
    <m/>
    <n v="0"/>
    <m/>
    <m/>
    <n v="0"/>
    <m/>
    <m/>
    <n v="0"/>
    <m/>
    <m/>
    <n v="0"/>
    <m/>
    <m/>
    <n v="0"/>
    <m/>
    <m/>
    <n v="0"/>
    <m/>
    <m/>
    <n v="0"/>
    <m/>
    <m/>
    <n v="0"/>
    <m/>
    <m/>
    <n v="0"/>
    <m/>
    <m/>
    <n v="0"/>
    <n v="1"/>
    <n v="46465"/>
    <n v="38017.663"/>
    <n v="1"/>
    <n v="46465"/>
    <n v="38017.663"/>
  </r>
  <r>
    <x v="10"/>
    <s v="Kiamichi Technology Center-Durant                 "/>
    <m/>
    <n v="375708"/>
    <x v="10"/>
    <m/>
    <m/>
    <n v="0"/>
    <m/>
    <m/>
    <n v="0"/>
    <m/>
    <m/>
    <n v="0"/>
    <m/>
    <m/>
    <n v="0"/>
    <m/>
    <m/>
    <n v="0"/>
    <m/>
    <m/>
    <n v="0"/>
    <m/>
    <m/>
    <n v="0"/>
    <m/>
    <m/>
    <n v="0"/>
    <m/>
    <m/>
    <n v="0"/>
    <m/>
    <m/>
    <n v="0"/>
    <n v="7"/>
    <n v="52473"/>
    <n v="367311"/>
    <n v="7"/>
    <n v="53023"/>
    <n v="371161"/>
    <m/>
    <m/>
    <n v="0"/>
    <m/>
    <m/>
    <n v="0"/>
    <m/>
    <m/>
    <n v="0"/>
    <m/>
    <m/>
    <n v="0"/>
    <m/>
    <m/>
    <n v="0"/>
    <m/>
    <m/>
    <n v="0"/>
    <m/>
    <m/>
    <n v="0"/>
    <m/>
    <m/>
    <n v="0"/>
    <m/>
    <m/>
    <n v="0"/>
    <m/>
    <m/>
    <n v="0"/>
    <n v="2"/>
    <n v="56118"/>
    <n v="91831.495200000005"/>
    <n v="2"/>
    <n v="56718"/>
    <n v="92813.335200000001"/>
  </r>
  <r>
    <x v="10"/>
    <s v="Kiamichi Technology Center-Hugo                   "/>
    <m/>
    <n v="375717"/>
    <x v="10"/>
    <m/>
    <m/>
    <n v="0"/>
    <m/>
    <m/>
    <n v="0"/>
    <m/>
    <m/>
    <n v="0"/>
    <m/>
    <m/>
    <n v="0"/>
    <m/>
    <m/>
    <n v="0"/>
    <m/>
    <m/>
    <n v="0"/>
    <m/>
    <m/>
    <n v="0"/>
    <m/>
    <m/>
    <n v="0"/>
    <m/>
    <m/>
    <n v="0"/>
    <m/>
    <m/>
    <n v="0"/>
    <n v="9"/>
    <n v="52493"/>
    <n v="472437"/>
    <n v="9"/>
    <n v="53032"/>
    <n v="477288"/>
    <m/>
    <m/>
    <n v="0"/>
    <m/>
    <m/>
    <n v="0"/>
    <m/>
    <m/>
    <n v="0"/>
    <m/>
    <m/>
    <n v="0"/>
    <m/>
    <m/>
    <n v="0"/>
    <m/>
    <m/>
    <n v="0"/>
    <m/>
    <m/>
    <n v="0"/>
    <m/>
    <m/>
    <n v="0"/>
    <m/>
    <m/>
    <n v="0"/>
    <m/>
    <m/>
    <n v="0"/>
    <n v="2"/>
    <n v="58953"/>
    <n v="96470.689200000008"/>
    <n v="3"/>
    <n v="53990"/>
    <n v="132523.85399999999"/>
  </r>
  <r>
    <x v="10"/>
    <s v="Kiamichi Technology Center-Idabel                 "/>
    <m/>
    <n v="375735"/>
    <x v="10"/>
    <m/>
    <m/>
    <n v="0"/>
    <m/>
    <m/>
    <n v="0"/>
    <m/>
    <m/>
    <n v="0"/>
    <m/>
    <m/>
    <n v="0"/>
    <m/>
    <m/>
    <n v="0"/>
    <m/>
    <m/>
    <n v="0"/>
    <m/>
    <m/>
    <n v="0"/>
    <m/>
    <m/>
    <n v="0"/>
    <m/>
    <m/>
    <n v="0"/>
    <m/>
    <m/>
    <n v="0"/>
    <n v="9"/>
    <n v="49974"/>
    <n v="449766"/>
    <n v="9"/>
    <n v="52238"/>
    <n v="470142"/>
    <m/>
    <m/>
    <n v="0"/>
    <m/>
    <m/>
    <n v="0"/>
    <m/>
    <m/>
    <n v="0"/>
    <m/>
    <m/>
    <n v="0"/>
    <m/>
    <m/>
    <n v="0"/>
    <m/>
    <m/>
    <n v="0"/>
    <m/>
    <m/>
    <n v="0"/>
    <m/>
    <m/>
    <n v="0"/>
    <m/>
    <m/>
    <n v="0"/>
    <m/>
    <m/>
    <n v="0"/>
    <n v="3"/>
    <n v="59513"/>
    <n v="146080.60980000001"/>
    <n v="3"/>
    <n v="59173"/>
    <n v="145246.04579999999"/>
  </r>
  <r>
    <x v="10"/>
    <s v="Kiamichi Technology Center-McAlester              "/>
    <m/>
    <n v="375726"/>
    <x v="10"/>
    <m/>
    <m/>
    <n v="0"/>
    <m/>
    <m/>
    <n v="0"/>
    <m/>
    <m/>
    <n v="0"/>
    <m/>
    <m/>
    <n v="0"/>
    <m/>
    <m/>
    <n v="0"/>
    <m/>
    <m/>
    <n v="0"/>
    <m/>
    <m/>
    <n v="0"/>
    <m/>
    <m/>
    <n v="0"/>
    <m/>
    <m/>
    <n v="0"/>
    <m/>
    <m/>
    <n v="0"/>
    <n v="16"/>
    <n v="49599"/>
    <n v="793584"/>
    <n v="16"/>
    <n v="50538"/>
    <n v="808608"/>
    <m/>
    <m/>
    <n v="0"/>
    <m/>
    <m/>
    <n v="0"/>
    <m/>
    <m/>
    <n v="0"/>
    <m/>
    <m/>
    <n v="0"/>
    <m/>
    <m/>
    <n v="0"/>
    <m/>
    <m/>
    <n v="0"/>
    <m/>
    <m/>
    <n v="0"/>
    <m/>
    <m/>
    <n v="0"/>
    <m/>
    <m/>
    <n v="0"/>
    <m/>
    <m/>
    <n v="0"/>
    <n v="4"/>
    <n v="59454"/>
    <n v="194581.05120000002"/>
    <n v="4"/>
    <n v="59754"/>
    <n v="195562.89120000001"/>
  </r>
  <r>
    <x v="10"/>
    <s v="Kiamichi Technology Center-Poteau                 "/>
    <m/>
    <n v="375744"/>
    <x v="10"/>
    <m/>
    <m/>
    <n v="0"/>
    <m/>
    <m/>
    <n v="0"/>
    <m/>
    <m/>
    <n v="0"/>
    <m/>
    <m/>
    <n v="0"/>
    <m/>
    <m/>
    <n v="0"/>
    <m/>
    <m/>
    <n v="0"/>
    <m/>
    <m/>
    <n v="0"/>
    <m/>
    <m/>
    <n v="0"/>
    <m/>
    <m/>
    <n v="0"/>
    <m/>
    <m/>
    <n v="0"/>
    <n v="9"/>
    <n v="50351"/>
    <n v="453159"/>
    <n v="10"/>
    <n v="50781"/>
    <n v="507810"/>
    <m/>
    <m/>
    <n v="0"/>
    <m/>
    <m/>
    <n v="0"/>
    <m/>
    <m/>
    <n v="0"/>
    <m/>
    <m/>
    <n v="0"/>
    <m/>
    <m/>
    <n v="0"/>
    <m/>
    <m/>
    <n v="0"/>
    <m/>
    <m/>
    <n v="0"/>
    <m/>
    <m/>
    <n v="0"/>
    <m/>
    <m/>
    <n v="0"/>
    <m/>
    <m/>
    <n v="0"/>
    <n v="3"/>
    <n v="52998"/>
    <n v="130088.89080000001"/>
    <n v="3"/>
    <n v="53738"/>
    <n v="131905.2948"/>
  </r>
  <r>
    <x v="10"/>
    <s v="Kiamichi Technology Center-Spiro                  "/>
    <m/>
    <n v="375753"/>
    <x v="10"/>
    <m/>
    <m/>
    <n v="0"/>
    <m/>
    <m/>
    <n v="0"/>
    <m/>
    <m/>
    <n v="0"/>
    <m/>
    <m/>
    <n v="0"/>
    <m/>
    <m/>
    <n v="0"/>
    <m/>
    <m/>
    <n v="0"/>
    <m/>
    <m/>
    <n v="0"/>
    <m/>
    <m/>
    <n v="0"/>
    <m/>
    <m/>
    <n v="0"/>
    <m/>
    <m/>
    <n v="0"/>
    <n v="2"/>
    <n v="47425"/>
    <n v="94850"/>
    <n v="2"/>
    <n v="47925"/>
    <n v="95850"/>
    <m/>
    <m/>
    <n v="0"/>
    <m/>
    <m/>
    <n v="0"/>
    <m/>
    <m/>
    <n v="0"/>
    <m/>
    <m/>
    <n v="0"/>
    <m/>
    <m/>
    <n v="0"/>
    <m/>
    <m/>
    <n v="0"/>
    <m/>
    <m/>
    <n v="0"/>
    <m/>
    <m/>
    <n v="0"/>
    <m/>
    <m/>
    <n v="0"/>
    <m/>
    <m/>
    <n v="0"/>
    <m/>
    <m/>
    <n v="0"/>
    <m/>
    <m/>
    <n v="0"/>
  </r>
  <r>
    <x v="10"/>
    <s v="Kiamichi Technology Center-Stigler                "/>
    <m/>
    <n v="405748"/>
    <x v="10"/>
    <m/>
    <m/>
    <n v="0"/>
    <m/>
    <m/>
    <n v="0"/>
    <m/>
    <m/>
    <n v="0"/>
    <m/>
    <m/>
    <n v="0"/>
    <m/>
    <m/>
    <n v="0"/>
    <m/>
    <m/>
    <n v="0"/>
    <m/>
    <m/>
    <n v="0"/>
    <m/>
    <m/>
    <n v="0"/>
    <m/>
    <m/>
    <n v="0"/>
    <m/>
    <m/>
    <n v="0"/>
    <n v="5"/>
    <n v="55580"/>
    <n v="277900"/>
    <n v="6"/>
    <n v="48369"/>
    <n v="290214"/>
    <m/>
    <m/>
    <n v="0"/>
    <m/>
    <m/>
    <n v="0"/>
    <m/>
    <m/>
    <n v="0"/>
    <m/>
    <m/>
    <n v="0"/>
    <m/>
    <m/>
    <n v="0"/>
    <m/>
    <m/>
    <n v="0"/>
    <m/>
    <m/>
    <n v="0"/>
    <m/>
    <m/>
    <n v="0"/>
    <m/>
    <m/>
    <n v="0"/>
    <m/>
    <m/>
    <n v="0"/>
    <m/>
    <m/>
    <n v="0"/>
    <m/>
    <m/>
    <n v="0"/>
  </r>
  <r>
    <x v="10"/>
    <s v="Kiamichi Technology Center-Talihina               "/>
    <m/>
    <n v="375762"/>
    <x v="10"/>
    <m/>
    <m/>
    <n v="0"/>
    <m/>
    <m/>
    <n v="0"/>
    <m/>
    <m/>
    <n v="0"/>
    <m/>
    <m/>
    <n v="0"/>
    <m/>
    <m/>
    <n v="0"/>
    <m/>
    <m/>
    <n v="0"/>
    <m/>
    <m/>
    <n v="0"/>
    <m/>
    <m/>
    <n v="0"/>
    <m/>
    <m/>
    <n v="0"/>
    <m/>
    <m/>
    <n v="0"/>
    <n v="5"/>
    <n v="51120"/>
    <n v="255600"/>
    <n v="4"/>
    <n v="50096"/>
    <n v="200384"/>
    <m/>
    <m/>
    <n v="0"/>
    <m/>
    <m/>
    <n v="0"/>
    <m/>
    <m/>
    <n v="0"/>
    <m/>
    <m/>
    <n v="0"/>
    <m/>
    <m/>
    <n v="0"/>
    <m/>
    <m/>
    <n v="0"/>
    <m/>
    <m/>
    <n v="0"/>
    <m/>
    <m/>
    <n v="0"/>
    <m/>
    <m/>
    <n v="0"/>
    <m/>
    <m/>
    <n v="0"/>
    <m/>
    <m/>
    <n v="0"/>
    <m/>
    <m/>
    <n v="0"/>
  </r>
  <r>
    <x v="10"/>
    <s v="Meridian Technology Center                        "/>
    <m/>
    <n v="365480"/>
    <x v="10"/>
    <m/>
    <m/>
    <n v="0"/>
    <m/>
    <m/>
    <n v="0"/>
    <m/>
    <m/>
    <n v="0"/>
    <m/>
    <m/>
    <n v="0"/>
    <m/>
    <m/>
    <n v="0"/>
    <m/>
    <m/>
    <n v="0"/>
    <m/>
    <m/>
    <n v="0"/>
    <m/>
    <m/>
    <n v="0"/>
    <m/>
    <m/>
    <n v="0"/>
    <m/>
    <m/>
    <n v="0"/>
    <n v="24"/>
    <n v="49949"/>
    <n v="1198776"/>
    <n v="24"/>
    <n v="49029"/>
    <n v="1176696"/>
    <m/>
    <m/>
    <n v="0"/>
    <m/>
    <m/>
    <n v="0"/>
    <m/>
    <m/>
    <n v="0"/>
    <m/>
    <m/>
    <n v="0"/>
    <m/>
    <m/>
    <n v="0"/>
    <m/>
    <m/>
    <n v="0"/>
    <m/>
    <m/>
    <n v="0"/>
    <m/>
    <m/>
    <n v="0"/>
    <m/>
    <m/>
    <n v="0"/>
    <m/>
    <m/>
    <n v="0"/>
    <n v="10"/>
    <n v="58832"/>
    <n v="481363.424"/>
    <n v="11"/>
    <n v="58497"/>
    <n v="526484.69940000004"/>
  </r>
  <r>
    <x v="10"/>
    <s v="Mid-America Technology Center                     "/>
    <m/>
    <n v="418320"/>
    <x v="10"/>
    <m/>
    <m/>
    <n v="0"/>
    <m/>
    <m/>
    <n v="0"/>
    <m/>
    <m/>
    <n v="0"/>
    <m/>
    <m/>
    <n v="0"/>
    <m/>
    <m/>
    <n v="0"/>
    <m/>
    <m/>
    <n v="0"/>
    <m/>
    <m/>
    <n v="0"/>
    <m/>
    <m/>
    <n v="0"/>
    <m/>
    <m/>
    <n v="0"/>
    <m/>
    <m/>
    <n v="0"/>
    <n v="21"/>
    <n v="48643"/>
    <n v="1021503"/>
    <n v="20"/>
    <n v="49124"/>
    <n v="982480"/>
    <m/>
    <m/>
    <n v="0"/>
    <m/>
    <m/>
    <n v="0"/>
    <m/>
    <m/>
    <n v="0"/>
    <m/>
    <m/>
    <n v="0"/>
    <m/>
    <m/>
    <n v="0"/>
    <m/>
    <m/>
    <n v="0"/>
    <m/>
    <m/>
    <n v="0"/>
    <m/>
    <m/>
    <n v="0"/>
    <m/>
    <m/>
    <n v="0"/>
    <m/>
    <m/>
    <n v="0"/>
    <n v="7"/>
    <n v="64794"/>
    <n v="371101.1556"/>
    <n v="7"/>
    <n v="62308"/>
    <n v="356862.83920000005"/>
  </r>
  <r>
    <x v="10"/>
    <s v="Mid-Del Technology Center                         "/>
    <m/>
    <n v="431017"/>
    <x v="10"/>
    <m/>
    <m/>
    <n v="0"/>
    <m/>
    <m/>
    <n v="0"/>
    <m/>
    <m/>
    <n v="0"/>
    <m/>
    <m/>
    <n v="0"/>
    <m/>
    <m/>
    <n v="0"/>
    <m/>
    <m/>
    <n v="0"/>
    <m/>
    <m/>
    <n v="0"/>
    <m/>
    <m/>
    <n v="0"/>
    <m/>
    <m/>
    <n v="0"/>
    <m/>
    <m/>
    <n v="0"/>
    <n v="21"/>
    <n v="51648"/>
    <n v="1084608"/>
    <n v="19"/>
    <n v="52087"/>
    <n v="989653"/>
    <m/>
    <m/>
    <n v="0"/>
    <m/>
    <m/>
    <n v="0"/>
    <m/>
    <m/>
    <n v="0"/>
    <m/>
    <m/>
    <n v="0"/>
    <m/>
    <m/>
    <n v="0"/>
    <m/>
    <m/>
    <n v="0"/>
    <m/>
    <m/>
    <n v="0"/>
    <m/>
    <m/>
    <n v="0"/>
    <m/>
    <m/>
    <n v="0"/>
    <m/>
    <m/>
    <n v="0"/>
    <n v="6"/>
    <n v="62447"/>
    <n v="306564.8124"/>
    <n v="6"/>
    <n v="62447"/>
    <n v="306564.8124"/>
  </r>
  <r>
    <x v="10"/>
    <s v="Moore Norman Technology Center                    "/>
    <m/>
    <n v="248606"/>
    <x v="10"/>
    <m/>
    <m/>
    <n v="0"/>
    <m/>
    <m/>
    <n v="0"/>
    <m/>
    <m/>
    <n v="0"/>
    <m/>
    <m/>
    <n v="0"/>
    <m/>
    <m/>
    <n v="0"/>
    <m/>
    <m/>
    <n v="0"/>
    <m/>
    <m/>
    <n v="0"/>
    <m/>
    <m/>
    <n v="0"/>
    <m/>
    <m/>
    <n v="0"/>
    <m/>
    <m/>
    <n v="0"/>
    <n v="46"/>
    <n v="56723"/>
    <n v="2609258"/>
    <n v="45"/>
    <n v="56781"/>
    <n v="2555145"/>
    <m/>
    <m/>
    <n v="0"/>
    <m/>
    <m/>
    <n v="0"/>
    <m/>
    <m/>
    <n v="0"/>
    <m/>
    <m/>
    <n v="0"/>
    <m/>
    <m/>
    <n v="0"/>
    <m/>
    <m/>
    <n v="0"/>
    <m/>
    <m/>
    <n v="0"/>
    <m/>
    <m/>
    <n v="0"/>
    <m/>
    <m/>
    <n v="0"/>
    <m/>
    <m/>
    <n v="0"/>
    <n v="1"/>
    <n v="48628"/>
    <n v="39787.429600000003"/>
    <n v="1"/>
    <n v="48628"/>
    <n v="39787.429600000003"/>
  </r>
  <r>
    <x v="10"/>
    <s v="Northeast Technology Center-Afton                 "/>
    <m/>
    <n v="420459"/>
    <x v="10"/>
    <m/>
    <m/>
    <n v="0"/>
    <m/>
    <m/>
    <n v="0"/>
    <m/>
    <m/>
    <n v="0"/>
    <m/>
    <m/>
    <n v="0"/>
    <m/>
    <m/>
    <n v="0"/>
    <m/>
    <m/>
    <n v="0"/>
    <m/>
    <m/>
    <n v="0"/>
    <m/>
    <m/>
    <n v="0"/>
    <m/>
    <m/>
    <n v="0"/>
    <m/>
    <m/>
    <n v="0"/>
    <n v="16"/>
    <n v="53112"/>
    <n v="849792"/>
    <n v="15"/>
    <n v="54746"/>
    <n v="821190"/>
    <m/>
    <m/>
    <n v="0"/>
    <m/>
    <m/>
    <n v="0"/>
    <m/>
    <m/>
    <n v="0"/>
    <m/>
    <m/>
    <n v="0"/>
    <m/>
    <m/>
    <n v="0"/>
    <m/>
    <m/>
    <n v="0"/>
    <m/>
    <m/>
    <n v="0"/>
    <m/>
    <m/>
    <n v="0"/>
    <m/>
    <m/>
    <n v="0"/>
    <m/>
    <m/>
    <n v="0"/>
    <n v="4"/>
    <n v="62323"/>
    <n v="203970.7144"/>
    <n v="4"/>
    <n v="64766"/>
    <n v="211966.1648"/>
  </r>
  <r>
    <x v="10"/>
    <s v="Northeast Technology Center-Kansas                "/>
    <m/>
    <n v="432074"/>
    <x v="10"/>
    <m/>
    <m/>
    <n v="0"/>
    <m/>
    <m/>
    <n v="0"/>
    <m/>
    <m/>
    <n v="0"/>
    <m/>
    <m/>
    <n v="0"/>
    <m/>
    <m/>
    <n v="0"/>
    <m/>
    <m/>
    <n v="0"/>
    <m/>
    <m/>
    <n v="0"/>
    <m/>
    <m/>
    <n v="0"/>
    <m/>
    <m/>
    <n v="0"/>
    <m/>
    <m/>
    <n v="0"/>
    <n v="6"/>
    <n v="50511"/>
    <n v="303066"/>
    <n v="6"/>
    <n v="50328"/>
    <n v="301968"/>
    <m/>
    <m/>
    <n v="0"/>
    <m/>
    <m/>
    <n v="0"/>
    <m/>
    <m/>
    <n v="0"/>
    <m/>
    <m/>
    <n v="0"/>
    <m/>
    <m/>
    <n v="0"/>
    <m/>
    <m/>
    <n v="0"/>
    <m/>
    <m/>
    <n v="0"/>
    <m/>
    <m/>
    <n v="0"/>
    <m/>
    <m/>
    <n v="0"/>
    <m/>
    <m/>
    <n v="0"/>
    <n v="3"/>
    <n v="63708"/>
    <n v="156377.6568"/>
    <n v="3"/>
    <n v="64983"/>
    <n v="159507.27180000002"/>
  </r>
  <r>
    <x v="10"/>
    <s v="Northeast Technology Center-Pryor                 "/>
    <m/>
    <n v="418339"/>
    <x v="10"/>
    <m/>
    <m/>
    <n v="0"/>
    <m/>
    <m/>
    <n v="0"/>
    <m/>
    <m/>
    <n v="0"/>
    <m/>
    <m/>
    <n v="0"/>
    <m/>
    <m/>
    <n v="0"/>
    <m/>
    <m/>
    <n v="0"/>
    <m/>
    <m/>
    <n v="0"/>
    <m/>
    <m/>
    <n v="0"/>
    <m/>
    <m/>
    <n v="0"/>
    <m/>
    <m/>
    <n v="0"/>
    <n v="15"/>
    <n v="53564"/>
    <n v="803460"/>
    <n v="14"/>
    <n v="55037"/>
    <n v="770518"/>
    <m/>
    <m/>
    <n v="0"/>
    <m/>
    <m/>
    <n v="0"/>
    <m/>
    <m/>
    <n v="0"/>
    <m/>
    <m/>
    <n v="0"/>
    <m/>
    <m/>
    <n v="0"/>
    <m/>
    <m/>
    <n v="0"/>
    <m/>
    <m/>
    <n v="0"/>
    <m/>
    <m/>
    <n v="0"/>
    <m/>
    <m/>
    <n v="0"/>
    <m/>
    <m/>
    <n v="0"/>
    <n v="4"/>
    <n v="60080"/>
    <n v="196629.82400000002"/>
    <n v="3"/>
    <n v="62244"/>
    <n v="152784.12239999999"/>
  </r>
  <r>
    <x v="10"/>
    <s v="Northwest Technology Center-Alva                  "/>
    <m/>
    <n v="366623"/>
    <x v="10"/>
    <m/>
    <m/>
    <n v="0"/>
    <m/>
    <m/>
    <n v="0"/>
    <m/>
    <m/>
    <n v="0"/>
    <m/>
    <m/>
    <n v="0"/>
    <m/>
    <m/>
    <n v="0"/>
    <m/>
    <m/>
    <n v="0"/>
    <m/>
    <m/>
    <n v="0"/>
    <m/>
    <m/>
    <n v="0"/>
    <m/>
    <m/>
    <n v="0"/>
    <m/>
    <m/>
    <n v="0"/>
    <n v="5"/>
    <n v="50480"/>
    <n v="252400"/>
    <n v="5"/>
    <n v="50580"/>
    <n v="252900"/>
    <m/>
    <m/>
    <n v="0"/>
    <m/>
    <m/>
    <n v="0"/>
    <m/>
    <m/>
    <n v="0"/>
    <m/>
    <m/>
    <n v="0"/>
    <m/>
    <m/>
    <n v="0"/>
    <m/>
    <m/>
    <n v="0"/>
    <m/>
    <m/>
    <n v="0"/>
    <m/>
    <m/>
    <n v="0"/>
    <m/>
    <m/>
    <n v="0"/>
    <m/>
    <m/>
    <n v="0"/>
    <n v="1"/>
    <n v="60432"/>
    <n v="49445.462400000004"/>
    <n v="1"/>
    <n v="60552"/>
    <n v="49543.646400000005"/>
  </r>
  <r>
    <x v="10"/>
    <s v="Northwest Technology Center-Fairview              "/>
    <m/>
    <n v="407601"/>
    <x v="10"/>
    <m/>
    <m/>
    <n v="0"/>
    <m/>
    <m/>
    <n v="0"/>
    <m/>
    <m/>
    <n v="0"/>
    <m/>
    <m/>
    <n v="0"/>
    <m/>
    <m/>
    <n v="0"/>
    <m/>
    <m/>
    <n v="0"/>
    <m/>
    <m/>
    <n v="0"/>
    <m/>
    <m/>
    <n v="0"/>
    <m/>
    <m/>
    <n v="0"/>
    <m/>
    <m/>
    <n v="0"/>
    <n v="5"/>
    <n v="50340"/>
    <n v="251700"/>
    <n v="6"/>
    <n v="50260"/>
    <n v="301560"/>
    <m/>
    <m/>
    <n v="0"/>
    <m/>
    <m/>
    <n v="0"/>
    <m/>
    <m/>
    <n v="0"/>
    <m/>
    <m/>
    <n v="0"/>
    <m/>
    <m/>
    <n v="0"/>
    <m/>
    <m/>
    <n v="0"/>
    <m/>
    <m/>
    <n v="0"/>
    <m/>
    <m/>
    <n v="0"/>
    <m/>
    <m/>
    <n v="0"/>
    <m/>
    <m/>
    <n v="0"/>
    <m/>
    <m/>
    <n v="0"/>
    <m/>
    <m/>
    <n v="0"/>
  </r>
  <r>
    <x v="10"/>
    <s v="Pioneer Technology Center                         "/>
    <m/>
    <n v="364627"/>
    <x v="10"/>
    <m/>
    <m/>
    <n v="0"/>
    <m/>
    <m/>
    <n v="0"/>
    <m/>
    <m/>
    <n v="0"/>
    <m/>
    <m/>
    <n v="0"/>
    <m/>
    <m/>
    <n v="0"/>
    <m/>
    <m/>
    <n v="0"/>
    <m/>
    <m/>
    <n v="0"/>
    <m/>
    <m/>
    <n v="0"/>
    <m/>
    <m/>
    <n v="0"/>
    <m/>
    <m/>
    <n v="0"/>
    <n v="15"/>
    <n v="50208"/>
    <n v="753120"/>
    <n v="12"/>
    <n v="49405"/>
    <n v="592860"/>
    <m/>
    <m/>
    <n v="0"/>
    <m/>
    <m/>
    <n v="0"/>
    <m/>
    <m/>
    <n v="0"/>
    <m/>
    <m/>
    <n v="0"/>
    <m/>
    <m/>
    <n v="0"/>
    <m/>
    <m/>
    <n v="0"/>
    <m/>
    <m/>
    <n v="0"/>
    <m/>
    <m/>
    <n v="0"/>
    <m/>
    <m/>
    <n v="0"/>
    <m/>
    <m/>
    <n v="0"/>
    <n v="10"/>
    <n v="54441"/>
    <n v="445436.26200000005"/>
    <n v="13"/>
    <n v="54695"/>
    <n v="581768.83700000006"/>
  </r>
  <r>
    <x v="10"/>
    <s v="Pontotoc Technology Center                        "/>
    <m/>
    <n v="206905"/>
    <x v="10"/>
    <m/>
    <m/>
    <n v="0"/>
    <m/>
    <m/>
    <n v="0"/>
    <m/>
    <m/>
    <n v="0"/>
    <m/>
    <m/>
    <n v="0"/>
    <m/>
    <m/>
    <n v="0"/>
    <m/>
    <m/>
    <n v="0"/>
    <m/>
    <m/>
    <n v="0"/>
    <m/>
    <m/>
    <n v="0"/>
    <m/>
    <m/>
    <n v="0"/>
    <m/>
    <m/>
    <n v="0"/>
    <n v="6"/>
    <n v="45963"/>
    <n v="275778"/>
    <n v="6"/>
    <n v="43420"/>
    <n v="260520"/>
    <m/>
    <m/>
    <n v="0"/>
    <m/>
    <m/>
    <n v="0"/>
    <m/>
    <m/>
    <n v="0"/>
    <m/>
    <m/>
    <n v="0"/>
    <m/>
    <m/>
    <n v="0"/>
    <m/>
    <m/>
    <n v="0"/>
    <m/>
    <m/>
    <n v="0"/>
    <m/>
    <m/>
    <n v="0"/>
    <m/>
    <m/>
    <n v="0"/>
    <m/>
    <m/>
    <n v="0"/>
    <n v="8"/>
    <n v="51020"/>
    <n v="333956.51199999999"/>
    <n v="7"/>
    <n v="51915"/>
    <n v="297337.97100000002"/>
  </r>
  <r>
    <x v="10"/>
    <s v="Red River Technology Center                       "/>
    <m/>
    <n v="250993"/>
    <x v="10"/>
    <m/>
    <m/>
    <n v="0"/>
    <m/>
    <m/>
    <n v="0"/>
    <m/>
    <m/>
    <n v="0"/>
    <m/>
    <m/>
    <n v="0"/>
    <m/>
    <m/>
    <n v="0"/>
    <m/>
    <m/>
    <n v="0"/>
    <m/>
    <m/>
    <n v="0"/>
    <m/>
    <m/>
    <n v="0"/>
    <m/>
    <m/>
    <n v="0"/>
    <m/>
    <m/>
    <n v="0"/>
    <n v="15"/>
    <n v="49398"/>
    <n v="740970"/>
    <n v="16"/>
    <n v="49092"/>
    <n v="785472"/>
    <m/>
    <m/>
    <n v="0"/>
    <m/>
    <m/>
    <n v="0"/>
    <m/>
    <m/>
    <n v="0"/>
    <m/>
    <m/>
    <n v="0"/>
    <m/>
    <m/>
    <n v="0"/>
    <m/>
    <m/>
    <n v="0"/>
    <m/>
    <m/>
    <n v="0"/>
    <m/>
    <m/>
    <n v="0"/>
    <m/>
    <m/>
    <n v="0"/>
    <m/>
    <m/>
    <n v="0"/>
    <n v="6"/>
    <n v="50622"/>
    <n v="248513.52240000002"/>
    <n v="6"/>
    <n v="51662"/>
    <n v="253619.09040000002"/>
  </r>
  <r>
    <x v="10"/>
    <s v="Southern Oklahoma Technology Center               "/>
    <m/>
    <n v="365198"/>
    <x v="10"/>
    <m/>
    <m/>
    <n v="0"/>
    <m/>
    <m/>
    <n v="0"/>
    <m/>
    <m/>
    <n v="0"/>
    <m/>
    <m/>
    <n v="0"/>
    <m/>
    <m/>
    <n v="0"/>
    <m/>
    <m/>
    <n v="0"/>
    <m/>
    <m/>
    <n v="0"/>
    <m/>
    <m/>
    <n v="0"/>
    <m/>
    <m/>
    <n v="0"/>
    <m/>
    <m/>
    <n v="0"/>
    <m/>
    <m/>
    <n v="0"/>
    <n v="1"/>
    <n v="46020"/>
    <n v="46020"/>
    <m/>
    <m/>
    <n v="0"/>
    <m/>
    <m/>
    <n v="0"/>
    <m/>
    <m/>
    <n v="0"/>
    <m/>
    <m/>
    <n v="0"/>
    <m/>
    <m/>
    <n v="0"/>
    <m/>
    <m/>
    <n v="0"/>
    <m/>
    <m/>
    <n v="0"/>
    <m/>
    <m/>
    <n v="0"/>
    <m/>
    <m/>
    <n v="0"/>
    <m/>
    <m/>
    <n v="0"/>
    <n v="25"/>
    <n v="48634"/>
    <n v="994808.47000000009"/>
    <n v="23"/>
    <n v="50209"/>
    <n v="944863.08740000008"/>
  </r>
  <r>
    <x v="10"/>
    <s v="Southwest Technology Center                       "/>
    <m/>
    <n v="368364"/>
    <x v="10"/>
    <m/>
    <m/>
    <n v="0"/>
    <m/>
    <m/>
    <n v="0"/>
    <m/>
    <m/>
    <n v="0"/>
    <m/>
    <m/>
    <n v="0"/>
    <m/>
    <m/>
    <n v="0"/>
    <m/>
    <m/>
    <n v="0"/>
    <m/>
    <m/>
    <n v="0"/>
    <m/>
    <m/>
    <n v="0"/>
    <m/>
    <m/>
    <n v="0"/>
    <m/>
    <m/>
    <n v="0"/>
    <n v="8"/>
    <n v="41984"/>
    <n v="335872"/>
    <n v="8"/>
    <n v="42362"/>
    <n v="338896"/>
    <m/>
    <m/>
    <n v="0"/>
    <m/>
    <m/>
    <n v="0"/>
    <m/>
    <m/>
    <n v="0"/>
    <m/>
    <m/>
    <n v="0"/>
    <m/>
    <m/>
    <n v="0"/>
    <m/>
    <m/>
    <n v="0"/>
    <m/>
    <m/>
    <n v="0"/>
    <m/>
    <m/>
    <n v="0"/>
    <m/>
    <m/>
    <n v="0"/>
    <m/>
    <m/>
    <n v="0"/>
    <n v="8"/>
    <n v="48222"/>
    <n v="315641.92320000002"/>
    <n v="8"/>
    <n v="48913"/>
    <n v="320164.93280000001"/>
  </r>
  <r>
    <x v="10"/>
    <s v="Tri County Technology Center                      "/>
    <m/>
    <n v="418287"/>
    <x v="10"/>
    <m/>
    <m/>
    <n v="0"/>
    <m/>
    <m/>
    <n v="0"/>
    <m/>
    <m/>
    <n v="0"/>
    <m/>
    <m/>
    <n v="0"/>
    <m/>
    <m/>
    <n v="0"/>
    <m/>
    <m/>
    <n v="0"/>
    <m/>
    <m/>
    <n v="0"/>
    <m/>
    <m/>
    <n v="0"/>
    <m/>
    <m/>
    <n v="0"/>
    <m/>
    <m/>
    <n v="0"/>
    <n v="14"/>
    <n v="47734"/>
    <n v="668276"/>
    <n v="13"/>
    <n v="47317"/>
    <n v="615121"/>
    <m/>
    <m/>
    <n v="0"/>
    <m/>
    <m/>
    <n v="0"/>
    <m/>
    <m/>
    <n v="0"/>
    <m/>
    <m/>
    <n v="0"/>
    <m/>
    <m/>
    <n v="0"/>
    <m/>
    <m/>
    <n v="0"/>
    <m/>
    <m/>
    <n v="0"/>
    <m/>
    <m/>
    <n v="0"/>
    <m/>
    <m/>
    <n v="0"/>
    <m/>
    <m/>
    <n v="0"/>
    <n v="15"/>
    <n v="54092"/>
    <n v="663871.11600000004"/>
    <n v="15"/>
    <n v="53190"/>
    <n v="652800.87"/>
  </r>
  <r>
    <x v="10"/>
    <s v="Tulsa County Area Voc Tech School Dist 18-Peoria  "/>
    <m/>
    <n v="207607"/>
    <x v="10"/>
    <m/>
    <m/>
    <n v="0"/>
    <m/>
    <m/>
    <n v="0"/>
    <m/>
    <m/>
    <n v="0"/>
    <m/>
    <m/>
    <n v="0"/>
    <m/>
    <m/>
    <n v="0"/>
    <m/>
    <m/>
    <n v="0"/>
    <m/>
    <m/>
    <n v="0"/>
    <m/>
    <m/>
    <n v="0"/>
    <m/>
    <m/>
    <n v="0"/>
    <m/>
    <m/>
    <n v="0"/>
    <m/>
    <m/>
    <n v="0"/>
    <m/>
    <m/>
    <n v="0"/>
    <m/>
    <m/>
    <n v="0"/>
    <m/>
    <m/>
    <n v="0"/>
    <m/>
    <m/>
    <n v="0"/>
    <m/>
    <m/>
    <n v="0"/>
    <m/>
    <m/>
    <n v="0"/>
    <m/>
    <m/>
    <n v="0"/>
    <m/>
    <m/>
    <n v="0"/>
    <m/>
    <m/>
    <n v="0"/>
    <m/>
    <m/>
    <n v="0"/>
    <m/>
    <m/>
    <n v="0"/>
    <n v="25"/>
    <n v="55142"/>
    <n v="1127929.6100000001"/>
    <n v="27"/>
    <n v="51516"/>
    <n v="1138060.5623999999"/>
  </r>
  <r>
    <x v="10"/>
    <s v="Tulsa Technology Center-Lemley Campus             "/>
    <m/>
    <n v="261375"/>
    <x v="10"/>
    <m/>
    <m/>
    <n v="0"/>
    <m/>
    <m/>
    <n v="0"/>
    <m/>
    <m/>
    <n v="0"/>
    <m/>
    <m/>
    <n v="0"/>
    <m/>
    <m/>
    <n v="0"/>
    <m/>
    <m/>
    <n v="0"/>
    <m/>
    <m/>
    <n v="0"/>
    <m/>
    <m/>
    <n v="0"/>
    <m/>
    <m/>
    <n v="0"/>
    <m/>
    <m/>
    <n v="0"/>
    <n v="1"/>
    <n v="52750"/>
    <n v="52750"/>
    <n v="1"/>
    <n v="52750"/>
    <n v="52750"/>
    <m/>
    <m/>
    <n v="0"/>
    <m/>
    <m/>
    <n v="0"/>
    <m/>
    <m/>
    <n v="0"/>
    <m/>
    <m/>
    <n v="0"/>
    <m/>
    <m/>
    <n v="0"/>
    <m/>
    <m/>
    <n v="0"/>
    <m/>
    <m/>
    <n v="0"/>
    <m/>
    <m/>
    <n v="0"/>
    <m/>
    <m/>
    <n v="0"/>
    <m/>
    <m/>
    <n v="0"/>
    <n v="55"/>
    <n v="54977"/>
    <n v="2474019.977"/>
    <n v="58"/>
    <n v="54799"/>
    <n v="2600519.4243999999"/>
  </r>
  <r>
    <x v="10"/>
    <s v="Tulsa Technology Center-Riverside Campus          "/>
    <m/>
    <n v="261384"/>
    <x v="10"/>
    <m/>
    <m/>
    <n v="0"/>
    <m/>
    <m/>
    <n v="0"/>
    <m/>
    <m/>
    <n v="0"/>
    <m/>
    <m/>
    <n v="0"/>
    <m/>
    <m/>
    <n v="0"/>
    <m/>
    <m/>
    <n v="0"/>
    <m/>
    <m/>
    <n v="0"/>
    <m/>
    <m/>
    <n v="0"/>
    <m/>
    <m/>
    <n v="0"/>
    <m/>
    <m/>
    <n v="0"/>
    <m/>
    <m/>
    <n v="0"/>
    <m/>
    <m/>
    <n v="0"/>
    <m/>
    <m/>
    <n v="0"/>
    <m/>
    <m/>
    <n v="0"/>
    <m/>
    <m/>
    <n v="0"/>
    <m/>
    <m/>
    <n v="0"/>
    <m/>
    <m/>
    <n v="0"/>
    <m/>
    <m/>
    <n v="0"/>
    <m/>
    <m/>
    <n v="0"/>
    <m/>
    <m/>
    <n v="0"/>
    <m/>
    <m/>
    <n v="0"/>
    <m/>
    <m/>
    <n v="0"/>
    <n v="24"/>
    <n v="55474"/>
    <n v="1089331.8432"/>
    <n v="23"/>
    <n v="55122"/>
    <n v="1037318.8692000001"/>
  </r>
  <r>
    <x v="10"/>
    <s v="Wes Watkins Technology Center                     "/>
    <m/>
    <n v="418357"/>
    <x v="10"/>
    <m/>
    <m/>
    <n v="0"/>
    <m/>
    <m/>
    <n v="0"/>
    <m/>
    <m/>
    <n v="0"/>
    <m/>
    <m/>
    <n v="0"/>
    <m/>
    <m/>
    <n v="0"/>
    <m/>
    <m/>
    <n v="0"/>
    <m/>
    <m/>
    <n v="0"/>
    <m/>
    <m/>
    <n v="0"/>
    <m/>
    <m/>
    <n v="0"/>
    <m/>
    <m/>
    <n v="0"/>
    <n v="9"/>
    <n v="42633"/>
    <n v="383697"/>
    <n v="10"/>
    <n v="42490"/>
    <n v="424900"/>
    <m/>
    <m/>
    <n v="0"/>
    <m/>
    <m/>
    <n v="0"/>
    <m/>
    <m/>
    <n v="0"/>
    <m/>
    <m/>
    <n v="0"/>
    <m/>
    <m/>
    <n v="0"/>
    <m/>
    <m/>
    <n v="0"/>
    <m/>
    <m/>
    <n v="0"/>
    <m/>
    <m/>
    <n v="0"/>
    <m/>
    <m/>
    <n v="0"/>
    <m/>
    <m/>
    <n v="0"/>
    <n v="5"/>
    <n v="48072"/>
    <n v="196662.552"/>
    <n v="4"/>
    <n v="52505"/>
    <n v="171838.364"/>
  </r>
  <r>
    <x v="10"/>
    <s v="Western Technology Center                         "/>
    <m/>
    <n v="418302"/>
    <x v="10"/>
    <m/>
    <m/>
    <n v="0"/>
    <m/>
    <m/>
    <n v="0"/>
    <m/>
    <m/>
    <n v="0"/>
    <m/>
    <m/>
    <n v="0"/>
    <m/>
    <m/>
    <n v="0"/>
    <m/>
    <m/>
    <n v="0"/>
    <m/>
    <m/>
    <n v="0"/>
    <m/>
    <m/>
    <n v="0"/>
    <m/>
    <m/>
    <n v="0"/>
    <m/>
    <m/>
    <n v="0"/>
    <n v="20"/>
    <n v="44636"/>
    <n v="892720"/>
    <n v="20"/>
    <n v="46020"/>
    <n v="920400"/>
    <m/>
    <m/>
    <n v="0"/>
    <m/>
    <m/>
    <n v="0"/>
    <m/>
    <m/>
    <n v="0"/>
    <m/>
    <m/>
    <n v="0"/>
    <m/>
    <m/>
    <n v="0"/>
    <m/>
    <m/>
    <n v="0"/>
    <m/>
    <m/>
    <n v="0"/>
    <m/>
    <m/>
    <n v="0"/>
    <m/>
    <m/>
    <n v="0"/>
    <m/>
    <m/>
    <n v="0"/>
    <n v="5"/>
    <n v="50979"/>
    <n v="208555.08900000001"/>
    <n v="5"/>
    <n v="52763"/>
    <n v="215853.43300000002"/>
  </r>
  <r>
    <x v="10"/>
    <s v="Northeast Technology Center-Claremore"/>
    <s v="New institution in start up phase. (Met the criteria for Technical Institute 2 but they'd like it in &quot;start up&quot; for one more year.)"/>
    <n v="456560"/>
    <x v="13"/>
    <m/>
    <m/>
    <n v="0"/>
    <m/>
    <m/>
    <n v="0"/>
    <m/>
    <m/>
    <n v="0"/>
    <m/>
    <m/>
    <n v="0"/>
    <m/>
    <m/>
    <n v="0"/>
    <m/>
    <m/>
    <n v="0"/>
    <m/>
    <m/>
    <n v="0"/>
    <m/>
    <m/>
    <n v="0"/>
    <m/>
    <m/>
    <n v="0"/>
    <m/>
    <m/>
    <n v="0"/>
    <n v="4"/>
    <n v="46730"/>
    <n v="186920"/>
    <n v="4"/>
    <n v="49487"/>
    <n v="197948"/>
    <m/>
    <m/>
    <n v="0"/>
    <m/>
    <m/>
    <n v="0"/>
    <m/>
    <m/>
    <n v="0"/>
    <m/>
    <m/>
    <n v="0"/>
    <m/>
    <m/>
    <n v="0"/>
    <m/>
    <m/>
    <n v="0"/>
    <m/>
    <m/>
    <n v="0"/>
    <m/>
    <m/>
    <n v="0"/>
    <m/>
    <m/>
    <n v="0"/>
    <m/>
    <m/>
    <n v="0"/>
    <n v="2"/>
    <n v="57226"/>
    <n v="93644.626400000008"/>
    <n v="2"/>
    <n v="59010"/>
    <n v="96563.964000000007"/>
  </r>
  <r>
    <x v="11"/>
    <s v="Clemson University"/>
    <m/>
    <n v="217882"/>
    <x v="0"/>
    <n v="298"/>
    <n v="108059.3389261745"/>
    <n v="32201683.000000004"/>
    <n v="298"/>
    <n v="108668.20805369127"/>
    <n v="32383126"/>
    <n v="232"/>
    <n v="76397.012931034478"/>
    <n v="17724107"/>
    <n v="230"/>
    <n v="76880.373913043484"/>
    <n v="17682486"/>
    <n v="255"/>
    <n v="68415.345098039223"/>
    <n v="17445913"/>
    <n v="249"/>
    <n v="68180.630522088351"/>
    <n v="16976977"/>
    <n v="4"/>
    <n v="50778.5"/>
    <n v="203114"/>
    <n v="3"/>
    <n v="49074.666666666664"/>
    <n v="147224"/>
    <n v="172"/>
    <n v="44514.784883720931"/>
    <n v="7656543"/>
    <n v="175"/>
    <n v="44522.588571428569"/>
    <n v="7791452.9999999991"/>
    <m/>
    <m/>
    <n v="0"/>
    <m/>
    <m/>
    <n v="0"/>
    <n v="47"/>
    <n v="109413.68085106384"/>
    <n v="4207546.8626000006"/>
    <n v="45"/>
    <n v="109452.44444444444"/>
    <n v="4029929.5520000001"/>
    <n v="20"/>
    <n v="84909.9"/>
    <n v="1389465.6036"/>
    <n v="18"/>
    <n v="85644.388888888891"/>
    <n v="1261336.3018"/>
    <n v="13"/>
    <n v="71208.38461538461"/>
    <n v="757415.10379999992"/>
    <n v="13"/>
    <n v="71208.38461538461"/>
    <n v="757415.10379999992"/>
    <m/>
    <m/>
    <n v="0"/>
    <m/>
    <m/>
    <n v="0"/>
    <n v="11"/>
    <n v="56734.63636363636"/>
    <n v="510623.07420000003"/>
    <n v="12"/>
    <n v="60325.166666666664"/>
    <n v="592296.61640000006"/>
    <m/>
    <m/>
    <n v="0"/>
    <m/>
    <m/>
    <n v="0"/>
  </r>
  <r>
    <x v="11"/>
    <s v="University of South Carolina-Columbia"/>
    <m/>
    <n v="218663"/>
    <x v="0"/>
    <n v="241"/>
    <n v="109737.51037344398"/>
    <n v="26446740"/>
    <n v="264"/>
    <n v="109042.57196969698"/>
    <n v="28787239"/>
    <n v="319"/>
    <n v="77693.507836990597"/>
    <n v="24784229"/>
    <n v="329"/>
    <n v="79229.787234042553"/>
    <n v="26066600"/>
    <n v="325"/>
    <n v="70457.763076923075"/>
    <n v="22898773"/>
    <n v="308"/>
    <n v="71319.766233766233"/>
    <n v="21966488"/>
    <n v="106"/>
    <n v="43352.933962264149"/>
    <n v="4595411"/>
    <n v="101"/>
    <n v="43387.019801980197"/>
    <n v="4382089"/>
    <n v="20"/>
    <n v="58462.75"/>
    <n v="1169255"/>
    <n v="20"/>
    <n v="59502.85"/>
    <n v="1190057"/>
    <m/>
    <m/>
    <n v="0"/>
    <m/>
    <m/>
    <n v="0"/>
    <n v="60"/>
    <n v="140986.29999999999"/>
    <n v="6921299.4396000002"/>
    <n v="59"/>
    <n v="151395.74576271186"/>
    <n v="7308447.9517999999"/>
    <n v="16"/>
    <n v="93503.8125"/>
    <n v="1224077.1102"/>
    <n v="21"/>
    <n v="90702.761904761908"/>
    <n v="1558472.9956"/>
    <n v="29"/>
    <n v="81275.31034482758"/>
    <n v="1928484.3088"/>
    <n v="31"/>
    <n v="86268.774193548394"/>
    <n v="2188138.4424000001"/>
    <n v="29"/>
    <n v="55673.827586206899"/>
    <n v="1321017.4462000001"/>
    <n v="41"/>
    <n v="55498.951219512193"/>
    <n v="1861778.9174000002"/>
    <n v="7"/>
    <n v="74849.571428571435"/>
    <n v="428693.43540000007"/>
    <n v="4"/>
    <n v="72090.25"/>
    <n v="235936.97020000001"/>
    <m/>
    <m/>
    <n v="0"/>
    <m/>
    <m/>
    <n v="0"/>
  </r>
  <r>
    <x v="11"/>
    <s v="College of Charleston"/>
    <m/>
    <n v="217819"/>
    <x v="2"/>
    <n v="127"/>
    <n v="81225"/>
    <n v="10315575"/>
    <n v="127"/>
    <n v="81074.275590551188"/>
    <n v="10296433"/>
    <n v="155"/>
    <n v="64987.529032258062"/>
    <n v="10073067"/>
    <n v="151"/>
    <n v="63926.708609271525"/>
    <n v="9652933"/>
    <n v="161"/>
    <n v="58387.720496894413"/>
    <n v="9400423"/>
    <n v="171"/>
    <n v="59189.807017543862"/>
    <n v="10121457"/>
    <n v="60"/>
    <n v="46437.316666666666"/>
    <n v="2786239"/>
    <n v="61"/>
    <n v="47795.442622950817"/>
    <n v="2915522"/>
    <m/>
    <m/>
    <n v="0"/>
    <m/>
    <m/>
    <n v="0"/>
    <m/>
    <m/>
    <n v="0"/>
    <m/>
    <m/>
    <n v="0"/>
    <m/>
    <m/>
    <n v="0"/>
    <m/>
    <m/>
    <n v="0"/>
    <m/>
    <m/>
    <n v="0"/>
    <m/>
    <m/>
    <n v="0"/>
    <m/>
    <m/>
    <n v="0"/>
    <m/>
    <m/>
    <n v="0"/>
    <n v="1"/>
    <n v="45204"/>
    <n v="36985.912799999998"/>
    <m/>
    <m/>
    <n v="0"/>
    <m/>
    <m/>
    <n v="0"/>
    <m/>
    <m/>
    <n v="0"/>
    <m/>
    <m/>
    <n v="0"/>
    <m/>
    <m/>
    <n v="0"/>
  </r>
  <r>
    <x v="11"/>
    <s v="Winthrop University "/>
    <m/>
    <n v="218964"/>
    <x v="2"/>
    <n v="69"/>
    <n v="77309"/>
    <n v="5334321"/>
    <n v="70"/>
    <n v="75122"/>
    <n v="5258540"/>
    <n v="97"/>
    <n v="66275"/>
    <n v="6428675"/>
    <n v="98"/>
    <n v="65382.602040816324"/>
    <n v="6407495"/>
    <n v="80"/>
    <n v="55156.912499999999"/>
    <n v="4412553"/>
    <n v="85"/>
    <n v="54559"/>
    <n v="4637515"/>
    <n v="29"/>
    <n v="43709"/>
    <n v="1267561"/>
    <n v="28"/>
    <n v="43445"/>
    <n v="1216460"/>
    <m/>
    <m/>
    <n v="0"/>
    <m/>
    <m/>
    <n v="0"/>
    <m/>
    <m/>
    <n v="0"/>
    <m/>
    <m/>
    <n v="0"/>
    <m/>
    <m/>
    <n v="0"/>
    <n v="1"/>
    <n v="96000"/>
    <n v="78547.199999999997"/>
    <n v="1"/>
    <n v="70700"/>
    <n v="57846.740000000005"/>
    <m/>
    <m/>
    <n v="0"/>
    <n v="1"/>
    <n v="53126"/>
    <n v="43467.693200000002"/>
    <n v="2"/>
    <n v="66563"/>
    <n v="108923.69320000001"/>
    <n v="2"/>
    <n v="59590"/>
    <n v="97513.076000000001"/>
    <n v="2"/>
    <n v="58709"/>
    <n v="96071.407600000006"/>
    <m/>
    <m/>
    <n v="0"/>
    <m/>
    <m/>
    <n v="0"/>
    <m/>
    <m/>
    <n v="0"/>
    <m/>
    <m/>
    <n v="0"/>
  </r>
  <r>
    <x v="11"/>
    <s v="The Citadel, the Military College of South Carolina "/>
    <m/>
    <n v="217864"/>
    <x v="3"/>
    <n v="55"/>
    <n v="83708.272727272721"/>
    <n v="4603955"/>
    <n v="53"/>
    <n v="84252.528301886792"/>
    <n v="4465384"/>
    <n v="51"/>
    <n v="68951.980392156867"/>
    <n v="3516551"/>
    <n v="50"/>
    <n v="68140.039999999994"/>
    <n v="3407001.9999999995"/>
    <n v="65"/>
    <n v="55707.24615384615"/>
    <n v="3620971"/>
    <n v="64"/>
    <n v="56117.015625"/>
    <n v="3591489"/>
    <m/>
    <m/>
    <n v="0"/>
    <n v="2"/>
    <n v="49000"/>
    <n v="98000"/>
    <m/>
    <m/>
    <n v="0"/>
    <m/>
    <m/>
    <n v="0"/>
    <m/>
    <m/>
    <n v="0"/>
    <m/>
    <m/>
    <n v="0"/>
    <m/>
    <m/>
    <n v="0"/>
    <m/>
    <m/>
    <n v="0"/>
    <n v="1"/>
    <n v="67000"/>
    <n v="54819.4"/>
    <n v="1"/>
    <n v="67000"/>
    <n v="54819.4"/>
    <m/>
    <m/>
    <n v="0"/>
    <m/>
    <m/>
    <n v="0"/>
    <m/>
    <m/>
    <n v="0"/>
    <m/>
    <m/>
    <n v="0"/>
    <m/>
    <m/>
    <n v="0"/>
    <m/>
    <m/>
    <n v="0"/>
    <m/>
    <m/>
    <n v="0"/>
    <m/>
    <m/>
    <n v="0"/>
  </r>
  <r>
    <x v="11"/>
    <s v="Coastal Carolina University"/>
    <m/>
    <n v="218724"/>
    <x v="4"/>
    <n v="38"/>
    <n v="80625.631578947374"/>
    <n v="3063774"/>
    <n v="43"/>
    <n v="80331.395348837206"/>
    <n v="3454250"/>
    <n v="62"/>
    <n v="67857.677419354834"/>
    <n v="4207176"/>
    <n v="69"/>
    <n v="68902.985507246383"/>
    <n v="4754306"/>
    <n v="109"/>
    <n v="57555.550458715596"/>
    <n v="6273555"/>
    <n v="113"/>
    <n v="56319.115044247788"/>
    <n v="6364060"/>
    <n v="15"/>
    <n v="44212.666666666664"/>
    <n v="663190"/>
    <n v="14"/>
    <n v="44510.785714285717"/>
    <n v="623151"/>
    <n v="49"/>
    <n v="37801.632653061228"/>
    <n v="1852280.0000000002"/>
    <n v="62"/>
    <n v="38867.112903225803"/>
    <n v="2409761"/>
    <m/>
    <m/>
    <n v="0"/>
    <m/>
    <m/>
    <n v="0"/>
    <n v="17"/>
    <n v="108070"/>
    <n v="1503188.858"/>
    <n v="15"/>
    <n v="109091.8"/>
    <n v="1338883.6614000001"/>
    <n v="13"/>
    <n v="86738.846153846156"/>
    <n v="922606.41100000008"/>
    <n v="15"/>
    <n v="84038.133333333331"/>
    <n v="1031400.0104"/>
    <n v="2"/>
    <n v="64391.5"/>
    <n v="105370.2506"/>
    <n v="2"/>
    <n v="62706"/>
    <n v="102612.0984"/>
    <n v="3"/>
    <n v="67699.333333333328"/>
    <n v="166174.7836"/>
    <n v="2"/>
    <n v="64985"/>
    <n v="106341.454"/>
    <n v="7"/>
    <n v="68172.428571428565"/>
    <n v="390450.76739999995"/>
    <n v="11"/>
    <n v="59048.909090909088"/>
    <n v="531451.99160000007"/>
    <m/>
    <m/>
    <n v="0"/>
    <m/>
    <m/>
    <n v="0"/>
  </r>
  <r>
    <x v="11"/>
    <s v="Francis Marion University "/>
    <m/>
    <n v="218061"/>
    <x v="4"/>
    <n v="52"/>
    <n v="75657.13461538461"/>
    <n v="3934170.9999999995"/>
    <n v="55"/>
    <n v="74701.490909090906"/>
    <n v="4108582"/>
    <n v="50"/>
    <n v="58905.5"/>
    <n v="2945275"/>
    <n v="48"/>
    <n v="59881.166666666664"/>
    <n v="2874296"/>
    <n v="78"/>
    <n v="51680.307692307695"/>
    <n v="4031064"/>
    <n v="78"/>
    <n v="53129.628205128203"/>
    <n v="4144111"/>
    <n v="12"/>
    <n v="45754.916666666664"/>
    <n v="549059"/>
    <n v="14"/>
    <n v="47499"/>
    <n v="664986"/>
    <m/>
    <m/>
    <n v="0"/>
    <m/>
    <m/>
    <n v="0"/>
    <m/>
    <m/>
    <n v="0"/>
    <m/>
    <m/>
    <n v="0"/>
    <n v="6"/>
    <n v="93154.5"/>
    <n v="457314.07140000002"/>
    <n v="7"/>
    <n v="92678.571428571435"/>
    <n v="530807.25"/>
    <n v="1"/>
    <n v="76426"/>
    <n v="62531.753200000006"/>
    <m/>
    <m/>
    <n v="0"/>
    <m/>
    <m/>
    <n v="0"/>
    <m/>
    <m/>
    <n v="0"/>
    <m/>
    <m/>
    <n v="0"/>
    <m/>
    <m/>
    <n v="0"/>
    <m/>
    <m/>
    <n v="0"/>
    <m/>
    <m/>
    <n v="0"/>
    <m/>
    <m/>
    <n v="0"/>
    <m/>
    <m/>
    <n v="0"/>
  </r>
  <r>
    <x v="11"/>
    <s v="South Carolina State University "/>
    <m/>
    <n v="218733"/>
    <x v="4"/>
    <n v="40"/>
    <n v="70807.7"/>
    <n v="2832308"/>
    <n v="37"/>
    <n v="72789.459459459453"/>
    <n v="2693209.9999999995"/>
    <n v="47"/>
    <n v="62893.48936170213"/>
    <n v="2955994"/>
    <n v="36"/>
    <n v="61272.361111111109"/>
    <n v="2205805"/>
    <n v="87"/>
    <n v="57923"/>
    <n v="5039301"/>
    <n v="84"/>
    <n v="57489.154761904763"/>
    <n v="4829089"/>
    <n v="28"/>
    <n v="43931.607142857145"/>
    <n v="1230085"/>
    <n v="27"/>
    <n v="43430.333333333336"/>
    <n v="1172619"/>
    <n v="1"/>
    <n v="49672"/>
    <n v="49672"/>
    <m/>
    <m/>
    <n v="0"/>
    <m/>
    <m/>
    <n v="0"/>
    <m/>
    <m/>
    <n v="0"/>
    <n v="5"/>
    <n v="100967.2"/>
    <n v="413056.81520000001"/>
    <n v="8"/>
    <n v="94860"/>
    <n v="620915.61600000004"/>
    <n v="9"/>
    <n v="85477.666666666672"/>
    <n v="629440.44180000003"/>
    <n v="13"/>
    <n v="81946.461538461532"/>
    <n v="871631.7328"/>
    <n v="7"/>
    <n v="77699"/>
    <n v="445013.25260000001"/>
    <n v="6"/>
    <n v="72356.5"/>
    <n v="355212.52980000002"/>
    <n v="5"/>
    <n v="66125.2"/>
    <n v="270518.19320000004"/>
    <n v="5"/>
    <n v="60951.199999999997"/>
    <n v="249351.35920000001"/>
    <m/>
    <m/>
    <n v="0"/>
    <m/>
    <m/>
    <n v="0"/>
    <m/>
    <m/>
    <n v="0"/>
    <m/>
    <m/>
    <n v="0"/>
  </r>
  <r>
    <x v="11"/>
    <s v="Lander University"/>
    <m/>
    <n v="218229"/>
    <x v="5"/>
    <n v="16"/>
    <n v="71129.5"/>
    <n v="1138072"/>
    <n v="12"/>
    <n v="69449.666666666672"/>
    <n v="833396"/>
    <n v="31"/>
    <n v="52786"/>
    <n v="1636366"/>
    <n v="30"/>
    <n v="53889.866666666669"/>
    <n v="1616696"/>
    <n v="45"/>
    <n v="49775.4"/>
    <n v="2239893"/>
    <n v="42"/>
    <n v="50541.214285714283"/>
    <n v="2122731"/>
    <n v="19"/>
    <n v="42018.631578947367"/>
    <n v="798354"/>
    <n v="16"/>
    <n v="42755.9375"/>
    <n v="684095"/>
    <n v="4"/>
    <n v="40900.25"/>
    <n v="163601"/>
    <n v="2"/>
    <n v="29631"/>
    <n v="59262"/>
    <m/>
    <m/>
    <n v="0"/>
    <m/>
    <m/>
    <n v="0"/>
    <n v="1"/>
    <n v="99961"/>
    <n v="81788.090200000006"/>
    <n v="2"/>
    <n v="92168"/>
    <n v="150823.71520000001"/>
    <n v="1"/>
    <n v="60955"/>
    <n v="49873.381000000001"/>
    <n v="3"/>
    <n v="53652"/>
    <n v="131694.1992"/>
    <m/>
    <m/>
    <n v="0"/>
    <n v="8"/>
    <n v="47875"/>
    <n v="313370.60000000003"/>
    <m/>
    <m/>
    <n v="0"/>
    <n v="7"/>
    <n v="39286"/>
    <n v="225006.63640000002"/>
    <m/>
    <m/>
    <n v="0"/>
    <n v="4"/>
    <n v="44298"/>
    <n v="144978.4944"/>
    <m/>
    <m/>
    <n v="0"/>
    <m/>
    <m/>
    <n v="0"/>
  </r>
  <r>
    <x v="11"/>
    <s v="University of South Carolina-Aiken"/>
    <m/>
    <n v="218645"/>
    <x v="5"/>
    <n v="22"/>
    <n v="73470.636363636368"/>
    <n v="1616354"/>
    <n v="21"/>
    <n v="73421.71428571429"/>
    <n v="1541856"/>
    <n v="33"/>
    <n v="58254.030303030304"/>
    <n v="1922383"/>
    <n v="29"/>
    <n v="59420.793103448275"/>
    <n v="1723203"/>
    <n v="37"/>
    <n v="51862.810810810814"/>
    <n v="1918924"/>
    <n v="43"/>
    <n v="52349.279069767443"/>
    <n v="2251019"/>
    <n v="40"/>
    <n v="43061.875"/>
    <n v="1722475"/>
    <n v="37"/>
    <n v="42839.24324324324"/>
    <n v="1585051.9999999998"/>
    <m/>
    <m/>
    <n v="0"/>
    <m/>
    <m/>
    <n v="0"/>
    <m/>
    <m/>
    <n v="0"/>
    <m/>
    <m/>
    <n v="0"/>
    <n v="7"/>
    <n v="86625.428571428565"/>
    <n v="496138.47960000002"/>
    <n v="8"/>
    <n v="90208"/>
    <n v="590465.48479999998"/>
    <n v="6"/>
    <n v="73456.166666666672"/>
    <n v="360611.0134"/>
    <n v="7"/>
    <n v="76049.571428571435"/>
    <n v="435566.31540000002"/>
    <m/>
    <m/>
    <n v="0"/>
    <n v="3"/>
    <n v="46823.333333333336"/>
    <n v="114932.554"/>
    <n v="3"/>
    <n v="49031.333333333336"/>
    <n v="120352.31080000001"/>
    <n v="2"/>
    <n v="38160.5"/>
    <n v="62445.842200000006"/>
    <m/>
    <m/>
    <n v="0"/>
    <m/>
    <m/>
    <n v="0"/>
    <m/>
    <m/>
    <n v="0"/>
    <m/>
    <m/>
    <n v="0"/>
  </r>
  <r>
    <x v="11"/>
    <s v="University of South Carolina-Upstate"/>
    <m/>
    <n v="218742"/>
    <x v="5"/>
    <n v="24"/>
    <n v="73837.208333333328"/>
    <n v="1772093"/>
    <n v="25"/>
    <n v="73156"/>
    <n v="1828900"/>
    <n v="32"/>
    <n v="59104.875"/>
    <n v="1891356"/>
    <n v="34"/>
    <n v="60762.352941176468"/>
    <n v="2065920"/>
    <n v="62"/>
    <n v="51144.919354838712"/>
    <n v="3170985"/>
    <n v="63"/>
    <n v="51908.730158730155"/>
    <n v="3270250"/>
    <n v="69"/>
    <n v="46229.217391304344"/>
    <n v="3189815.9999999995"/>
    <n v="66"/>
    <n v="46178.696969696968"/>
    <n v="3047794"/>
    <m/>
    <m/>
    <n v="0"/>
    <m/>
    <m/>
    <n v="0"/>
    <m/>
    <m/>
    <n v="0"/>
    <m/>
    <m/>
    <n v="0"/>
    <n v="7"/>
    <n v="94069.428571428565"/>
    <n v="538773.2452"/>
    <n v="6"/>
    <n v="95219.666666666672"/>
    <n v="467452.38760000002"/>
    <n v="7"/>
    <n v="82789.71428571429"/>
    <n v="474169.80960000004"/>
    <n v="8"/>
    <n v="80608.75"/>
    <n v="527632.63400000008"/>
    <n v="2"/>
    <n v="66905.5"/>
    <n v="109484.1602"/>
    <n v="2"/>
    <n v="70350"/>
    <n v="115120.74"/>
    <n v="3"/>
    <n v="54381.333333333336"/>
    <n v="133484.42079999999"/>
    <n v="2"/>
    <n v="57556.5"/>
    <n v="94185.456600000005"/>
    <m/>
    <m/>
    <n v="0"/>
    <m/>
    <m/>
    <n v="0"/>
    <m/>
    <m/>
    <n v="0"/>
    <m/>
    <m/>
    <n v="0"/>
  </r>
  <r>
    <x v="11"/>
    <s v="University of South Carolina-Beaufort"/>
    <m/>
    <n v="218654"/>
    <x v="11"/>
    <n v="6"/>
    <n v="66433.666666666672"/>
    <n v="398602"/>
    <n v="6"/>
    <n v="74243.333333333328"/>
    <n v="445460"/>
    <n v="12"/>
    <n v="58408.333333333336"/>
    <n v="700900"/>
    <n v="13"/>
    <n v="59696.384615384617"/>
    <n v="776053"/>
    <n v="17"/>
    <n v="52354.470588235294"/>
    <n v="890026"/>
    <n v="15"/>
    <n v="50466.866666666669"/>
    <n v="757003"/>
    <n v="13"/>
    <n v="44038.692307692305"/>
    <n v="572503"/>
    <n v="16"/>
    <n v="46316.3125"/>
    <n v="741061"/>
    <m/>
    <m/>
    <n v="0"/>
    <m/>
    <m/>
    <n v="0"/>
    <m/>
    <m/>
    <n v="0"/>
    <m/>
    <m/>
    <n v="0"/>
    <n v="5"/>
    <n v="89226.4"/>
    <n v="365025.20240000001"/>
    <n v="5"/>
    <n v="88143.4"/>
    <n v="360594.64939999999"/>
    <n v="3"/>
    <n v="77891.666666666672"/>
    <n v="191192.88500000001"/>
    <n v="3"/>
    <n v="83965.666666666672"/>
    <n v="206102.12540000002"/>
    <m/>
    <m/>
    <n v="0"/>
    <m/>
    <m/>
    <n v="0"/>
    <n v="1"/>
    <n v="67894"/>
    <n v="55550.870800000004"/>
    <n v="1"/>
    <n v="50000"/>
    <n v="40910"/>
    <m/>
    <m/>
    <n v="0"/>
    <m/>
    <m/>
    <n v="0"/>
    <m/>
    <m/>
    <n v="0"/>
    <m/>
    <m/>
    <n v="0"/>
  </r>
  <r>
    <x v="11"/>
    <s v="Greenville Technical College "/>
    <m/>
    <n v="218113"/>
    <x v="6"/>
    <m/>
    <m/>
    <n v="0"/>
    <m/>
    <m/>
    <n v="0"/>
    <m/>
    <m/>
    <n v="0"/>
    <m/>
    <m/>
    <n v="0"/>
    <m/>
    <m/>
    <n v="0"/>
    <m/>
    <m/>
    <n v="0"/>
    <m/>
    <m/>
    <n v="0"/>
    <m/>
    <m/>
    <n v="0"/>
    <n v="330"/>
    <n v="45257.915151515153"/>
    <n v="14935112"/>
    <n v="347"/>
    <n v="45812.293948126804"/>
    <n v="15896866.000000002"/>
    <m/>
    <m/>
    <n v="0"/>
    <m/>
    <m/>
    <n v="0"/>
    <m/>
    <m/>
    <n v="0"/>
    <m/>
    <m/>
    <n v="0"/>
    <m/>
    <m/>
    <n v="0"/>
    <m/>
    <m/>
    <n v="0"/>
    <m/>
    <m/>
    <n v="0"/>
    <m/>
    <m/>
    <n v="0"/>
    <m/>
    <m/>
    <n v="0"/>
    <m/>
    <m/>
    <n v="0"/>
    <m/>
    <m/>
    <n v="0"/>
    <m/>
    <m/>
    <n v="0"/>
    <m/>
    <m/>
    <n v="0"/>
    <m/>
    <m/>
    <n v="0"/>
  </r>
  <r>
    <x v="11"/>
    <s v="Midlands Technical College "/>
    <m/>
    <n v="218353"/>
    <x v="6"/>
    <m/>
    <m/>
    <n v="0"/>
    <m/>
    <m/>
    <n v="0"/>
    <m/>
    <m/>
    <n v="0"/>
    <m/>
    <m/>
    <n v="0"/>
    <m/>
    <m/>
    <n v="0"/>
    <m/>
    <m/>
    <n v="0"/>
    <m/>
    <m/>
    <n v="0"/>
    <m/>
    <m/>
    <n v="0"/>
    <n v="216"/>
    <n v="49132.675925925927"/>
    <n v="10612658"/>
    <n v="215"/>
    <n v="48853.139534883718"/>
    <n v="10503425"/>
    <m/>
    <m/>
    <n v="0"/>
    <m/>
    <m/>
    <n v="0"/>
    <m/>
    <m/>
    <n v="0"/>
    <m/>
    <m/>
    <n v="0"/>
    <m/>
    <m/>
    <n v="0"/>
    <m/>
    <m/>
    <n v="0"/>
    <m/>
    <m/>
    <n v="0"/>
    <m/>
    <m/>
    <n v="0"/>
    <m/>
    <m/>
    <n v="0"/>
    <m/>
    <m/>
    <n v="0"/>
    <m/>
    <m/>
    <n v="0"/>
    <m/>
    <m/>
    <n v="0"/>
    <m/>
    <m/>
    <n v="0"/>
    <m/>
    <m/>
    <n v="0"/>
  </r>
  <r>
    <x v="11"/>
    <s v="Trident Technical College "/>
    <m/>
    <n v="218894"/>
    <x v="6"/>
    <m/>
    <m/>
    <n v="0"/>
    <m/>
    <m/>
    <n v="0"/>
    <m/>
    <m/>
    <n v="0"/>
    <m/>
    <m/>
    <n v="0"/>
    <m/>
    <m/>
    <n v="0"/>
    <m/>
    <m/>
    <n v="0"/>
    <m/>
    <m/>
    <n v="0"/>
    <m/>
    <m/>
    <n v="0"/>
    <n v="299"/>
    <n v="47152.862876254178"/>
    <n v="14098706"/>
    <n v="304"/>
    <n v="47236.805921052633"/>
    <n v="14359989"/>
    <m/>
    <m/>
    <n v="0"/>
    <m/>
    <m/>
    <n v="0"/>
    <m/>
    <m/>
    <n v="0"/>
    <m/>
    <m/>
    <n v="0"/>
    <m/>
    <m/>
    <n v="0"/>
    <m/>
    <m/>
    <n v="0"/>
    <m/>
    <m/>
    <n v="0"/>
    <m/>
    <m/>
    <n v="0"/>
    <m/>
    <m/>
    <n v="0"/>
    <m/>
    <m/>
    <n v="0"/>
    <m/>
    <m/>
    <n v="0"/>
    <m/>
    <m/>
    <n v="0"/>
    <m/>
    <m/>
    <n v="0"/>
    <m/>
    <m/>
    <n v="0"/>
  </r>
  <r>
    <x v="11"/>
    <s v="Aiken Technical College "/>
    <m/>
    <n v="217615"/>
    <x v="7"/>
    <m/>
    <m/>
    <n v="0"/>
    <m/>
    <m/>
    <n v="0"/>
    <m/>
    <m/>
    <n v="0"/>
    <m/>
    <m/>
    <n v="0"/>
    <m/>
    <m/>
    <n v="0"/>
    <m/>
    <m/>
    <n v="0"/>
    <m/>
    <m/>
    <n v="0"/>
    <m/>
    <m/>
    <n v="0"/>
    <n v="55"/>
    <n v="47769"/>
    <n v="2627295"/>
    <n v="55"/>
    <n v="47586.872727272726"/>
    <n v="2617278"/>
    <m/>
    <m/>
    <n v="0"/>
    <m/>
    <m/>
    <n v="0"/>
    <m/>
    <m/>
    <n v="0"/>
    <m/>
    <m/>
    <n v="0"/>
    <m/>
    <m/>
    <n v="0"/>
    <m/>
    <m/>
    <n v="0"/>
    <m/>
    <m/>
    <n v="0"/>
    <m/>
    <m/>
    <n v="0"/>
    <m/>
    <m/>
    <n v="0"/>
    <m/>
    <m/>
    <n v="0"/>
    <m/>
    <m/>
    <n v="0"/>
    <m/>
    <m/>
    <n v="0"/>
    <m/>
    <m/>
    <n v="0"/>
    <m/>
    <m/>
    <n v="0"/>
  </r>
  <r>
    <x v="11"/>
    <s v="Central Carolina Technical College "/>
    <m/>
    <n v="218858"/>
    <x v="7"/>
    <m/>
    <m/>
    <n v="0"/>
    <m/>
    <m/>
    <n v="0"/>
    <m/>
    <m/>
    <n v="0"/>
    <m/>
    <m/>
    <n v="0"/>
    <m/>
    <m/>
    <n v="0"/>
    <m/>
    <m/>
    <n v="0"/>
    <m/>
    <m/>
    <n v="0"/>
    <m/>
    <m/>
    <n v="0"/>
    <n v="88"/>
    <n v="44684.931818181816"/>
    <n v="3932274"/>
    <n v="92"/>
    <n v="44797.90217391304"/>
    <n v="4121406.9999999995"/>
    <m/>
    <m/>
    <n v="0"/>
    <m/>
    <m/>
    <n v="0"/>
    <m/>
    <m/>
    <n v="0"/>
    <m/>
    <m/>
    <n v="0"/>
    <m/>
    <m/>
    <n v="0"/>
    <m/>
    <m/>
    <n v="0"/>
    <m/>
    <m/>
    <n v="0"/>
    <m/>
    <m/>
    <n v="0"/>
    <m/>
    <m/>
    <n v="0"/>
    <m/>
    <m/>
    <n v="0"/>
    <m/>
    <m/>
    <n v="0"/>
    <m/>
    <m/>
    <n v="0"/>
    <m/>
    <m/>
    <n v="0"/>
    <m/>
    <m/>
    <n v="0"/>
  </r>
  <r>
    <x v="11"/>
    <s v="Florence-Darlington Technical College "/>
    <s v="Met the criteria for Two-year 1 in 2010-11."/>
    <n v="218025"/>
    <x v="7"/>
    <m/>
    <m/>
    <n v="0"/>
    <m/>
    <m/>
    <n v="0"/>
    <m/>
    <m/>
    <n v="0"/>
    <m/>
    <m/>
    <n v="0"/>
    <m/>
    <m/>
    <n v="0"/>
    <m/>
    <m/>
    <n v="0"/>
    <m/>
    <m/>
    <n v="0"/>
    <m/>
    <m/>
    <n v="0"/>
    <n v="99"/>
    <n v="49544.979797979795"/>
    <n v="4904953"/>
    <n v="96"/>
    <n v="47976.5625"/>
    <n v="4605750"/>
    <m/>
    <m/>
    <n v="0"/>
    <m/>
    <m/>
    <n v="0"/>
    <m/>
    <m/>
    <n v="0"/>
    <m/>
    <m/>
    <n v="0"/>
    <m/>
    <m/>
    <n v="0"/>
    <m/>
    <m/>
    <n v="0"/>
    <m/>
    <m/>
    <n v="0"/>
    <m/>
    <m/>
    <n v="0"/>
    <m/>
    <m/>
    <n v="0"/>
    <m/>
    <m/>
    <n v="0"/>
    <m/>
    <m/>
    <n v="0"/>
    <m/>
    <m/>
    <n v="0"/>
    <m/>
    <m/>
    <n v="0"/>
    <m/>
    <m/>
    <n v="0"/>
  </r>
  <r>
    <x v="11"/>
    <s v="Horry-Georgetown Technical College "/>
    <s v="Met the criteria for Two-year 1 in 2009-10 and 2010-11."/>
    <n v="218140"/>
    <x v="7"/>
    <m/>
    <m/>
    <n v="0"/>
    <m/>
    <m/>
    <n v="0"/>
    <m/>
    <m/>
    <n v="0"/>
    <m/>
    <m/>
    <n v="0"/>
    <m/>
    <m/>
    <n v="0"/>
    <m/>
    <m/>
    <n v="0"/>
    <m/>
    <m/>
    <n v="0"/>
    <m/>
    <m/>
    <n v="0"/>
    <n v="134"/>
    <n v="49056.373134328358"/>
    <n v="6573554"/>
    <n v="141"/>
    <n v="48790.070921985818"/>
    <n v="6879400"/>
    <m/>
    <m/>
    <n v="0"/>
    <m/>
    <m/>
    <n v="0"/>
    <m/>
    <m/>
    <n v="0"/>
    <m/>
    <m/>
    <n v="0"/>
    <m/>
    <m/>
    <n v="0"/>
    <m/>
    <m/>
    <n v="0"/>
    <m/>
    <m/>
    <n v="0"/>
    <m/>
    <m/>
    <n v="0"/>
    <m/>
    <m/>
    <n v="0"/>
    <m/>
    <m/>
    <n v="0"/>
    <m/>
    <m/>
    <n v="0"/>
    <m/>
    <m/>
    <n v="0"/>
    <m/>
    <m/>
    <n v="0"/>
    <m/>
    <m/>
    <n v="0"/>
  </r>
  <r>
    <x v="11"/>
    <s v="Orangeburg-Calhoun Technical College "/>
    <m/>
    <n v="218487"/>
    <x v="7"/>
    <m/>
    <m/>
    <n v="0"/>
    <m/>
    <m/>
    <n v="0"/>
    <m/>
    <m/>
    <n v="0"/>
    <m/>
    <m/>
    <n v="0"/>
    <m/>
    <m/>
    <n v="0"/>
    <m/>
    <m/>
    <n v="0"/>
    <m/>
    <m/>
    <n v="0"/>
    <m/>
    <m/>
    <n v="0"/>
    <n v="75"/>
    <n v="43629.36"/>
    <n v="3272202"/>
    <n v="75"/>
    <n v="43055.746666666666"/>
    <n v="3229181"/>
    <m/>
    <m/>
    <n v="0"/>
    <m/>
    <m/>
    <n v="0"/>
    <m/>
    <m/>
    <n v="0"/>
    <m/>
    <m/>
    <n v="0"/>
    <m/>
    <m/>
    <n v="0"/>
    <m/>
    <m/>
    <n v="0"/>
    <m/>
    <m/>
    <n v="0"/>
    <m/>
    <m/>
    <n v="0"/>
    <m/>
    <m/>
    <n v="0"/>
    <m/>
    <m/>
    <n v="0"/>
    <m/>
    <m/>
    <n v="0"/>
    <m/>
    <m/>
    <n v="0"/>
    <m/>
    <m/>
    <n v="0"/>
    <m/>
    <m/>
    <n v="0"/>
  </r>
  <r>
    <x v="11"/>
    <s v="Piedmont Technical College "/>
    <s v="Met the criteria for Two-year 1 in 2010-11."/>
    <n v="218520"/>
    <x v="7"/>
    <m/>
    <m/>
    <n v="0"/>
    <m/>
    <m/>
    <n v="0"/>
    <m/>
    <m/>
    <n v="0"/>
    <m/>
    <m/>
    <n v="0"/>
    <m/>
    <m/>
    <n v="0"/>
    <m/>
    <m/>
    <n v="0"/>
    <m/>
    <m/>
    <n v="0"/>
    <m/>
    <m/>
    <n v="0"/>
    <n v="119"/>
    <n v="43031.344537815123"/>
    <n v="5120730"/>
    <n v="121"/>
    <n v="43649.512396694212"/>
    <n v="5281591"/>
    <m/>
    <m/>
    <n v="0"/>
    <m/>
    <m/>
    <n v="0"/>
    <m/>
    <m/>
    <n v="0"/>
    <m/>
    <m/>
    <n v="0"/>
    <m/>
    <m/>
    <n v="0"/>
    <m/>
    <m/>
    <n v="0"/>
    <m/>
    <m/>
    <n v="0"/>
    <m/>
    <m/>
    <n v="0"/>
    <m/>
    <m/>
    <n v="0"/>
    <m/>
    <m/>
    <n v="0"/>
    <m/>
    <m/>
    <n v="0"/>
    <m/>
    <m/>
    <n v="0"/>
    <m/>
    <m/>
    <n v="0"/>
    <m/>
    <m/>
    <n v="0"/>
  </r>
  <r>
    <x v="11"/>
    <s v="Spartanburg Community College "/>
    <s v="Met the criteria for Two-year 1 in 2010-11."/>
    <n v="218830"/>
    <x v="7"/>
    <m/>
    <m/>
    <n v="0"/>
    <m/>
    <m/>
    <n v="0"/>
    <m/>
    <m/>
    <n v="0"/>
    <m/>
    <m/>
    <n v="0"/>
    <m/>
    <m/>
    <n v="0"/>
    <m/>
    <m/>
    <n v="0"/>
    <m/>
    <m/>
    <n v="0"/>
    <m/>
    <m/>
    <n v="0"/>
    <n v="111"/>
    <n v="45615.936936936938"/>
    <n v="5063369"/>
    <n v="119"/>
    <n v="44870.529411764706"/>
    <n v="5339593"/>
    <m/>
    <m/>
    <n v="0"/>
    <m/>
    <m/>
    <n v="0"/>
    <m/>
    <m/>
    <n v="0"/>
    <m/>
    <m/>
    <n v="0"/>
    <m/>
    <m/>
    <n v="0"/>
    <m/>
    <m/>
    <n v="0"/>
    <m/>
    <m/>
    <n v="0"/>
    <m/>
    <m/>
    <n v="0"/>
    <m/>
    <m/>
    <n v="0"/>
    <m/>
    <m/>
    <n v="0"/>
    <m/>
    <m/>
    <n v="0"/>
    <m/>
    <m/>
    <n v="0"/>
    <m/>
    <m/>
    <n v="0"/>
    <m/>
    <m/>
    <n v="0"/>
  </r>
  <r>
    <x v="11"/>
    <s v="Tri-County Technical College "/>
    <s v="Met the criteria for Two-year 1 in 2009-10 and 2010-11."/>
    <n v="218885"/>
    <x v="7"/>
    <m/>
    <m/>
    <n v="0"/>
    <m/>
    <m/>
    <n v="0"/>
    <m/>
    <m/>
    <n v="0"/>
    <m/>
    <m/>
    <n v="0"/>
    <m/>
    <m/>
    <n v="0"/>
    <m/>
    <m/>
    <n v="0"/>
    <m/>
    <m/>
    <n v="0"/>
    <m/>
    <m/>
    <n v="0"/>
    <n v="122"/>
    <n v="43823.024590163935"/>
    <n v="5346409"/>
    <n v="130"/>
    <n v="43344.776923076926"/>
    <n v="5634821"/>
    <m/>
    <m/>
    <n v="0"/>
    <m/>
    <m/>
    <n v="0"/>
    <m/>
    <m/>
    <n v="0"/>
    <m/>
    <m/>
    <n v="0"/>
    <m/>
    <m/>
    <n v="0"/>
    <m/>
    <m/>
    <n v="0"/>
    <m/>
    <m/>
    <n v="0"/>
    <m/>
    <m/>
    <n v="0"/>
    <m/>
    <m/>
    <n v="0"/>
    <m/>
    <m/>
    <n v="0"/>
    <m/>
    <m/>
    <n v="0"/>
    <m/>
    <m/>
    <n v="0"/>
    <m/>
    <m/>
    <n v="0"/>
    <m/>
    <m/>
    <n v="0"/>
  </r>
  <r>
    <x v="11"/>
    <s v="York Technical College "/>
    <s v="Met the criteria for Two-year 1 in 2010-11."/>
    <n v="218991"/>
    <x v="7"/>
    <m/>
    <m/>
    <n v="0"/>
    <m/>
    <m/>
    <n v="0"/>
    <m/>
    <m/>
    <n v="0"/>
    <m/>
    <m/>
    <n v="0"/>
    <m/>
    <m/>
    <n v="0"/>
    <m/>
    <m/>
    <n v="0"/>
    <m/>
    <m/>
    <n v="0"/>
    <m/>
    <m/>
    <n v="0"/>
    <n v="124"/>
    <n v="48197.629032258068"/>
    <n v="5976506"/>
    <n v="122"/>
    <n v="47441.754098360652"/>
    <n v="5787894"/>
    <m/>
    <m/>
    <n v="0"/>
    <m/>
    <m/>
    <n v="0"/>
    <m/>
    <m/>
    <n v="0"/>
    <m/>
    <m/>
    <n v="0"/>
    <m/>
    <m/>
    <n v="0"/>
    <m/>
    <m/>
    <n v="0"/>
    <m/>
    <m/>
    <n v="0"/>
    <m/>
    <m/>
    <n v="0"/>
    <m/>
    <m/>
    <n v="0"/>
    <m/>
    <m/>
    <n v="0"/>
    <m/>
    <m/>
    <n v="0"/>
    <m/>
    <m/>
    <n v="0"/>
    <m/>
    <m/>
    <n v="0"/>
    <m/>
    <m/>
    <n v="0"/>
  </r>
  <r>
    <x v="11"/>
    <s v="Denmark Technical College "/>
    <m/>
    <n v="217989"/>
    <x v="8"/>
    <m/>
    <m/>
    <n v="0"/>
    <m/>
    <m/>
    <n v="0"/>
    <m/>
    <m/>
    <n v="0"/>
    <m/>
    <m/>
    <n v="0"/>
    <m/>
    <m/>
    <n v="0"/>
    <m/>
    <m/>
    <n v="0"/>
    <m/>
    <m/>
    <n v="0"/>
    <m/>
    <m/>
    <n v="0"/>
    <n v="33"/>
    <n v="39159"/>
    <n v="1292247"/>
    <n v="35"/>
    <n v="38597.085714285713"/>
    <n v="1350898"/>
    <m/>
    <m/>
    <n v="0"/>
    <m/>
    <m/>
    <n v="0"/>
    <m/>
    <m/>
    <n v="0"/>
    <m/>
    <m/>
    <n v="0"/>
    <m/>
    <m/>
    <n v="0"/>
    <m/>
    <m/>
    <n v="0"/>
    <m/>
    <m/>
    <n v="0"/>
    <m/>
    <m/>
    <n v="0"/>
    <m/>
    <m/>
    <n v="0"/>
    <m/>
    <m/>
    <n v="0"/>
    <m/>
    <m/>
    <n v="0"/>
    <m/>
    <m/>
    <n v="0"/>
    <m/>
    <m/>
    <n v="0"/>
    <m/>
    <m/>
    <n v="0"/>
  </r>
  <r>
    <x v="11"/>
    <s v="Northeastern Technical College "/>
    <m/>
    <n v="217837"/>
    <x v="8"/>
    <m/>
    <m/>
    <n v="0"/>
    <m/>
    <m/>
    <n v="0"/>
    <m/>
    <m/>
    <n v="0"/>
    <m/>
    <m/>
    <n v="0"/>
    <m/>
    <m/>
    <n v="0"/>
    <m/>
    <m/>
    <n v="0"/>
    <m/>
    <m/>
    <n v="0"/>
    <m/>
    <m/>
    <n v="0"/>
    <n v="30"/>
    <n v="35893.199999999997"/>
    <n v="1076796"/>
    <n v="28"/>
    <n v="35355.5"/>
    <n v="989954"/>
    <m/>
    <m/>
    <n v="0"/>
    <m/>
    <m/>
    <n v="0"/>
    <m/>
    <m/>
    <n v="0"/>
    <m/>
    <m/>
    <n v="0"/>
    <m/>
    <m/>
    <n v="0"/>
    <m/>
    <m/>
    <n v="0"/>
    <m/>
    <m/>
    <n v="0"/>
    <m/>
    <m/>
    <n v="0"/>
    <m/>
    <m/>
    <n v="0"/>
    <m/>
    <m/>
    <n v="0"/>
    <m/>
    <m/>
    <n v="0"/>
    <m/>
    <m/>
    <n v="0"/>
    <m/>
    <m/>
    <n v="0"/>
    <m/>
    <m/>
    <n v="0"/>
  </r>
  <r>
    <x v="11"/>
    <s v="Technical College of the Lowcountry"/>
    <m/>
    <n v="217712"/>
    <x v="8"/>
    <m/>
    <m/>
    <n v="0"/>
    <m/>
    <m/>
    <n v="0"/>
    <m/>
    <m/>
    <n v="0"/>
    <m/>
    <m/>
    <n v="0"/>
    <m/>
    <m/>
    <n v="0"/>
    <m/>
    <m/>
    <n v="0"/>
    <m/>
    <m/>
    <n v="0"/>
    <m/>
    <m/>
    <n v="0"/>
    <n v="48"/>
    <n v="49645.625"/>
    <n v="2382990"/>
    <n v="48"/>
    <n v="49363.979166666664"/>
    <n v="2369471"/>
    <m/>
    <m/>
    <n v="0"/>
    <m/>
    <m/>
    <n v="0"/>
    <m/>
    <m/>
    <n v="0"/>
    <m/>
    <m/>
    <n v="0"/>
    <m/>
    <m/>
    <n v="0"/>
    <m/>
    <m/>
    <n v="0"/>
    <m/>
    <m/>
    <n v="0"/>
    <m/>
    <m/>
    <n v="0"/>
    <m/>
    <m/>
    <n v="0"/>
    <m/>
    <m/>
    <n v="0"/>
    <m/>
    <m/>
    <n v="0"/>
    <m/>
    <m/>
    <n v="0"/>
    <m/>
    <m/>
    <n v="0"/>
    <m/>
    <m/>
    <n v="0"/>
  </r>
  <r>
    <x v="11"/>
    <s v="University of South Carolina-Lancaster"/>
    <m/>
    <n v="218672"/>
    <x v="8"/>
    <n v="5"/>
    <n v="64133.8"/>
    <n v="320669"/>
    <n v="5"/>
    <n v="64343.8"/>
    <n v="321719"/>
    <n v="3"/>
    <n v="56277"/>
    <n v="168831"/>
    <n v="3"/>
    <n v="56277"/>
    <n v="168831"/>
    <n v="16"/>
    <n v="46778.25"/>
    <n v="748452"/>
    <n v="16"/>
    <n v="46750.125"/>
    <n v="748002"/>
    <n v="20"/>
    <n v="45517.85"/>
    <n v="910357"/>
    <n v="18"/>
    <n v="46715.333333333336"/>
    <n v="840876"/>
    <m/>
    <m/>
    <n v="0"/>
    <m/>
    <m/>
    <n v="0"/>
    <m/>
    <m/>
    <n v="0"/>
    <m/>
    <m/>
    <n v="0"/>
    <m/>
    <m/>
    <n v="0"/>
    <m/>
    <m/>
    <n v="0"/>
    <n v="1"/>
    <n v="71556"/>
    <n v="58547.119200000001"/>
    <n v="1"/>
    <n v="71556"/>
    <n v="58547.119200000001"/>
    <m/>
    <m/>
    <n v="0"/>
    <n v="1"/>
    <n v="60600"/>
    <n v="49582.920000000006"/>
    <n v="1"/>
    <n v="40400"/>
    <n v="33055.279999999999"/>
    <n v="2"/>
    <n v="61950"/>
    <n v="101374.98000000001"/>
    <m/>
    <m/>
    <n v="0"/>
    <m/>
    <m/>
    <n v="0"/>
    <m/>
    <m/>
    <n v="0"/>
    <m/>
    <m/>
    <n v="0"/>
  </r>
  <r>
    <x v="11"/>
    <s v="University of South Carolina-Salkehatchie"/>
    <m/>
    <n v="218681"/>
    <x v="8"/>
    <n v="1"/>
    <n v="57256"/>
    <n v="57256"/>
    <n v="1"/>
    <n v="57256"/>
    <n v="57256"/>
    <n v="2"/>
    <n v="50883"/>
    <n v="101766"/>
    <n v="2"/>
    <n v="50883"/>
    <n v="101766"/>
    <n v="7"/>
    <n v="44393.428571428572"/>
    <n v="310754"/>
    <n v="11"/>
    <n v="45377.090909090912"/>
    <n v="499148"/>
    <n v="5"/>
    <n v="42244.800000000003"/>
    <n v="211224"/>
    <n v="3"/>
    <n v="39946.333333333336"/>
    <n v="119839"/>
    <m/>
    <m/>
    <n v="0"/>
    <m/>
    <m/>
    <n v="0"/>
    <m/>
    <m/>
    <n v="0"/>
    <m/>
    <m/>
    <n v="0"/>
    <m/>
    <m/>
    <n v="0"/>
    <m/>
    <m/>
    <n v="0"/>
    <n v="1"/>
    <n v="42901"/>
    <n v="35101.5982"/>
    <n v="1"/>
    <n v="42901"/>
    <n v="35101.5982"/>
    <m/>
    <m/>
    <n v="0"/>
    <m/>
    <m/>
    <n v="0"/>
    <m/>
    <m/>
    <n v="0"/>
    <n v="1"/>
    <n v="40000"/>
    <n v="32728"/>
    <n v="1"/>
    <n v="84817"/>
    <n v="69397.269400000005"/>
    <m/>
    <m/>
    <n v="0"/>
    <m/>
    <m/>
    <n v="0"/>
    <m/>
    <m/>
    <n v="0"/>
  </r>
  <r>
    <x v="11"/>
    <s v="University of South Carolina-Sumter"/>
    <m/>
    <n v="218690"/>
    <x v="8"/>
    <n v="8"/>
    <n v="67835.25"/>
    <n v="542682"/>
    <n v="8"/>
    <n v="67906.375"/>
    <n v="543251"/>
    <n v="14"/>
    <n v="55644.357142857145"/>
    <n v="779021"/>
    <n v="13"/>
    <n v="55566.461538461539"/>
    <n v="722364"/>
    <n v="8"/>
    <n v="46587"/>
    <n v="372696"/>
    <n v="7"/>
    <n v="46969.714285714283"/>
    <n v="328788"/>
    <n v="17"/>
    <n v="33924.882352941175"/>
    <n v="576723"/>
    <n v="18"/>
    <n v="33887.388888888891"/>
    <n v="609973"/>
    <m/>
    <m/>
    <n v="0"/>
    <m/>
    <m/>
    <n v="0"/>
    <m/>
    <m/>
    <n v="0"/>
    <m/>
    <m/>
    <n v="0"/>
    <n v="2"/>
    <n v="88050"/>
    <n v="144085.02000000002"/>
    <n v="2"/>
    <n v="88050"/>
    <n v="144085.02000000002"/>
    <n v="2"/>
    <n v="78311"/>
    <n v="128148.1204"/>
    <n v="2"/>
    <n v="78311"/>
    <n v="128148.1204"/>
    <m/>
    <m/>
    <n v="0"/>
    <m/>
    <m/>
    <n v="0"/>
    <m/>
    <m/>
    <n v="0"/>
    <m/>
    <m/>
    <n v="0"/>
    <m/>
    <m/>
    <n v="0"/>
    <m/>
    <m/>
    <n v="0"/>
    <m/>
    <m/>
    <n v="0"/>
    <m/>
    <m/>
    <n v="0"/>
  </r>
  <r>
    <x v="11"/>
    <s v="University of South Carolina-Union"/>
    <m/>
    <n v="218706"/>
    <x v="8"/>
    <m/>
    <m/>
    <n v="0"/>
    <m/>
    <m/>
    <n v="0"/>
    <m/>
    <m/>
    <n v="0"/>
    <m/>
    <m/>
    <n v="0"/>
    <n v="3"/>
    <n v="47926.333333333336"/>
    <n v="143779"/>
    <n v="4"/>
    <n v="49194.75"/>
    <n v="196779"/>
    <n v="4"/>
    <n v="45810"/>
    <n v="183240"/>
    <n v="6"/>
    <n v="52081.166666666664"/>
    <n v="312487"/>
    <m/>
    <m/>
    <n v="0"/>
    <m/>
    <m/>
    <n v="0"/>
    <m/>
    <m/>
    <n v="0"/>
    <m/>
    <m/>
    <n v="0"/>
    <m/>
    <m/>
    <n v="0"/>
    <m/>
    <m/>
    <n v="0"/>
    <m/>
    <m/>
    <n v="0"/>
    <m/>
    <m/>
    <n v="0"/>
    <m/>
    <m/>
    <n v="0"/>
    <m/>
    <m/>
    <n v="0"/>
    <m/>
    <m/>
    <n v="0"/>
    <m/>
    <m/>
    <n v="0"/>
    <m/>
    <m/>
    <n v="0"/>
    <m/>
    <m/>
    <n v="0"/>
    <m/>
    <m/>
    <n v="0"/>
    <m/>
    <m/>
    <n v="0"/>
  </r>
  <r>
    <x v="11"/>
    <s v="Willamsburg Technical College "/>
    <m/>
    <n v="218955"/>
    <x v="8"/>
    <m/>
    <m/>
    <n v="0"/>
    <m/>
    <m/>
    <n v="0"/>
    <m/>
    <m/>
    <n v="0"/>
    <m/>
    <m/>
    <n v="0"/>
    <m/>
    <m/>
    <n v="0"/>
    <m/>
    <m/>
    <n v="0"/>
    <m/>
    <m/>
    <n v="0"/>
    <m/>
    <m/>
    <n v="0"/>
    <n v="18"/>
    <n v="34557.388888888891"/>
    <n v="622033"/>
    <n v="18"/>
    <n v="35408.777777777781"/>
    <n v="637358"/>
    <m/>
    <m/>
    <n v="0"/>
    <m/>
    <m/>
    <n v="0"/>
    <m/>
    <m/>
    <n v="0"/>
    <m/>
    <m/>
    <n v="0"/>
    <m/>
    <m/>
    <n v="0"/>
    <m/>
    <m/>
    <n v="0"/>
    <m/>
    <m/>
    <n v="0"/>
    <m/>
    <m/>
    <n v="0"/>
    <m/>
    <m/>
    <n v="0"/>
    <m/>
    <m/>
    <n v="0"/>
    <m/>
    <m/>
    <n v="0"/>
    <m/>
    <m/>
    <n v="0"/>
    <m/>
    <m/>
    <n v="0"/>
    <m/>
    <m/>
    <n v="0"/>
  </r>
  <r>
    <x v="12"/>
    <s v="University of Memphis"/>
    <m/>
    <n v="220862"/>
    <x v="0"/>
    <n v="219"/>
    <n v="98271.881278538815"/>
    <n v="21521542"/>
    <n v="218"/>
    <n v="98324.839449541279"/>
    <n v="21434815"/>
    <n v="236"/>
    <n v="70545.995762711871"/>
    <n v="16648855.000000002"/>
    <n v="229"/>
    <n v="69998.27510917031"/>
    <n v="16029605.000000002"/>
    <n v="222"/>
    <n v="59677.842342342345"/>
    <n v="13248481"/>
    <n v="225"/>
    <n v="60439.16"/>
    <n v="13598811"/>
    <n v="95"/>
    <n v="40551.863157894739"/>
    <n v="3852427"/>
    <n v="94"/>
    <n v="41254.042553191488"/>
    <n v="3877880"/>
    <n v="18"/>
    <n v="44558.5"/>
    <n v="802053"/>
    <n v="21"/>
    <n v="44542.142857142855"/>
    <n v="935385"/>
    <m/>
    <m/>
    <n v="0"/>
    <m/>
    <m/>
    <n v="0"/>
    <n v="23"/>
    <n v="137260.82608695651"/>
    <n v="2583056.5818000003"/>
    <n v="23"/>
    <n v="137091.78260869565"/>
    <n v="2579875.4202000001"/>
    <n v="16"/>
    <n v="71829.75"/>
    <n v="940337.62320000003"/>
    <n v="14"/>
    <n v="72870.428571428565"/>
    <n v="834716.18519999995"/>
    <n v="13"/>
    <n v="64238.076923076922"/>
    <n v="683274.72900000005"/>
    <n v="19"/>
    <n v="60667.15789473684"/>
    <n v="943119.50320000004"/>
    <n v="14"/>
    <n v="52401.142857142855"/>
    <n v="600244.61120000004"/>
    <n v="14"/>
    <n v="51800.714285714283"/>
    <n v="593366.82200000004"/>
    <n v="5"/>
    <n v="36675"/>
    <n v="150037.42500000002"/>
    <n v="5"/>
    <n v="36675"/>
    <n v="150037.42500000002"/>
    <m/>
    <m/>
    <n v="0"/>
    <m/>
    <m/>
    <n v="0"/>
  </r>
  <r>
    <x v="12"/>
    <s v="University of Tennessee, Knoxville"/>
    <m/>
    <n v="221759"/>
    <x v="0"/>
    <n v="379"/>
    <n v="106453.41952506597"/>
    <n v="40345846"/>
    <n v="370"/>
    <n v="107593.50540540541"/>
    <n v="39809597"/>
    <n v="282"/>
    <n v="78943.833333333328"/>
    <n v="22262161"/>
    <n v="281"/>
    <n v="79175.434163701066"/>
    <n v="22248297"/>
    <n v="251"/>
    <n v="65249.055776892434"/>
    <n v="16377513"/>
    <n v="253"/>
    <n v="66507.173913043473"/>
    <n v="16826315"/>
    <n v="17"/>
    <n v="51674.588235294119"/>
    <n v="878468"/>
    <n v="18"/>
    <n v="54917.666666666664"/>
    <n v="988518"/>
    <n v="207"/>
    <n v="39510.391304347824"/>
    <n v="8178651"/>
    <n v="228"/>
    <n v="39870.26315789474"/>
    <n v="9090420"/>
    <m/>
    <m/>
    <n v="0"/>
    <m/>
    <m/>
    <n v="0"/>
    <n v="163"/>
    <n v="134900.88343558283"/>
    <n v="17991272.160800003"/>
    <n v="181"/>
    <n v="138670.42541436464"/>
    <n v="20536285.715399999"/>
    <n v="116"/>
    <n v="101401.29310344828"/>
    <n v="9624118.4100000001"/>
    <n v="135"/>
    <n v="101859.34074074074"/>
    <n v="11251077.200200001"/>
    <n v="90"/>
    <n v="86759.255555555559"/>
    <n v="6388778.0606000004"/>
    <n v="103"/>
    <n v="89228.116504854363"/>
    <n v="7519663.8272000002"/>
    <n v="18"/>
    <n v="67979.611111111109"/>
    <n v="1001176.5206"/>
    <n v="17"/>
    <n v="70036.882352941175"/>
    <n v="974171.01140000008"/>
    <n v="13"/>
    <n v="50139.384615384617"/>
    <n v="533312.5784"/>
    <n v="23"/>
    <n v="53561.956521739128"/>
    <n v="1007961.035"/>
    <m/>
    <m/>
    <n v="0"/>
    <m/>
    <m/>
    <n v="0"/>
  </r>
  <r>
    <x v="12"/>
    <s v="Austin Peay State University "/>
    <s v="Reclassified: met the criteria for Four-Year 3 in 2008-09, 2009-10 and 2010-11."/>
    <n v="219602"/>
    <x v="2"/>
    <n v="96"/>
    <n v="68466.177083333328"/>
    <n v="6572753"/>
    <n v="107"/>
    <n v="67947.11214953271"/>
    <n v="7270341"/>
    <n v="64"/>
    <n v="57897.890625"/>
    <n v="3705465"/>
    <n v="78"/>
    <n v="53773.256410256414"/>
    <n v="4194314"/>
    <n v="116"/>
    <n v="45633.853448275862"/>
    <n v="5293527"/>
    <n v="106"/>
    <n v="44601.518867924526"/>
    <n v="4727761"/>
    <n v="34"/>
    <n v="34547.941176470587"/>
    <n v="1174630"/>
    <n v="35"/>
    <n v="35004.542857142857"/>
    <n v="1225159"/>
    <n v="0"/>
    <m/>
    <n v="0"/>
    <m/>
    <m/>
    <n v="0"/>
    <m/>
    <m/>
    <n v="0"/>
    <m/>
    <m/>
    <n v="0"/>
    <n v="0"/>
    <m/>
    <n v="0"/>
    <n v="0"/>
    <m/>
    <n v="0"/>
    <n v="0"/>
    <m/>
    <n v="0"/>
    <n v="1"/>
    <n v="75000"/>
    <n v="61365"/>
    <n v="0"/>
    <m/>
    <n v="0"/>
    <n v="0"/>
    <m/>
    <n v="0"/>
    <n v="0"/>
    <m/>
    <n v="0"/>
    <n v="0"/>
    <m/>
    <n v="0"/>
    <n v="0"/>
    <m/>
    <n v="0"/>
    <n v="0"/>
    <m/>
    <n v="0"/>
    <m/>
    <m/>
    <n v="0"/>
    <m/>
    <m/>
    <n v="0"/>
  </r>
  <r>
    <x v="12"/>
    <s v="East Tennessee State University "/>
    <m/>
    <n v="220075"/>
    <x v="2"/>
    <n v="99"/>
    <n v="73356.272727272721"/>
    <n v="7262270.9999999991"/>
    <n v="99"/>
    <n v="70760.565656565654"/>
    <n v="7005296"/>
    <n v="118"/>
    <n v="57462.542372881355"/>
    <n v="6780580"/>
    <n v="120"/>
    <n v="55803.466666666667"/>
    <n v="6696416"/>
    <n v="145"/>
    <n v="50762"/>
    <n v="7360490"/>
    <n v="155"/>
    <n v="48341.664516129029"/>
    <n v="7492957.9999999991"/>
    <n v="19"/>
    <n v="39303.57894736842"/>
    <n v="746768"/>
    <n v="16"/>
    <n v="39076.75"/>
    <n v="625228"/>
    <n v="43"/>
    <n v="30107.302325581397"/>
    <n v="1294614"/>
    <n v="45"/>
    <n v="29115.888888888891"/>
    <n v="1310215"/>
    <m/>
    <m/>
    <n v="0"/>
    <m/>
    <m/>
    <n v="0"/>
    <n v="26"/>
    <n v="83513.38461538461"/>
    <n v="1776596.9336000001"/>
    <n v="27"/>
    <n v="82025.074074074073"/>
    <n v="1812048.7214000002"/>
    <n v="24"/>
    <n v="83110.5"/>
    <n v="1632024.2664000001"/>
    <n v="25"/>
    <n v="78832.320000000007"/>
    <n v="1612515.1056000004"/>
    <n v="36"/>
    <n v="74846.888888888891"/>
    <n v="2204630.0816000002"/>
    <n v="41"/>
    <n v="70065.243902439019"/>
    <n v="2350422.6850000001"/>
    <n v="4"/>
    <n v="51404"/>
    <n v="168235.01120000001"/>
    <n v="4"/>
    <n v="51404"/>
    <n v="168235.01120000001"/>
    <n v="2"/>
    <n v="50000"/>
    <n v="81820"/>
    <n v="4"/>
    <n v="42500"/>
    <n v="139094"/>
    <m/>
    <m/>
    <n v="0"/>
    <m/>
    <m/>
    <n v="0"/>
  </r>
  <r>
    <x v="12"/>
    <s v="Middle Tennessee State University "/>
    <m/>
    <n v="220978"/>
    <x v="2"/>
    <n v="321"/>
    <n v="82089.277258566974"/>
    <n v="26350658"/>
    <n v="305"/>
    <n v="79547.54426229508"/>
    <n v="24262001"/>
    <n v="238"/>
    <n v="64425.865546218491"/>
    <n v="15333356"/>
    <n v="222"/>
    <n v="64239.477477477478"/>
    <n v="14261164"/>
    <n v="218"/>
    <n v="52501.426605504588"/>
    <n v="11445311"/>
    <n v="214"/>
    <n v="52017.644859813081"/>
    <n v="11131776"/>
    <n v="92"/>
    <n v="36228.456521739128"/>
    <n v="3333018"/>
    <n v="120"/>
    <n v="37480.39166666667"/>
    <n v="4497647"/>
    <n v="0"/>
    <m/>
    <n v="0"/>
    <m/>
    <m/>
    <n v="0"/>
    <m/>
    <m/>
    <n v="0"/>
    <m/>
    <m/>
    <n v="0"/>
    <n v="0"/>
    <m/>
    <n v="0"/>
    <n v="2"/>
    <n v="94790.5"/>
    <n v="155115.17420000001"/>
    <n v="1"/>
    <n v="66950"/>
    <n v="54778.490000000005"/>
    <n v="1"/>
    <n v="66950"/>
    <n v="54778.490000000005"/>
    <n v="1"/>
    <n v="72448"/>
    <n v="59276.953600000001"/>
    <n v="1"/>
    <n v="56966"/>
    <n v="46609.581200000001"/>
    <n v="1"/>
    <n v="30000"/>
    <n v="24546"/>
    <n v="0"/>
    <m/>
    <n v="0"/>
    <n v="0"/>
    <m/>
    <n v="0"/>
    <n v="0"/>
    <m/>
    <n v="0"/>
    <m/>
    <m/>
    <n v="0"/>
    <m/>
    <m/>
    <n v="0"/>
  </r>
  <r>
    <x v="12"/>
    <s v="Tennessee State University "/>
    <s v="Met the criteria for Four-Year 2 in 2009-10 and 2010-11."/>
    <n v="221838"/>
    <x v="2"/>
    <n v="103"/>
    <n v="70965.165048543684"/>
    <n v="7309411.9999999991"/>
    <n v="106"/>
    <n v="73991.915094339623"/>
    <n v="7843143"/>
    <n v="93"/>
    <n v="55945.967741935485"/>
    <n v="5202975"/>
    <n v="98"/>
    <n v="57564.489795918365"/>
    <n v="5641320"/>
    <n v="122"/>
    <n v="45551.295081967211"/>
    <n v="5557258"/>
    <n v="102"/>
    <n v="50932.941176470587"/>
    <n v="5195160"/>
    <n v="35"/>
    <n v="47213.142857142855"/>
    <n v="1652460"/>
    <n v="26"/>
    <n v="41133.038461538461"/>
    <n v="1069459"/>
    <n v="0"/>
    <m/>
    <n v="0"/>
    <n v="5"/>
    <n v="34800"/>
    <n v="174000"/>
    <m/>
    <m/>
    <n v="0"/>
    <m/>
    <m/>
    <n v="0"/>
    <n v="10"/>
    <n v="94650.8"/>
    <n v="774432.8456"/>
    <n v="9"/>
    <n v="93301.777777777781"/>
    <n v="687055.63120000006"/>
    <n v="23"/>
    <n v="64193.304347826088"/>
    <n v="1208028.1172"/>
    <n v="27"/>
    <n v="68367.666666666672"/>
    <n v="1510337.4714000002"/>
    <n v="40"/>
    <n v="49803.925000000003"/>
    <n v="1629982.8574000001"/>
    <n v="38"/>
    <n v="56192.868421052633"/>
    <n v="1747126.1878000002"/>
    <n v="8"/>
    <n v="50650.75"/>
    <n v="331539.54920000001"/>
    <n v="5"/>
    <n v="48740.4"/>
    <n v="199396.97640000001"/>
    <n v="0"/>
    <m/>
    <n v="0"/>
    <n v="1"/>
    <n v="60000"/>
    <n v="49092"/>
    <m/>
    <m/>
    <n v="0"/>
    <m/>
    <m/>
    <n v="0"/>
  </r>
  <r>
    <x v="12"/>
    <s v="Tennessee Technological University "/>
    <m/>
    <n v="221847"/>
    <x v="2"/>
    <n v="147"/>
    <n v="78005.421768707485"/>
    <n v="11466797"/>
    <n v="146"/>
    <n v="77181.917808219179"/>
    <n v="11268560"/>
    <n v="80"/>
    <n v="61989.037499999999"/>
    <n v="4959123"/>
    <n v="85"/>
    <n v="62410.929411764708"/>
    <n v="5304929"/>
    <n v="80"/>
    <n v="52919.375"/>
    <n v="4233550"/>
    <n v="72"/>
    <n v="52247.638888888891"/>
    <n v="3761830"/>
    <n v="48"/>
    <n v="38088.958333333336"/>
    <n v="1828270"/>
    <n v="58"/>
    <n v="37866.206896551725"/>
    <n v="2196240"/>
    <n v="0"/>
    <m/>
    <n v="0"/>
    <m/>
    <m/>
    <n v="0"/>
    <m/>
    <m/>
    <n v="0"/>
    <m/>
    <m/>
    <n v="0"/>
    <n v="3"/>
    <n v="78090"/>
    <n v="191679.71400000001"/>
    <n v="2"/>
    <n v="78440"/>
    <n v="128359.216"/>
    <n v="7"/>
    <n v="61965.714285714283"/>
    <n v="354902.43200000003"/>
    <n v="8"/>
    <n v="60636.25"/>
    <n v="396900.63800000004"/>
    <n v="6"/>
    <n v="51980"/>
    <n v="255180.21600000001"/>
    <n v="6"/>
    <n v="51980"/>
    <n v="255180.21600000001"/>
    <n v="0"/>
    <m/>
    <n v="0"/>
    <n v="3"/>
    <n v="41666.666666666664"/>
    <n v="102275"/>
    <n v="0"/>
    <m/>
    <n v="0"/>
    <n v="0"/>
    <m/>
    <n v="0"/>
    <m/>
    <m/>
    <n v="0"/>
    <m/>
    <m/>
    <n v="0"/>
  </r>
  <r>
    <x v="12"/>
    <s v="University of Tennessee at Chattanooga"/>
    <m/>
    <n v="221740"/>
    <x v="2"/>
    <n v="121"/>
    <n v="82735.016528925626"/>
    <n v="10010937"/>
    <n v="122"/>
    <n v="83083.672131147541"/>
    <n v="10136208"/>
    <n v="77"/>
    <n v="62916.337662337661"/>
    <n v="4844558"/>
    <n v="91"/>
    <n v="64679.857142857145"/>
    <n v="5885867"/>
    <n v="76"/>
    <n v="55489.07894736842"/>
    <n v="4217170"/>
    <n v="78"/>
    <n v="55552.794871794875"/>
    <n v="4333118"/>
    <n v="5"/>
    <n v="39363"/>
    <n v="196815"/>
    <n v="6"/>
    <n v="42127.333333333336"/>
    <n v="252764"/>
    <n v="80"/>
    <n v="34616.699999999997"/>
    <n v="2769336"/>
    <n v="88"/>
    <n v="35360.022727272728"/>
    <n v="3111682"/>
    <m/>
    <m/>
    <n v="0"/>
    <m/>
    <m/>
    <n v="0"/>
    <n v="10"/>
    <n v="119121.60000000001"/>
    <n v="974652.93119999999"/>
    <n v="34"/>
    <n v="108408.29411764706"/>
    <n v="3015788.6524"/>
    <n v="9"/>
    <n v="70735.222222222219"/>
    <n v="520880.0294"/>
    <n v="16"/>
    <n v="77770.75"/>
    <n v="1018112.4424000001"/>
    <n v="9"/>
    <n v="63660.555555555555"/>
    <n v="468783.59900000005"/>
    <n v="10"/>
    <n v="64489.2"/>
    <n v="527650.63439999998"/>
    <n v="0"/>
    <m/>
    <n v="0"/>
    <n v="0"/>
    <m/>
    <n v="0"/>
    <n v="4"/>
    <n v="53019.5"/>
    <n v="173522.21960000001"/>
    <n v="5"/>
    <n v="56055.6"/>
    <n v="229323.4596"/>
    <m/>
    <m/>
    <n v="0"/>
    <m/>
    <m/>
    <n v="0"/>
  </r>
  <r>
    <x v="12"/>
    <s v="University of Tennessee at Martin"/>
    <m/>
    <n v="221768"/>
    <x v="4"/>
    <n v="59"/>
    <n v="74052.016949152545"/>
    <n v="4369069"/>
    <n v="63"/>
    <n v="72727.079365079364"/>
    <n v="4581806"/>
    <n v="39"/>
    <n v="58191.615384615383"/>
    <n v="2269473"/>
    <n v="51"/>
    <n v="58615.431372549021"/>
    <n v="2989387"/>
    <n v="82"/>
    <n v="52074.743902439026"/>
    <n v="4270129"/>
    <n v="77"/>
    <n v="52847.207792207795"/>
    <n v="4069235"/>
    <n v="17"/>
    <n v="47240.352941176468"/>
    <n v="803086"/>
    <n v="14"/>
    <n v="46115.642857142855"/>
    <n v="645619"/>
    <n v="48"/>
    <n v="41833.395833333336"/>
    <n v="2008003"/>
    <n v="45"/>
    <n v="42352.555555555555"/>
    <n v="1905865"/>
    <m/>
    <m/>
    <n v="0"/>
    <m/>
    <m/>
    <n v="0"/>
    <n v="16"/>
    <n v="95084.6875"/>
    <n v="1244772.6610000001"/>
    <n v="15"/>
    <n v="93832.8"/>
    <n v="1151609.9544000002"/>
    <n v="6"/>
    <n v="73201"/>
    <n v="359358.3492"/>
    <n v="6"/>
    <n v="75199.166666666672"/>
    <n v="369167.74900000001"/>
    <n v="4"/>
    <n v="67325"/>
    <n v="220341.26"/>
    <n v="4"/>
    <n v="67961.25"/>
    <n v="222423.579"/>
    <n v="3"/>
    <n v="48785.333333333336"/>
    <n v="119748.4792"/>
    <n v="3"/>
    <n v="48851.666666666664"/>
    <n v="119911.30100000001"/>
    <n v="0"/>
    <m/>
    <n v="0"/>
    <n v="0"/>
    <m/>
    <n v="0"/>
    <m/>
    <m/>
    <n v="0"/>
    <m/>
    <m/>
    <n v="0"/>
  </r>
  <r>
    <x v="12"/>
    <s v="Chattanooga State Technical Community College "/>
    <m/>
    <n v="219824"/>
    <x v="6"/>
    <n v="18"/>
    <n v="57899.666666666664"/>
    <n v="1042194"/>
    <n v="20"/>
    <n v="56438.35"/>
    <n v="1128767"/>
    <n v="79"/>
    <n v="50383.151898734177"/>
    <n v="3980269"/>
    <n v="72"/>
    <n v="50225.972222222219"/>
    <n v="3616270"/>
    <n v="33"/>
    <n v="45392.515151515152"/>
    <n v="1497953"/>
    <n v="39"/>
    <n v="45207.205128205125"/>
    <n v="1763081"/>
    <n v="21"/>
    <n v="41286.714285714283"/>
    <n v="867020.99999999988"/>
    <n v="22"/>
    <n v="41282.86363636364"/>
    <n v="908223.00000000012"/>
    <n v="0"/>
    <m/>
    <n v="0"/>
    <m/>
    <m/>
    <n v="0"/>
    <m/>
    <m/>
    <n v="0"/>
    <m/>
    <m/>
    <n v="0"/>
    <n v="5"/>
    <n v="75486.600000000006"/>
    <n v="308815.68060000002"/>
    <n v="5"/>
    <n v="75486.600000000006"/>
    <n v="308815.68060000002"/>
    <n v="14"/>
    <n v="62558.571428571428"/>
    <n v="716595.924"/>
    <n v="16"/>
    <n v="62209.3125"/>
    <n v="814394.55180000002"/>
    <n v="8"/>
    <n v="55522.25"/>
    <n v="363426.43960000004"/>
    <n v="7"/>
    <n v="56374.285714285717"/>
    <n v="322878.08400000003"/>
    <n v="36"/>
    <n v="48622.027777777781"/>
    <n v="1432171.5526000001"/>
    <n v="43"/>
    <n v="48189.953488372092"/>
    <n v="1695447.8576"/>
    <n v="0"/>
    <m/>
    <n v="0"/>
    <n v="0"/>
    <m/>
    <n v="0"/>
    <m/>
    <m/>
    <n v="0"/>
    <m/>
    <m/>
    <n v="0"/>
  </r>
  <r>
    <x v="12"/>
    <s v="Pellissippi State Technical Community College"/>
    <m/>
    <n v="221643"/>
    <x v="6"/>
    <n v="38"/>
    <n v="58046.052631578947"/>
    <n v="2205750"/>
    <n v="36"/>
    <n v="58101.944444444445"/>
    <n v="2091670"/>
    <n v="100"/>
    <n v="50630.1"/>
    <n v="5063010"/>
    <n v="104"/>
    <n v="50676.923076923078"/>
    <n v="5270400"/>
    <n v="18"/>
    <n v="41430"/>
    <n v="745740"/>
    <n v="21"/>
    <n v="41504.285714285717"/>
    <n v="871590.00000000012"/>
    <n v="24"/>
    <n v="35160.833333333336"/>
    <n v="843860"/>
    <n v="28"/>
    <n v="31644.642857142859"/>
    <n v="886050"/>
    <n v="0"/>
    <m/>
    <n v="0"/>
    <m/>
    <m/>
    <n v="0"/>
    <m/>
    <m/>
    <n v="0"/>
    <m/>
    <m/>
    <n v="0"/>
    <n v="4"/>
    <n v="80985"/>
    <n v="265047.70799999998"/>
    <n v="4"/>
    <n v="80985"/>
    <n v="265047.70799999998"/>
    <n v="2"/>
    <n v="59335"/>
    <n v="97095.794000000009"/>
    <n v="2"/>
    <n v="59335"/>
    <n v="97095.794000000009"/>
    <n v="0"/>
    <m/>
    <n v="0"/>
    <n v="0"/>
    <m/>
    <n v="0"/>
    <n v="0"/>
    <m/>
    <n v="0"/>
    <n v="0"/>
    <m/>
    <n v="0"/>
    <n v="0"/>
    <m/>
    <n v="0"/>
    <n v="0"/>
    <m/>
    <n v="0"/>
    <m/>
    <m/>
    <n v="0"/>
    <m/>
    <m/>
    <n v="0"/>
  </r>
  <r>
    <x v="12"/>
    <s v="Southwest Tennessee Community College"/>
    <m/>
    <n v="221485"/>
    <x v="6"/>
    <n v="21"/>
    <n v="59036.571428571428"/>
    <n v="1239768"/>
    <n v="20"/>
    <n v="59155.8"/>
    <n v="1183116"/>
    <n v="94"/>
    <n v="50167.148936170212"/>
    <n v="4715712"/>
    <n v="92"/>
    <n v="49923"/>
    <n v="4592916"/>
    <n v="60"/>
    <n v="40762.98333333333"/>
    <n v="2445779"/>
    <n v="57"/>
    <n v="41491.57894736842"/>
    <n v="2365020"/>
    <n v="44"/>
    <n v="34430.454545454544"/>
    <n v="1514940"/>
    <n v="44"/>
    <n v="34743.545454545456"/>
    <n v="1528716"/>
    <n v="0"/>
    <m/>
    <n v="0"/>
    <m/>
    <m/>
    <n v="0"/>
    <m/>
    <m/>
    <n v="0"/>
    <m/>
    <m/>
    <n v="0"/>
    <n v="3"/>
    <n v="75052"/>
    <n v="184222.63920000001"/>
    <n v="2"/>
    <n v="74652"/>
    <n v="122160.5328"/>
    <n v="13"/>
    <n v="65525.538461538461"/>
    <n v="696968.94240000006"/>
    <n v="11"/>
    <n v="64890.545454545456"/>
    <n v="584027.8872"/>
    <n v="0"/>
    <m/>
    <n v="0"/>
    <n v="2"/>
    <n v="48930"/>
    <n v="80069.052000000011"/>
    <n v="0"/>
    <m/>
    <n v="0"/>
    <n v="0"/>
    <m/>
    <n v="0"/>
    <n v="0"/>
    <m/>
    <n v="0"/>
    <n v="0"/>
    <m/>
    <n v="0"/>
    <m/>
    <m/>
    <n v="0"/>
    <m/>
    <m/>
    <n v="0"/>
  </r>
  <r>
    <x v="12"/>
    <s v="Cleveland State Community College "/>
    <m/>
    <n v="219879"/>
    <x v="7"/>
    <n v="5"/>
    <n v="56745.599999999999"/>
    <n v="283728"/>
    <n v="5"/>
    <n v="56745.599999999999"/>
    <n v="283728"/>
    <n v="32"/>
    <n v="48851.125"/>
    <n v="1563236"/>
    <n v="31"/>
    <n v="47876.838709677417"/>
    <n v="1484182"/>
    <n v="12"/>
    <n v="39691"/>
    <n v="476292"/>
    <n v="14"/>
    <n v="36373.714285714283"/>
    <n v="509231.99999999994"/>
    <n v="16"/>
    <n v="34812.25"/>
    <n v="556996"/>
    <n v="18"/>
    <n v="36252.777777777781"/>
    <n v="652550"/>
    <n v="0"/>
    <m/>
    <n v="0"/>
    <m/>
    <m/>
    <n v="0"/>
    <m/>
    <m/>
    <n v="0"/>
    <m/>
    <m/>
    <n v="0"/>
    <n v="0"/>
    <m/>
    <n v="0"/>
    <n v="0"/>
    <m/>
    <n v="0"/>
    <n v="1"/>
    <n v="70156"/>
    <n v="57401.639200000005"/>
    <n v="1"/>
    <n v="70156"/>
    <n v="57401.639200000005"/>
    <n v="0"/>
    <m/>
    <n v="0"/>
    <n v="1"/>
    <n v="42092"/>
    <n v="34439.674400000004"/>
    <n v="3"/>
    <n v="44973.333333333336"/>
    <n v="110391.54400000001"/>
    <n v="2"/>
    <n v="44168"/>
    <n v="72276.515200000009"/>
    <n v="0"/>
    <m/>
    <n v="0"/>
    <n v="0"/>
    <m/>
    <n v="0"/>
    <m/>
    <m/>
    <n v="0"/>
    <m/>
    <m/>
    <n v="0"/>
  </r>
  <r>
    <x v="12"/>
    <s v="Columbia State Community College "/>
    <m/>
    <n v="219888"/>
    <x v="7"/>
    <n v="14"/>
    <n v="69252.857142857145"/>
    <n v="969540"/>
    <n v="12"/>
    <n v="68074.166666666672"/>
    <n v="816890"/>
    <n v="34"/>
    <n v="51415"/>
    <n v="1748110"/>
    <n v="31"/>
    <n v="51918.709677419356"/>
    <n v="1609480"/>
    <n v="20"/>
    <n v="40820.5"/>
    <n v="816410"/>
    <n v="17"/>
    <n v="41054.117647058825"/>
    <n v="697920"/>
    <n v="15"/>
    <n v="36712.666666666664"/>
    <n v="550690"/>
    <n v="16"/>
    <n v="37459.375"/>
    <n v="599350"/>
    <n v="3"/>
    <n v="39323.333333333336"/>
    <n v="117970"/>
    <n v="6"/>
    <n v="38756.666666666664"/>
    <n v="232540"/>
    <m/>
    <m/>
    <n v="0"/>
    <m/>
    <m/>
    <n v="0"/>
    <n v="1"/>
    <n v="97680"/>
    <n v="79921.775999999998"/>
    <n v="0"/>
    <m/>
    <n v="0"/>
    <n v="4"/>
    <n v="75042.5"/>
    <n v="245599.09400000001"/>
    <n v="5"/>
    <n v="72558"/>
    <n v="296834.77799999999"/>
    <n v="2"/>
    <n v="58165"/>
    <n v="95181.206000000006"/>
    <n v="2"/>
    <n v="55935"/>
    <n v="91532.034"/>
    <n v="3"/>
    <n v="47156.666666666664"/>
    <n v="115750.754"/>
    <n v="3"/>
    <n v="47156.666666666664"/>
    <n v="115750.754"/>
    <n v="1"/>
    <n v="45000"/>
    <n v="36819"/>
    <n v="1"/>
    <n v="45000"/>
    <n v="36819"/>
    <m/>
    <m/>
    <n v="0"/>
    <m/>
    <m/>
    <n v="0"/>
  </r>
  <r>
    <x v="12"/>
    <s v="Jackson State Community College "/>
    <m/>
    <n v="220400"/>
    <x v="7"/>
    <n v="8"/>
    <n v="59114.875"/>
    <n v="472919"/>
    <n v="8"/>
    <n v="59114.875"/>
    <n v="472919"/>
    <n v="35"/>
    <n v="48571.771428571432"/>
    <n v="1700012"/>
    <n v="32"/>
    <n v="49783.5"/>
    <n v="1593072"/>
    <n v="32"/>
    <n v="43544.4375"/>
    <n v="1393422"/>
    <n v="30"/>
    <n v="42881.8"/>
    <n v="1286454"/>
    <n v="11"/>
    <n v="42105.272727272728"/>
    <n v="463158"/>
    <n v="11"/>
    <n v="42476.63636363636"/>
    <n v="467242.99999999994"/>
    <n v="0"/>
    <m/>
    <n v="0"/>
    <n v="1"/>
    <n v="39434"/>
    <n v="39434"/>
    <m/>
    <m/>
    <n v="0"/>
    <m/>
    <m/>
    <n v="0"/>
    <n v="1"/>
    <n v="79567"/>
    <n v="65101.719400000002"/>
    <n v="1"/>
    <n v="79567"/>
    <n v="65101.719400000002"/>
    <n v="7"/>
    <n v="64925"/>
    <n v="371851.44500000001"/>
    <n v="7"/>
    <n v="64925"/>
    <n v="371851.44500000001"/>
    <n v="4"/>
    <n v="53423.5"/>
    <n v="174844.4308"/>
    <n v="5"/>
    <n v="52896.2"/>
    <n v="216398.3542"/>
    <n v="1"/>
    <n v="47358"/>
    <n v="38748.315600000002"/>
    <n v="1"/>
    <n v="47358"/>
    <n v="38748.315600000002"/>
    <n v="0"/>
    <n v="0"/>
    <n v="0"/>
    <n v="0"/>
    <m/>
    <n v="0"/>
    <m/>
    <m/>
    <n v="0"/>
    <m/>
    <m/>
    <n v="0"/>
  </r>
  <r>
    <x v="12"/>
    <s v="Motlow State Community College "/>
    <m/>
    <n v="221096"/>
    <x v="7"/>
    <n v="9"/>
    <n v="69418.666666666672"/>
    <n v="624768"/>
    <n v="11"/>
    <n v="64407.545454545456"/>
    <n v="708483"/>
    <n v="20"/>
    <n v="46018.1"/>
    <n v="920362"/>
    <n v="20"/>
    <n v="45613"/>
    <n v="912260"/>
    <n v="18"/>
    <n v="38200.277777777781"/>
    <n v="687605"/>
    <n v="18"/>
    <n v="39067.222222222219"/>
    <n v="703210"/>
    <n v="32"/>
    <n v="37144.46875"/>
    <n v="1188623"/>
    <n v="27"/>
    <n v="37017.666666666664"/>
    <n v="999476.99999999988"/>
    <n v="0"/>
    <m/>
    <n v="0"/>
    <m/>
    <m/>
    <n v="0"/>
    <m/>
    <m/>
    <n v="0"/>
    <m/>
    <m/>
    <n v="0"/>
    <n v="0"/>
    <m/>
    <n v="0"/>
    <n v="0"/>
    <m/>
    <n v="0"/>
    <n v="0"/>
    <m/>
    <n v="0"/>
    <n v="0"/>
    <m/>
    <n v="0"/>
    <n v="0"/>
    <m/>
    <n v="0"/>
    <n v="0"/>
    <m/>
    <n v="0"/>
    <n v="0"/>
    <m/>
    <n v="0"/>
    <n v="0"/>
    <m/>
    <n v="0"/>
    <n v="0"/>
    <n v="0"/>
    <n v="0"/>
    <n v="0"/>
    <m/>
    <n v="0"/>
    <m/>
    <m/>
    <n v="0"/>
    <m/>
    <m/>
    <n v="0"/>
  </r>
  <r>
    <x v="12"/>
    <s v="Nashville State Technical Community College"/>
    <s v="Met the criteria for Two-year 1 in 2009-10 and 2010-11."/>
    <n v="221184"/>
    <x v="7"/>
    <n v="7"/>
    <n v="59034"/>
    <n v="413238"/>
    <n v="6"/>
    <n v="59204.5"/>
    <n v="355227"/>
    <n v="42"/>
    <n v="51400.833333333336"/>
    <n v="2158835"/>
    <n v="40"/>
    <n v="50635.425000000003"/>
    <n v="2025417"/>
    <n v="28"/>
    <n v="41883.571428571428"/>
    <n v="1172740"/>
    <n v="33"/>
    <n v="40660.393939393936"/>
    <n v="1341793"/>
    <n v="71"/>
    <n v="37752.267605633802"/>
    <n v="2680411"/>
    <n v="80"/>
    <n v="38752.912499999999"/>
    <n v="3100233"/>
    <n v="0"/>
    <m/>
    <n v="0"/>
    <m/>
    <m/>
    <n v="0"/>
    <m/>
    <m/>
    <n v="0"/>
    <m/>
    <m/>
    <n v="0"/>
    <n v="0"/>
    <m/>
    <n v="0"/>
    <n v="0"/>
    <m/>
    <n v="0"/>
    <n v="0"/>
    <m/>
    <n v="0"/>
    <n v="0"/>
    <m/>
    <n v="0"/>
    <n v="0"/>
    <m/>
    <n v="0"/>
    <n v="0"/>
    <m/>
    <n v="0"/>
    <n v="2"/>
    <n v="52253"/>
    <n v="85506.809200000003"/>
    <n v="2"/>
    <n v="63369.5"/>
    <n v="103697.84980000001"/>
    <n v="0"/>
    <n v="0"/>
    <n v="0"/>
    <n v="0"/>
    <m/>
    <n v="0"/>
    <m/>
    <m/>
    <n v="0"/>
    <m/>
    <m/>
    <n v="0"/>
  </r>
  <r>
    <x v="12"/>
    <s v="Northeast State Technical Community College"/>
    <m/>
    <n v="221908"/>
    <x v="7"/>
    <n v="8"/>
    <n v="54765.25"/>
    <n v="438122"/>
    <n v="10"/>
    <n v="51010.8"/>
    <n v="510108"/>
    <n v="32"/>
    <n v="47830.5625"/>
    <n v="1530578"/>
    <n v="30"/>
    <n v="45312.533333333333"/>
    <n v="1359376"/>
    <n v="25"/>
    <n v="37779.919999999998"/>
    <n v="944498"/>
    <n v="33"/>
    <n v="36780.454545454544"/>
    <n v="1213755"/>
    <n v="30"/>
    <n v="35159.866666666669"/>
    <n v="1054796"/>
    <n v="27"/>
    <n v="36885.925925925927"/>
    <n v="995920"/>
    <n v="0"/>
    <m/>
    <n v="0"/>
    <m/>
    <m/>
    <n v="0"/>
    <m/>
    <m/>
    <n v="0"/>
    <m/>
    <m/>
    <n v="0"/>
    <n v="2"/>
    <n v="68285"/>
    <n v="111741.57400000001"/>
    <n v="2"/>
    <n v="69285"/>
    <n v="113377.974"/>
    <n v="6"/>
    <n v="67377"/>
    <n v="330767.16840000002"/>
    <n v="5"/>
    <n v="68258.2"/>
    <n v="279244.29620000004"/>
    <n v="2"/>
    <n v="77496"/>
    <n v="126814.4544"/>
    <n v="3"/>
    <n v="72654.333333333328"/>
    <n v="178337.3266"/>
    <n v="1"/>
    <n v="47327"/>
    <n v="38722.951400000005"/>
    <n v="1"/>
    <n v="48527"/>
    <n v="39704.791400000002"/>
    <n v="0"/>
    <n v="0"/>
    <n v="0"/>
    <n v="0"/>
    <m/>
    <n v="0"/>
    <m/>
    <m/>
    <n v="0"/>
    <m/>
    <m/>
    <n v="0"/>
  </r>
  <r>
    <x v="12"/>
    <s v="Roane State Community College "/>
    <m/>
    <n v="221397"/>
    <x v="7"/>
    <n v="16"/>
    <n v="58464.6875"/>
    <n v="935435"/>
    <n v="36"/>
    <n v="58101.944444444445"/>
    <n v="2091670"/>
    <n v="59"/>
    <n v="50509.847457627118"/>
    <n v="2980081"/>
    <n v="104"/>
    <n v="50676.923076923078"/>
    <n v="5270400"/>
    <n v="32"/>
    <n v="43393.34375"/>
    <n v="1388587"/>
    <n v="21"/>
    <n v="41504.285714285717"/>
    <n v="871590.00000000012"/>
    <n v="8"/>
    <n v="42339.5"/>
    <n v="338716"/>
    <n v="28"/>
    <n v="31644.642857142859"/>
    <n v="886050"/>
    <n v="0"/>
    <m/>
    <n v="0"/>
    <m/>
    <m/>
    <n v="0"/>
    <m/>
    <m/>
    <n v="0"/>
    <m/>
    <m/>
    <n v="0"/>
    <n v="4"/>
    <n v="77769.5"/>
    <n v="254524.0196"/>
    <n v="4"/>
    <n v="80985"/>
    <n v="265047.70799999998"/>
    <n v="5"/>
    <n v="67122.399999999994"/>
    <n v="274597.73840000003"/>
    <n v="2"/>
    <n v="59335"/>
    <n v="97095.794000000009"/>
    <n v="6"/>
    <n v="49263"/>
    <n v="241841.91960000002"/>
    <n v="0"/>
    <m/>
    <n v="0"/>
    <n v="3"/>
    <n v="41950.333333333336"/>
    <n v="102971.28820000001"/>
    <n v="0"/>
    <m/>
    <n v="0"/>
    <n v="0"/>
    <n v="0"/>
    <n v="0"/>
    <n v="0"/>
    <m/>
    <n v="0"/>
    <m/>
    <m/>
    <n v="0"/>
    <m/>
    <m/>
    <n v="0"/>
  </r>
  <r>
    <x v="12"/>
    <s v="Volunteer State Community College "/>
    <s v="Met the criteria for Two-Year 1 in 2009-10 and 2010-11."/>
    <n v="222053"/>
    <x v="7"/>
    <n v="17"/>
    <n v="56105.529411764706"/>
    <n v="953794"/>
    <n v="17"/>
    <n v="56103.529411764706"/>
    <n v="953760"/>
    <n v="72"/>
    <n v="48797.458333333336"/>
    <n v="3513417"/>
    <n v="69"/>
    <n v="48442.014492753624"/>
    <n v="3342499"/>
    <n v="12"/>
    <n v="40381.166666666664"/>
    <n v="484574"/>
    <n v="13"/>
    <n v="40563.153846153844"/>
    <n v="527321"/>
    <n v="23"/>
    <n v="36833.695652173912"/>
    <n v="847175"/>
    <n v="25"/>
    <n v="38847.599999999999"/>
    <n v="971190"/>
    <n v="0"/>
    <m/>
    <n v="0"/>
    <m/>
    <m/>
    <n v="0"/>
    <m/>
    <m/>
    <n v="0"/>
    <m/>
    <m/>
    <n v="0"/>
    <n v="0"/>
    <m/>
    <n v="0"/>
    <n v="0"/>
    <m/>
    <n v="0"/>
    <n v="9"/>
    <n v="62298.666666666664"/>
    <n v="458754.9216"/>
    <n v="11"/>
    <n v="62569.090909090912"/>
    <n v="563134.33200000005"/>
    <n v="5"/>
    <n v="57430.6"/>
    <n v="234948.5846"/>
    <n v="4"/>
    <n v="57639.5"/>
    <n v="188642.55560000002"/>
    <n v="10"/>
    <n v="55915"/>
    <n v="457496.53"/>
    <n v="12"/>
    <n v="56313"/>
    <n v="552903.55920000002"/>
    <n v="0"/>
    <n v="0"/>
    <n v="0"/>
    <n v="0"/>
    <m/>
    <n v="0"/>
    <m/>
    <m/>
    <n v="0"/>
    <m/>
    <m/>
    <n v="0"/>
  </r>
  <r>
    <x v="12"/>
    <s v="Walters State Community College "/>
    <m/>
    <n v="222062"/>
    <x v="7"/>
    <n v="12"/>
    <n v="61255.333333333336"/>
    <n v="735064"/>
    <n v="13"/>
    <n v="60192.692307692305"/>
    <n v="782505"/>
    <n v="60"/>
    <n v="50322.883333333331"/>
    <n v="3019373"/>
    <n v="63"/>
    <n v="50122.968253968254"/>
    <n v="3157747"/>
    <n v="31"/>
    <n v="43917.709677419356"/>
    <n v="1361449"/>
    <n v="30"/>
    <n v="44621.366666666669"/>
    <n v="1338641"/>
    <n v="16"/>
    <n v="37325.5625"/>
    <n v="597209"/>
    <n v="19"/>
    <n v="36542.15789473684"/>
    <n v="694301"/>
    <n v="0"/>
    <m/>
    <n v="0"/>
    <m/>
    <m/>
    <n v="0"/>
    <m/>
    <m/>
    <n v="0"/>
    <m/>
    <m/>
    <n v="0"/>
    <n v="6"/>
    <n v="81059.333333333328"/>
    <n v="397936.4792"/>
    <n v="6"/>
    <n v="81059.333333333328"/>
    <n v="397936.4792"/>
    <n v="14"/>
    <n v="65122"/>
    <n v="745959.48560000001"/>
    <n v="13"/>
    <n v="64530.692307692305"/>
    <n v="686387.1618"/>
    <n v="5"/>
    <n v="55635.6"/>
    <n v="227605.2396"/>
    <n v="6"/>
    <n v="58246.666666666664"/>
    <n v="285944.53600000002"/>
    <n v="4"/>
    <n v="50167"/>
    <n v="164186.5576"/>
    <n v="4"/>
    <n v="47725.25"/>
    <n v="156195.19820000001"/>
    <n v="0"/>
    <n v="0"/>
    <n v="0"/>
    <n v="0"/>
    <m/>
    <n v="0"/>
    <m/>
    <m/>
    <n v="0"/>
    <m/>
    <m/>
    <n v="0"/>
  </r>
  <r>
    <x v="12"/>
    <s v="Dyersburg State Community College "/>
    <s v="Met the criteria for Two-Year 2 in 2009-10 and 2010-11."/>
    <n v="220057"/>
    <x v="8"/>
    <n v="8"/>
    <n v="55751.125"/>
    <n v="446009"/>
    <n v="8"/>
    <n v="54973.625"/>
    <n v="439789"/>
    <n v="16"/>
    <n v="47191.9375"/>
    <n v="755071"/>
    <n v="17"/>
    <n v="47055.76470588235"/>
    <n v="799948"/>
    <n v="7"/>
    <n v="40021.571428571428"/>
    <n v="280151"/>
    <n v="8"/>
    <n v="41888.25"/>
    <n v="335106"/>
    <n v="16"/>
    <n v="41954.8125"/>
    <n v="671277"/>
    <n v="13"/>
    <n v="42168.461538461539"/>
    <n v="548190"/>
    <n v="0"/>
    <m/>
    <n v="0"/>
    <m/>
    <m/>
    <n v="0"/>
    <m/>
    <m/>
    <n v="0"/>
    <m/>
    <m/>
    <n v="0"/>
    <n v="2"/>
    <n v="76142"/>
    <n v="124598.76880000001"/>
    <n v="1"/>
    <n v="74313"/>
    <n v="60802.8966"/>
    <n v="5"/>
    <n v="63400.800000000003"/>
    <n v="259372.6728"/>
    <n v="4"/>
    <n v="61117"/>
    <n v="200023.7176"/>
    <n v="0"/>
    <m/>
    <n v="0"/>
    <n v="0"/>
    <m/>
    <n v="0"/>
    <n v="0"/>
    <m/>
    <n v="0"/>
    <n v="2"/>
    <n v="49826.5"/>
    <n v="81536.084600000002"/>
    <n v="0"/>
    <n v="0"/>
    <n v="0"/>
    <n v="0"/>
    <m/>
    <n v="0"/>
    <m/>
    <m/>
    <n v="0"/>
    <m/>
    <m/>
    <n v="0"/>
  </r>
  <r>
    <x v="12"/>
    <s v="Tennessee Technology Center at Athens"/>
    <m/>
    <n v="219596"/>
    <x v="10"/>
    <m/>
    <m/>
    <n v="0"/>
    <m/>
    <m/>
    <n v="0"/>
    <m/>
    <m/>
    <n v="0"/>
    <m/>
    <m/>
    <n v="0"/>
    <m/>
    <m/>
    <n v="0"/>
    <m/>
    <m/>
    <n v="0"/>
    <m/>
    <m/>
    <n v="0"/>
    <m/>
    <m/>
    <n v="0"/>
    <m/>
    <m/>
    <n v="0"/>
    <m/>
    <m/>
    <n v="0"/>
    <m/>
    <m/>
    <n v="0"/>
    <m/>
    <m/>
    <n v="0"/>
    <m/>
    <m/>
    <n v="0"/>
    <m/>
    <m/>
    <n v="0"/>
    <m/>
    <m/>
    <n v="0"/>
    <m/>
    <m/>
    <n v="0"/>
    <m/>
    <m/>
    <n v="0"/>
    <m/>
    <m/>
    <n v="0"/>
    <m/>
    <m/>
    <n v="0"/>
    <m/>
    <m/>
    <n v="0"/>
    <m/>
    <m/>
    <n v="0"/>
    <m/>
    <m/>
    <n v="0"/>
    <n v="12"/>
    <n v="43921.5"/>
    <n v="431238.85560000001"/>
    <n v="13"/>
    <n v="43593.923076923078"/>
    <n v="463691.12220000004"/>
  </r>
  <r>
    <x v="12"/>
    <s v="Tennessee Technology Center at Chattanooga"/>
    <s v="Met the criteria for Technical Institute or College 1 in 2010-11."/>
    <s v="219824B"/>
    <x v="10"/>
    <m/>
    <m/>
    <n v="0"/>
    <m/>
    <m/>
    <n v="0"/>
    <m/>
    <m/>
    <n v="0"/>
    <m/>
    <m/>
    <n v="0"/>
    <m/>
    <m/>
    <n v="0"/>
    <m/>
    <m/>
    <n v="0"/>
    <m/>
    <m/>
    <n v="0"/>
    <m/>
    <m/>
    <n v="0"/>
    <m/>
    <m/>
    <n v="0"/>
    <m/>
    <m/>
    <n v="0"/>
    <m/>
    <m/>
    <n v="0"/>
    <m/>
    <m/>
    <n v="0"/>
    <m/>
    <m/>
    <n v="0"/>
    <m/>
    <m/>
    <n v="0"/>
    <m/>
    <m/>
    <n v="0"/>
    <m/>
    <m/>
    <n v="0"/>
    <m/>
    <m/>
    <n v="0"/>
    <m/>
    <m/>
    <n v="0"/>
    <m/>
    <m/>
    <n v="0"/>
    <m/>
    <m/>
    <n v="0"/>
    <m/>
    <m/>
    <n v="0"/>
    <m/>
    <m/>
    <n v="0"/>
    <n v="35"/>
    <n v="47341.314285714288"/>
    <n v="1355713.2172000001"/>
    <n v="40"/>
    <n v="47048.85"/>
    <n v="1539814.7628000001"/>
  </r>
  <r>
    <x v="12"/>
    <s v="Tennessee Technology Center at Covington"/>
    <m/>
    <n v="219921"/>
    <x v="10"/>
    <m/>
    <m/>
    <n v="0"/>
    <m/>
    <m/>
    <n v="0"/>
    <m/>
    <m/>
    <n v="0"/>
    <m/>
    <m/>
    <n v="0"/>
    <m/>
    <m/>
    <n v="0"/>
    <m/>
    <m/>
    <n v="0"/>
    <m/>
    <m/>
    <n v="0"/>
    <m/>
    <m/>
    <n v="0"/>
    <m/>
    <m/>
    <n v="0"/>
    <m/>
    <m/>
    <n v="0"/>
    <m/>
    <m/>
    <n v="0"/>
    <m/>
    <m/>
    <n v="0"/>
    <m/>
    <m/>
    <n v="0"/>
    <m/>
    <m/>
    <n v="0"/>
    <m/>
    <m/>
    <n v="0"/>
    <m/>
    <m/>
    <n v="0"/>
    <m/>
    <m/>
    <n v="0"/>
    <m/>
    <m/>
    <n v="0"/>
    <m/>
    <m/>
    <n v="0"/>
    <m/>
    <m/>
    <n v="0"/>
    <m/>
    <m/>
    <n v="0"/>
    <m/>
    <m/>
    <n v="0"/>
    <n v="9"/>
    <n v="42403.444444444445"/>
    <n v="312250.48420000001"/>
    <n v="10"/>
    <n v="43731.3"/>
    <n v="357809.49660000001"/>
  </r>
  <r>
    <x v="12"/>
    <s v="Tennessee Technology Center at Crossville"/>
    <m/>
    <n v="221591"/>
    <x v="10"/>
    <m/>
    <m/>
    <n v="0"/>
    <m/>
    <m/>
    <n v="0"/>
    <m/>
    <m/>
    <n v="0"/>
    <m/>
    <m/>
    <n v="0"/>
    <m/>
    <m/>
    <n v="0"/>
    <m/>
    <m/>
    <n v="0"/>
    <m/>
    <m/>
    <n v="0"/>
    <m/>
    <m/>
    <n v="0"/>
    <m/>
    <m/>
    <n v="0"/>
    <m/>
    <m/>
    <n v="0"/>
    <m/>
    <m/>
    <n v="0"/>
    <m/>
    <m/>
    <n v="0"/>
    <m/>
    <m/>
    <n v="0"/>
    <m/>
    <m/>
    <n v="0"/>
    <m/>
    <m/>
    <n v="0"/>
    <m/>
    <m/>
    <n v="0"/>
    <m/>
    <m/>
    <n v="0"/>
    <m/>
    <m/>
    <n v="0"/>
    <m/>
    <m/>
    <n v="0"/>
    <m/>
    <m/>
    <n v="0"/>
    <m/>
    <m/>
    <n v="0"/>
    <m/>
    <m/>
    <n v="0"/>
    <n v="21"/>
    <n v="44644.619047619046"/>
    <n v="767092.77340000006"/>
    <n v="18"/>
    <n v="43940.111111111109"/>
    <n v="647132.38040000002"/>
  </r>
  <r>
    <x v="12"/>
    <s v="Tennessee Technology Center at Crump"/>
    <m/>
    <n v="221430"/>
    <x v="10"/>
    <m/>
    <m/>
    <n v="0"/>
    <m/>
    <m/>
    <n v="0"/>
    <m/>
    <m/>
    <n v="0"/>
    <m/>
    <m/>
    <n v="0"/>
    <m/>
    <m/>
    <n v="0"/>
    <m/>
    <m/>
    <n v="0"/>
    <m/>
    <m/>
    <n v="0"/>
    <m/>
    <m/>
    <n v="0"/>
    <m/>
    <m/>
    <n v="0"/>
    <m/>
    <m/>
    <n v="0"/>
    <m/>
    <m/>
    <n v="0"/>
    <m/>
    <m/>
    <n v="0"/>
    <m/>
    <m/>
    <n v="0"/>
    <m/>
    <m/>
    <n v="0"/>
    <m/>
    <m/>
    <n v="0"/>
    <m/>
    <m/>
    <n v="0"/>
    <m/>
    <m/>
    <n v="0"/>
    <m/>
    <m/>
    <n v="0"/>
    <m/>
    <m/>
    <n v="0"/>
    <m/>
    <m/>
    <n v="0"/>
    <m/>
    <m/>
    <n v="0"/>
    <m/>
    <m/>
    <n v="0"/>
    <n v="8"/>
    <n v="49461.75"/>
    <n v="323756.8308"/>
    <n v="13"/>
    <n v="46785.076923076922"/>
    <n v="497634.14920000004"/>
  </r>
  <r>
    <x v="12"/>
    <s v="Tennessee Technology Center at Dickson"/>
    <m/>
    <n v="219994"/>
    <x v="10"/>
    <m/>
    <m/>
    <n v="0"/>
    <m/>
    <m/>
    <n v="0"/>
    <m/>
    <m/>
    <n v="0"/>
    <m/>
    <m/>
    <n v="0"/>
    <m/>
    <m/>
    <n v="0"/>
    <m/>
    <m/>
    <n v="0"/>
    <m/>
    <m/>
    <n v="0"/>
    <m/>
    <m/>
    <n v="0"/>
    <m/>
    <m/>
    <n v="0"/>
    <m/>
    <m/>
    <n v="0"/>
    <m/>
    <m/>
    <n v="0"/>
    <m/>
    <m/>
    <n v="0"/>
    <m/>
    <m/>
    <n v="0"/>
    <m/>
    <m/>
    <n v="0"/>
    <m/>
    <m/>
    <n v="0"/>
    <m/>
    <m/>
    <n v="0"/>
    <m/>
    <m/>
    <n v="0"/>
    <m/>
    <m/>
    <n v="0"/>
    <m/>
    <m/>
    <n v="0"/>
    <m/>
    <m/>
    <n v="0"/>
    <m/>
    <m/>
    <n v="0"/>
    <m/>
    <m/>
    <n v="0"/>
    <n v="28"/>
    <n v="45396.892857142855"/>
    <n v="1040024.6566000001"/>
    <n v="29"/>
    <n v="44427.586206896551"/>
    <n v="1054168.8800000001"/>
  </r>
  <r>
    <x v="12"/>
    <s v="Tennessee Technology Center at Elizabethton"/>
    <m/>
    <n v="220127"/>
    <x v="10"/>
    <m/>
    <m/>
    <n v="0"/>
    <m/>
    <m/>
    <n v="0"/>
    <m/>
    <m/>
    <n v="0"/>
    <m/>
    <m/>
    <n v="0"/>
    <m/>
    <m/>
    <n v="0"/>
    <m/>
    <m/>
    <n v="0"/>
    <m/>
    <m/>
    <n v="0"/>
    <m/>
    <m/>
    <n v="0"/>
    <m/>
    <m/>
    <n v="0"/>
    <m/>
    <m/>
    <n v="0"/>
    <m/>
    <m/>
    <n v="0"/>
    <m/>
    <m/>
    <n v="0"/>
    <m/>
    <m/>
    <n v="0"/>
    <m/>
    <m/>
    <n v="0"/>
    <m/>
    <m/>
    <n v="0"/>
    <m/>
    <m/>
    <n v="0"/>
    <m/>
    <m/>
    <n v="0"/>
    <m/>
    <m/>
    <n v="0"/>
    <m/>
    <m/>
    <n v="0"/>
    <m/>
    <m/>
    <n v="0"/>
    <m/>
    <m/>
    <n v="0"/>
    <m/>
    <m/>
    <n v="0"/>
    <n v="15"/>
    <n v="45306.133333333331"/>
    <n v="556042.17440000002"/>
    <n v="18"/>
    <n v="44983.944444444445"/>
    <n v="662505.54020000005"/>
  </r>
  <r>
    <x v="12"/>
    <s v="Tennessee Technology Center at Harriman"/>
    <m/>
    <n v="220251"/>
    <x v="10"/>
    <m/>
    <m/>
    <n v="0"/>
    <m/>
    <m/>
    <n v="0"/>
    <m/>
    <m/>
    <n v="0"/>
    <m/>
    <m/>
    <n v="0"/>
    <m/>
    <m/>
    <n v="0"/>
    <m/>
    <m/>
    <n v="0"/>
    <m/>
    <m/>
    <n v="0"/>
    <m/>
    <m/>
    <n v="0"/>
    <m/>
    <m/>
    <n v="0"/>
    <m/>
    <m/>
    <n v="0"/>
    <m/>
    <m/>
    <n v="0"/>
    <m/>
    <m/>
    <n v="0"/>
    <m/>
    <m/>
    <n v="0"/>
    <m/>
    <m/>
    <n v="0"/>
    <m/>
    <m/>
    <n v="0"/>
    <m/>
    <m/>
    <n v="0"/>
    <m/>
    <m/>
    <n v="0"/>
    <m/>
    <m/>
    <n v="0"/>
    <m/>
    <m/>
    <n v="0"/>
    <m/>
    <m/>
    <n v="0"/>
    <m/>
    <m/>
    <n v="0"/>
    <m/>
    <m/>
    <n v="0"/>
    <n v="12"/>
    <n v="40267.833333333336"/>
    <n v="395365.6948"/>
    <n v="11"/>
    <n v="40455.818181818184"/>
    <n v="364110.45480000001"/>
  </r>
  <r>
    <x v="12"/>
    <s v="Tennessee Technology Center at Hartsville"/>
    <m/>
    <n v="220279"/>
    <x v="10"/>
    <m/>
    <m/>
    <n v="0"/>
    <m/>
    <m/>
    <n v="0"/>
    <m/>
    <m/>
    <n v="0"/>
    <m/>
    <m/>
    <n v="0"/>
    <m/>
    <m/>
    <n v="0"/>
    <m/>
    <m/>
    <n v="0"/>
    <m/>
    <m/>
    <n v="0"/>
    <m/>
    <m/>
    <n v="0"/>
    <m/>
    <m/>
    <n v="0"/>
    <m/>
    <m/>
    <n v="0"/>
    <m/>
    <m/>
    <n v="0"/>
    <m/>
    <m/>
    <n v="0"/>
    <m/>
    <m/>
    <n v="0"/>
    <m/>
    <m/>
    <n v="0"/>
    <m/>
    <m/>
    <n v="0"/>
    <m/>
    <m/>
    <n v="0"/>
    <m/>
    <m/>
    <n v="0"/>
    <m/>
    <m/>
    <n v="0"/>
    <m/>
    <m/>
    <n v="0"/>
    <m/>
    <m/>
    <n v="0"/>
    <m/>
    <m/>
    <n v="0"/>
    <m/>
    <m/>
    <n v="0"/>
    <n v="10"/>
    <n v="44969.9"/>
    <n v="367943.7218"/>
    <n v="20"/>
    <n v="40410.300000000003"/>
    <n v="661274.14919999999"/>
  </r>
  <r>
    <x v="12"/>
    <s v="Tennessee Technology Center at Hohenwald"/>
    <m/>
    <n v="220321"/>
    <x v="10"/>
    <m/>
    <m/>
    <n v="0"/>
    <m/>
    <m/>
    <n v="0"/>
    <m/>
    <m/>
    <n v="0"/>
    <m/>
    <m/>
    <n v="0"/>
    <m/>
    <m/>
    <n v="0"/>
    <m/>
    <m/>
    <n v="0"/>
    <m/>
    <m/>
    <n v="0"/>
    <m/>
    <m/>
    <n v="0"/>
    <m/>
    <m/>
    <n v="0"/>
    <m/>
    <m/>
    <n v="0"/>
    <m/>
    <m/>
    <n v="0"/>
    <m/>
    <m/>
    <n v="0"/>
    <m/>
    <m/>
    <n v="0"/>
    <m/>
    <m/>
    <n v="0"/>
    <m/>
    <m/>
    <n v="0"/>
    <m/>
    <m/>
    <n v="0"/>
    <m/>
    <m/>
    <n v="0"/>
    <m/>
    <m/>
    <n v="0"/>
    <m/>
    <m/>
    <n v="0"/>
    <m/>
    <m/>
    <n v="0"/>
    <m/>
    <m/>
    <n v="0"/>
    <m/>
    <m/>
    <n v="0"/>
    <n v="21"/>
    <n v="41991.428571428572"/>
    <n v="721505.12400000007"/>
    <n v="24"/>
    <n v="42642.041666666664"/>
    <n v="837353.24380000005"/>
  </r>
  <r>
    <x v="12"/>
    <s v="Tennessee Technology Center at Jacksboro"/>
    <m/>
    <n v="220394"/>
    <x v="10"/>
    <m/>
    <m/>
    <n v="0"/>
    <m/>
    <m/>
    <n v="0"/>
    <m/>
    <m/>
    <n v="0"/>
    <m/>
    <m/>
    <n v="0"/>
    <m/>
    <m/>
    <n v="0"/>
    <m/>
    <m/>
    <n v="0"/>
    <m/>
    <m/>
    <n v="0"/>
    <m/>
    <m/>
    <n v="0"/>
    <m/>
    <m/>
    <n v="0"/>
    <m/>
    <m/>
    <n v="0"/>
    <m/>
    <m/>
    <n v="0"/>
    <m/>
    <m/>
    <n v="0"/>
    <m/>
    <m/>
    <n v="0"/>
    <m/>
    <m/>
    <n v="0"/>
    <m/>
    <m/>
    <n v="0"/>
    <m/>
    <m/>
    <n v="0"/>
    <m/>
    <m/>
    <n v="0"/>
    <m/>
    <m/>
    <n v="0"/>
    <m/>
    <m/>
    <n v="0"/>
    <m/>
    <m/>
    <n v="0"/>
    <m/>
    <m/>
    <n v="0"/>
    <m/>
    <m/>
    <n v="0"/>
    <n v="9"/>
    <n v="47083.444444444445"/>
    <n v="346713.06820000004"/>
    <n v="9"/>
    <n v="48926.111111111109"/>
    <n v="360282.09700000001"/>
  </r>
  <r>
    <x v="12"/>
    <s v="Tennessee Technology Center at Jackson"/>
    <m/>
    <n v="221616"/>
    <x v="10"/>
    <m/>
    <m/>
    <n v="0"/>
    <m/>
    <m/>
    <n v="0"/>
    <m/>
    <m/>
    <n v="0"/>
    <m/>
    <m/>
    <n v="0"/>
    <m/>
    <m/>
    <n v="0"/>
    <m/>
    <m/>
    <n v="0"/>
    <m/>
    <m/>
    <n v="0"/>
    <m/>
    <m/>
    <n v="0"/>
    <m/>
    <m/>
    <n v="0"/>
    <m/>
    <m/>
    <n v="0"/>
    <m/>
    <m/>
    <n v="0"/>
    <m/>
    <m/>
    <n v="0"/>
    <m/>
    <m/>
    <n v="0"/>
    <m/>
    <m/>
    <n v="0"/>
    <m/>
    <m/>
    <n v="0"/>
    <m/>
    <m/>
    <n v="0"/>
    <m/>
    <m/>
    <n v="0"/>
    <m/>
    <m/>
    <n v="0"/>
    <m/>
    <m/>
    <n v="0"/>
    <m/>
    <m/>
    <n v="0"/>
    <m/>
    <m/>
    <n v="0"/>
    <m/>
    <m/>
    <n v="0"/>
    <n v="25"/>
    <n v="47505.04"/>
    <n v="971715.5932"/>
    <n v="25"/>
    <n v="46710.68"/>
    <n v="955466.95940000005"/>
  </r>
  <r>
    <x v="12"/>
    <s v="Tennessee Technology Center at Knoxville"/>
    <m/>
    <n v="221625"/>
    <x v="10"/>
    <m/>
    <m/>
    <n v="0"/>
    <m/>
    <m/>
    <n v="0"/>
    <m/>
    <m/>
    <n v="0"/>
    <m/>
    <m/>
    <n v="0"/>
    <m/>
    <m/>
    <n v="0"/>
    <m/>
    <m/>
    <n v="0"/>
    <m/>
    <m/>
    <n v="0"/>
    <m/>
    <m/>
    <n v="0"/>
    <m/>
    <m/>
    <n v="0"/>
    <m/>
    <m/>
    <n v="0"/>
    <m/>
    <m/>
    <n v="0"/>
    <m/>
    <m/>
    <n v="0"/>
    <m/>
    <m/>
    <n v="0"/>
    <m/>
    <m/>
    <n v="0"/>
    <m/>
    <m/>
    <n v="0"/>
    <m/>
    <m/>
    <n v="0"/>
    <m/>
    <m/>
    <n v="0"/>
    <m/>
    <m/>
    <n v="0"/>
    <m/>
    <m/>
    <n v="0"/>
    <m/>
    <m/>
    <n v="0"/>
    <m/>
    <m/>
    <n v="0"/>
    <m/>
    <m/>
    <n v="0"/>
    <n v="31"/>
    <n v="45381.322580645159"/>
    <n v="1151060.9422000002"/>
    <n v="31"/>
    <n v="45472.806451612902"/>
    <n v="1153381.3574000001"/>
  </r>
  <r>
    <x v="12"/>
    <s v="Tennessee Technology Center at Livingston"/>
    <m/>
    <n v="220640"/>
    <x v="10"/>
    <m/>
    <m/>
    <n v="0"/>
    <m/>
    <m/>
    <n v="0"/>
    <m/>
    <m/>
    <n v="0"/>
    <m/>
    <m/>
    <n v="0"/>
    <m/>
    <m/>
    <n v="0"/>
    <m/>
    <m/>
    <n v="0"/>
    <m/>
    <m/>
    <n v="0"/>
    <m/>
    <m/>
    <n v="0"/>
    <m/>
    <m/>
    <n v="0"/>
    <m/>
    <m/>
    <n v="0"/>
    <m/>
    <m/>
    <n v="0"/>
    <m/>
    <m/>
    <n v="0"/>
    <m/>
    <m/>
    <n v="0"/>
    <m/>
    <m/>
    <n v="0"/>
    <m/>
    <m/>
    <n v="0"/>
    <m/>
    <m/>
    <n v="0"/>
    <m/>
    <m/>
    <n v="0"/>
    <m/>
    <m/>
    <n v="0"/>
    <m/>
    <m/>
    <n v="0"/>
    <m/>
    <m/>
    <n v="0"/>
    <m/>
    <m/>
    <n v="0"/>
    <m/>
    <m/>
    <n v="0"/>
    <n v="18"/>
    <n v="43852.833333333336"/>
    <n v="645846.98820000002"/>
    <n v="19"/>
    <n v="43994.15789473684"/>
    <n v="683924.3798"/>
  </r>
  <r>
    <x v="12"/>
    <s v="Tennessee Technology Center at McKenzie"/>
    <m/>
    <n v="220756"/>
    <x v="10"/>
    <m/>
    <m/>
    <n v="0"/>
    <m/>
    <m/>
    <n v="0"/>
    <m/>
    <m/>
    <n v="0"/>
    <m/>
    <m/>
    <n v="0"/>
    <m/>
    <m/>
    <n v="0"/>
    <m/>
    <m/>
    <n v="0"/>
    <m/>
    <m/>
    <n v="0"/>
    <m/>
    <m/>
    <n v="0"/>
    <m/>
    <m/>
    <n v="0"/>
    <m/>
    <m/>
    <n v="0"/>
    <m/>
    <m/>
    <n v="0"/>
    <m/>
    <m/>
    <n v="0"/>
    <m/>
    <m/>
    <n v="0"/>
    <m/>
    <m/>
    <n v="0"/>
    <m/>
    <m/>
    <n v="0"/>
    <m/>
    <m/>
    <n v="0"/>
    <m/>
    <m/>
    <n v="0"/>
    <m/>
    <m/>
    <n v="0"/>
    <m/>
    <m/>
    <n v="0"/>
    <m/>
    <m/>
    <n v="0"/>
    <m/>
    <m/>
    <n v="0"/>
    <m/>
    <m/>
    <n v="0"/>
    <n v="10"/>
    <n v="43037"/>
    <n v="352128.734"/>
    <n v="9"/>
    <n v="43708"/>
    <n v="321856.97039999999"/>
  </r>
  <r>
    <x v="12"/>
    <s v="Tennessee Technology Center at McMinnville"/>
    <m/>
    <n v="221607"/>
    <x v="10"/>
    <m/>
    <m/>
    <n v="0"/>
    <m/>
    <m/>
    <n v="0"/>
    <m/>
    <m/>
    <n v="0"/>
    <m/>
    <m/>
    <n v="0"/>
    <m/>
    <m/>
    <n v="0"/>
    <m/>
    <m/>
    <n v="0"/>
    <m/>
    <m/>
    <n v="0"/>
    <m/>
    <m/>
    <n v="0"/>
    <m/>
    <m/>
    <n v="0"/>
    <m/>
    <m/>
    <n v="0"/>
    <m/>
    <m/>
    <n v="0"/>
    <m/>
    <m/>
    <n v="0"/>
    <m/>
    <m/>
    <n v="0"/>
    <m/>
    <m/>
    <n v="0"/>
    <m/>
    <m/>
    <n v="0"/>
    <m/>
    <m/>
    <n v="0"/>
    <m/>
    <m/>
    <n v="0"/>
    <m/>
    <m/>
    <n v="0"/>
    <m/>
    <m/>
    <n v="0"/>
    <m/>
    <m/>
    <n v="0"/>
    <m/>
    <m/>
    <n v="0"/>
    <m/>
    <m/>
    <n v="0"/>
    <n v="12"/>
    <n v="46209"/>
    <n v="453698.44560000004"/>
    <n v="12"/>
    <n v="45230.083333333336"/>
    <n v="444087.0502"/>
  </r>
  <r>
    <x v="12"/>
    <s v="Tennessee Technology Center at Memphis"/>
    <m/>
    <n v="220853"/>
    <x v="10"/>
    <m/>
    <m/>
    <n v="0"/>
    <m/>
    <m/>
    <n v="0"/>
    <m/>
    <m/>
    <n v="0"/>
    <m/>
    <m/>
    <n v="0"/>
    <m/>
    <m/>
    <n v="0"/>
    <m/>
    <m/>
    <n v="0"/>
    <m/>
    <m/>
    <n v="0"/>
    <m/>
    <m/>
    <n v="0"/>
    <m/>
    <m/>
    <n v="0"/>
    <m/>
    <m/>
    <n v="0"/>
    <m/>
    <m/>
    <n v="0"/>
    <m/>
    <m/>
    <n v="0"/>
    <m/>
    <m/>
    <n v="0"/>
    <m/>
    <m/>
    <n v="0"/>
    <m/>
    <m/>
    <n v="0"/>
    <m/>
    <m/>
    <n v="0"/>
    <m/>
    <m/>
    <n v="0"/>
    <m/>
    <m/>
    <n v="0"/>
    <m/>
    <m/>
    <n v="0"/>
    <m/>
    <m/>
    <n v="0"/>
    <m/>
    <m/>
    <n v="0"/>
    <m/>
    <m/>
    <n v="0"/>
    <n v="38"/>
    <n v="45950.526315789473"/>
    <n v="1428675.3840000001"/>
    <n v="36"/>
    <n v="44371.555555555555"/>
    <n v="1306973.0432"/>
  </r>
  <r>
    <x v="12"/>
    <s v="Tennessee Technology Center at Morristown"/>
    <m/>
    <n v="221050"/>
    <x v="10"/>
    <m/>
    <m/>
    <n v="0"/>
    <m/>
    <m/>
    <n v="0"/>
    <m/>
    <m/>
    <n v="0"/>
    <m/>
    <m/>
    <n v="0"/>
    <m/>
    <m/>
    <n v="0"/>
    <m/>
    <m/>
    <n v="0"/>
    <m/>
    <m/>
    <n v="0"/>
    <m/>
    <m/>
    <n v="0"/>
    <m/>
    <m/>
    <n v="0"/>
    <m/>
    <m/>
    <n v="0"/>
    <m/>
    <m/>
    <n v="0"/>
    <m/>
    <m/>
    <n v="0"/>
    <m/>
    <m/>
    <n v="0"/>
    <m/>
    <m/>
    <n v="0"/>
    <m/>
    <m/>
    <n v="0"/>
    <m/>
    <m/>
    <n v="0"/>
    <m/>
    <m/>
    <n v="0"/>
    <m/>
    <m/>
    <n v="0"/>
    <m/>
    <m/>
    <n v="0"/>
    <m/>
    <m/>
    <n v="0"/>
    <m/>
    <m/>
    <n v="0"/>
    <m/>
    <m/>
    <n v="0"/>
    <n v="36"/>
    <n v="48869.861111111109"/>
    <n v="1439471.5330000001"/>
    <n v="36"/>
    <n v="48137.055555555555"/>
    <n v="1417886.5988"/>
  </r>
  <r>
    <x v="12"/>
    <s v="Tennessee Technology Center at Murfreesboro"/>
    <m/>
    <n v="221102"/>
    <x v="10"/>
    <m/>
    <m/>
    <n v="0"/>
    <m/>
    <m/>
    <n v="0"/>
    <m/>
    <m/>
    <n v="0"/>
    <m/>
    <m/>
    <n v="0"/>
    <m/>
    <m/>
    <n v="0"/>
    <m/>
    <m/>
    <n v="0"/>
    <m/>
    <m/>
    <n v="0"/>
    <m/>
    <m/>
    <n v="0"/>
    <m/>
    <m/>
    <n v="0"/>
    <m/>
    <m/>
    <n v="0"/>
    <m/>
    <m/>
    <n v="0"/>
    <m/>
    <m/>
    <n v="0"/>
    <m/>
    <m/>
    <n v="0"/>
    <m/>
    <m/>
    <n v="0"/>
    <m/>
    <m/>
    <n v="0"/>
    <m/>
    <m/>
    <n v="0"/>
    <m/>
    <m/>
    <n v="0"/>
    <m/>
    <m/>
    <n v="0"/>
    <m/>
    <m/>
    <n v="0"/>
    <m/>
    <m/>
    <n v="0"/>
    <m/>
    <m/>
    <n v="0"/>
    <m/>
    <m/>
    <n v="0"/>
    <n v="19"/>
    <n v="47231.052631578947"/>
    <n v="734244.49800000002"/>
    <n v="21"/>
    <n v="50978.952380952382"/>
    <n v="875930.55560000008"/>
  </r>
  <r>
    <x v="12"/>
    <s v="Tennessee Technology Center at Nashville"/>
    <m/>
    <n v="248925"/>
    <x v="10"/>
    <m/>
    <m/>
    <n v="0"/>
    <m/>
    <m/>
    <n v="0"/>
    <m/>
    <m/>
    <n v="0"/>
    <m/>
    <m/>
    <n v="0"/>
    <m/>
    <m/>
    <n v="0"/>
    <m/>
    <m/>
    <n v="0"/>
    <m/>
    <m/>
    <n v="0"/>
    <m/>
    <m/>
    <n v="0"/>
    <m/>
    <m/>
    <n v="0"/>
    <m/>
    <m/>
    <n v="0"/>
    <m/>
    <m/>
    <n v="0"/>
    <m/>
    <m/>
    <n v="0"/>
    <m/>
    <m/>
    <n v="0"/>
    <m/>
    <m/>
    <n v="0"/>
    <m/>
    <m/>
    <n v="0"/>
    <m/>
    <m/>
    <n v="0"/>
    <m/>
    <m/>
    <n v="0"/>
    <m/>
    <m/>
    <n v="0"/>
    <m/>
    <m/>
    <n v="0"/>
    <m/>
    <m/>
    <n v="0"/>
    <m/>
    <m/>
    <n v="0"/>
    <m/>
    <m/>
    <n v="0"/>
    <n v="34"/>
    <n v="43906.029411764706"/>
    <n v="1221413.051"/>
    <n v="34"/>
    <n v="43997.617647058825"/>
    <n v="1223960.9258000001"/>
  </r>
  <r>
    <x v="12"/>
    <s v="Tennessee Technology Center at Newbern"/>
    <m/>
    <n v="221236"/>
    <x v="10"/>
    <m/>
    <m/>
    <n v="0"/>
    <m/>
    <m/>
    <n v="0"/>
    <m/>
    <m/>
    <n v="0"/>
    <m/>
    <m/>
    <n v="0"/>
    <m/>
    <m/>
    <n v="0"/>
    <m/>
    <m/>
    <n v="0"/>
    <m/>
    <m/>
    <n v="0"/>
    <m/>
    <m/>
    <n v="0"/>
    <m/>
    <m/>
    <n v="0"/>
    <m/>
    <m/>
    <n v="0"/>
    <m/>
    <m/>
    <n v="0"/>
    <m/>
    <m/>
    <n v="0"/>
    <m/>
    <m/>
    <n v="0"/>
    <m/>
    <m/>
    <n v="0"/>
    <m/>
    <m/>
    <n v="0"/>
    <m/>
    <m/>
    <n v="0"/>
    <m/>
    <m/>
    <n v="0"/>
    <m/>
    <m/>
    <n v="0"/>
    <m/>
    <m/>
    <n v="0"/>
    <m/>
    <m/>
    <n v="0"/>
    <m/>
    <m/>
    <n v="0"/>
    <m/>
    <m/>
    <n v="0"/>
    <n v="11"/>
    <n v="42607.63636363636"/>
    <n v="383477.24879999994"/>
    <n v="11"/>
    <n v="42310.727272727272"/>
    <n v="380805.00760000001"/>
  </r>
  <r>
    <x v="12"/>
    <s v="Tennessee Technology Center at Oneida"/>
    <m/>
    <n v="221582"/>
    <x v="10"/>
    <m/>
    <m/>
    <n v="0"/>
    <m/>
    <m/>
    <n v="0"/>
    <m/>
    <m/>
    <n v="0"/>
    <m/>
    <m/>
    <n v="0"/>
    <m/>
    <m/>
    <n v="0"/>
    <m/>
    <m/>
    <n v="0"/>
    <m/>
    <m/>
    <n v="0"/>
    <m/>
    <m/>
    <n v="0"/>
    <m/>
    <m/>
    <n v="0"/>
    <m/>
    <m/>
    <n v="0"/>
    <m/>
    <m/>
    <n v="0"/>
    <m/>
    <m/>
    <n v="0"/>
    <m/>
    <m/>
    <n v="0"/>
    <m/>
    <m/>
    <n v="0"/>
    <m/>
    <m/>
    <n v="0"/>
    <m/>
    <m/>
    <n v="0"/>
    <m/>
    <m/>
    <n v="0"/>
    <m/>
    <m/>
    <n v="0"/>
    <m/>
    <m/>
    <n v="0"/>
    <m/>
    <m/>
    <n v="0"/>
    <m/>
    <m/>
    <n v="0"/>
    <m/>
    <m/>
    <n v="0"/>
    <n v="12"/>
    <n v="42684.5"/>
    <n v="419093.49480000004"/>
    <n v="14"/>
    <n v="41542"/>
    <n v="475855.30160000001"/>
  </r>
  <r>
    <x v="12"/>
    <s v="Tennessee Technology Center at Paris"/>
    <m/>
    <n v="221281"/>
    <x v="10"/>
    <m/>
    <m/>
    <n v="0"/>
    <m/>
    <m/>
    <n v="0"/>
    <m/>
    <m/>
    <n v="0"/>
    <m/>
    <m/>
    <n v="0"/>
    <m/>
    <m/>
    <n v="0"/>
    <m/>
    <m/>
    <n v="0"/>
    <m/>
    <m/>
    <n v="0"/>
    <m/>
    <m/>
    <n v="0"/>
    <m/>
    <m/>
    <n v="0"/>
    <m/>
    <m/>
    <n v="0"/>
    <m/>
    <m/>
    <n v="0"/>
    <m/>
    <m/>
    <n v="0"/>
    <m/>
    <m/>
    <n v="0"/>
    <m/>
    <m/>
    <n v="0"/>
    <m/>
    <m/>
    <n v="0"/>
    <m/>
    <m/>
    <n v="0"/>
    <m/>
    <m/>
    <n v="0"/>
    <m/>
    <m/>
    <n v="0"/>
    <m/>
    <m/>
    <n v="0"/>
    <m/>
    <m/>
    <n v="0"/>
    <m/>
    <m/>
    <n v="0"/>
    <m/>
    <m/>
    <n v="0"/>
    <n v="19"/>
    <n v="43904.526315789473"/>
    <n v="682530.9852"/>
    <n v="19"/>
    <n v="43863.947368421053"/>
    <n v="681900.15300000005"/>
  </r>
  <r>
    <x v="12"/>
    <s v="Tennessee Technology Center at Pulaski"/>
    <m/>
    <n v="221333"/>
    <x v="10"/>
    <m/>
    <m/>
    <n v="0"/>
    <m/>
    <m/>
    <n v="0"/>
    <m/>
    <m/>
    <n v="0"/>
    <m/>
    <m/>
    <n v="0"/>
    <m/>
    <m/>
    <n v="0"/>
    <m/>
    <m/>
    <n v="0"/>
    <m/>
    <m/>
    <n v="0"/>
    <m/>
    <m/>
    <n v="0"/>
    <m/>
    <m/>
    <n v="0"/>
    <m/>
    <m/>
    <n v="0"/>
    <m/>
    <m/>
    <n v="0"/>
    <m/>
    <m/>
    <n v="0"/>
    <m/>
    <m/>
    <n v="0"/>
    <m/>
    <m/>
    <n v="0"/>
    <m/>
    <m/>
    <n v="0"/>
    <m/>
    <m/>
    <n v="0"/>
    <m/>
    <m/>
    <n v="0"/>
    <m/>
    <m/>
    <n v="0"/>
    <m/>
    <m/>
    <n v="0"/>
    <m/>
    <m/>
    <n v="0"/>
    <m/>
    <m/>
    <n v="0"/>
    <m/>
    <m/>
    <n v="0"/>
    <n v="15"/>
    <n v="45793.866666666669"/>
    <n v="562028.12560000003"/>
    <n v="15"/>
    <n v="46387.533333333333"/>
    <n v="569314.19660000002"/>
  </r>
  <r>
    <x v="12"/>
    <s v="Tennessee Technology Center at Ripley"/>
    <m/>
    <n v="221388"/>
    <x v="10"/>
    <m/>
    <m/>
    <n v="0"/>
    <m/>
    <m/>
    <n v="0"/>
    <m/>
    <m/>
    <n v="0"/>
    <m/>
    <m/>
    <n v="0"/>
    <m/>
    <m/>
    <n v="0"/>
    <m/>
    <m/>
    <n v="0"/>
    <m/>
    <m/>
    <n v="0"/>
    <m/>
    <m/>
    <n v="0"/>
    <m/>
    <m/>
    <n v="0"/>
    <m/>
    <m/>
    <n v="0"/>
    <m/>
    <m/>
    <n v="0"/>
    <m/>
    <m/>
    <n v="0"/>
    <m/>
    <m/>
    <n v="0"/>
    <m/>
    <m/>
    <n v="0"/>
    <m/>
    <m/>
    <n v="0"/>
    <m/>
    <m/>
    <n v="0"/>
    <m/>
    <m/>
    <n v="0"/>
    <m/>
    <m/>
    <n v="0"/>
    <m/>
    <m/>
    <n v="0"/>
    <m/>
    <m/>
    <n v="0"/>
    <m/>
    <m/>
    <n v="0"/>
    <m/>
    <m/>
    <n v="0"/>
    <n v="10"/>
    <n v="44530.7"/>
    <n v="364350.1874"/>
    <n v="11"/>
    <n v="42441.545454545456"/>
    <n v="381982.39740000002"/>
  </r>
  <r>
    <x v="12"/>
    <s v="Tennessee Technology Center at Shelbyville"/>
    <m/>
    <n v="221494"/>
    <x v="10"/>
    <m/>
    <m/>
    <n v="0"/>
    <m/>
    <m/>
    <n v="0"/>
    <m/>
    <m/>
    <n v="0"/>
    <m/>
    <m/>
    <n v="0"/>
    <m/>
    <m/>
    <n v="0"/>
    <m/>
    <m/>
    <n v="0"/>
    <m/>
    <m/>
    <n v="0"/>
    <m/>
    <m/>
    <n v="0"/>
    <m/>
    <m/>
    <n v="0"/>
    <m/>
    <m/>
    <n v="0"/>
    <m/>
    <m/>
    <n v="0"/>
    <m/>
    <m/>
    <n v="0"/>
    <m/>
    <m/>
    <n v="0"/>
    <m/>
    <m/>
    <n v="0"/>
    <m/>
    <m/>
    <n v="0"/>
    <m/>
    <m/>
    <n v="0"/>
    <m/>
    <m/>
    <n v="0"/>
    <m/>
    <m/>
    <n v="0"/>
    <m/>
    <m/>
    <n v="0"/>
    <m/>
    <m/>
    <n v="0"/>
    <m/>
    <m/>
    <n v="0"/>
    <m/>
    <m/>
    <n v="0"/>
    <n v="21"/>
    <n v="47656.285714285717"/>
    <n v="818839.83240000019"/>
    <n v="22"/>
    <n v="46959"/>
    <n v="845280.78360000008"/>
  </r>
  <r>
    <x v="12"/>
    <s v="Tennessee Technology Center at Whiteville"/>
    <m/>
    <n v="221634"/>
    <x v="10"/>
    <m/>
    <m/>
    <n v="0"/>
    <m/>
    <m/>
    <n v="0"/>
    <m/>
    <m/>
    <n v="0"/>
    <m/>
    <m/>
    <n v="0"/>
    <m/>
    <m/>
    <n v="0"/>
    <m/>
    <m/>
    <n v="0"/>
    <m/>
    <m/>
    <n v="0"/>
    <m/>
    <m/>
    <n v="0"/>
    <m/>
    <m/>
    <n v="0"/>
    <m/>
    <m/>
    <n v="0"/>
    <m/>
    <m/>
    <n v="0"/>
    <m/>
    <m/>
    <n v="0"/>
    <m/>
    <m/>
    <n v="0"/>
    <m/>
    <m/>
    <n v="0"/>
    <m/>
    <m/>
    <n v="0"/>
    <m/>
    <m/>
    <n v="0"/>
    <m/>
    <m/>
    <n v="0"/>
    <m/>
    <m/>
    <n v="0"/>
    <m/>
    <m/>
    <n v="0"/>
    <m/>
    <m/>
    <n v="0"/>
    <m/>
    <m/>
    <n v="0"/>
    <m/>
    <m/>
    <n v="0"/>
    <n v="10"/>
    <n v="48613.2"/>
    <n v="397753.20240000001"/>
    <n v="9"/>
    <n v="48681.111111111109"/>
    <n v="358477.96600000001"/>
  </r>
  <r>
    <x v="13"/>
    <s v="Texas A&amp;M University "/>
    <m/>
    <n v="228723"/>
    <x v="0"/>
    <n v="858"/>
    <n v="120961.47435897436"/>
    <n v="103784945"/>
    <n v="930"/>
    <n v="119759.39247311828"/>
    <n v="111376235"/>
    <n v="512"/>
    <n v="82119.978515625"/>
    <n v="42045429"/>
    <n v="590"/>
    <n v="80873.37627118644"/>
    <n v="47715292"/>
    <n v="612"/>
    <n v="71380.031045751632"/>
    <n v="43684579"/>
    <n v="647"/>
    <n v="69372.77125193199"/>
    <n v="44884183"/>
    <n v="48"/>
    <n v="30391.520833333332"/>
    <n v="1458793"/>
    <n v="111"/>
    <n v="37890.729729729726"/>
    <n v="4205871"/>
    <n v="268"/>
    <n v="44256.492537313432"/>
    <n v="11860740"/>
    <n v="347"/>
    <n v="42663.694524495681"/>
    <n v="14804302.000000002"/>
    <m/>
    <m/>
    <n v="0"/>
    <m/>
    <m/>
    <n v="0"/>
    <m/>
    <m/>
    <n v="0"/>
    <m/>
    <m/>
    <n v="0"/>
    <m/>
    <m/>
    <n v="0"/>
    <m/>
    <m/>
    <n v="0"/>
    <m/>
    <m/>
    <n v="0"/>
    <m/>
    <m/>
    <n v="0"/>
    <m/>
    <m/>
    <n v="0"/>
    <m/>
    <m/>
    <n v="0"/>
    <m/>
    <m/>
    <n v="0"/>
    <m/>
    <m/>
    <n v="0"/>
    <m/>
    <m/>
    <n v="0"/>
    <m/>
    <m/>
    <n v="0"/>
  </r>
  <r>
    <x v="13"/>
    <s v="Texas Tech University "/>
    <m/>
    <n v="229115"/>
    <x v="0"/>
    <n v="237"/>
    <n v="100612.36286919832"/>
    <n v="23845130"/>
    <n v="264"/>
    <n v="102657.90909090909"/>
    <n v="27101688"/>
    <n v="352"/>
    <n v="73123.426136363632"/>
    <n v="25739446"/>
    <n v="355"/>
    <n v="74012.461971830984"/>
    <n v="26274424"/>
    <n v="316"/>
    <n v="64602"/>
    <n v="20414232"/>
    <n v="296"/>
    <n v="65213.800675675673"/>
    <n v="19303285"/>
    <n v="163"/>
    <n v="40123.981595092024"/>
    <n v="6540209"/>
    <n v="172"/>
    <n v="41938.988372093023"/>
    <n v="7213506"/>
    <m/>
    <m/>
    <n v="0"/>
    <m/>
    <m/>
    <n v="0"/>
    <m/>
    <m/>
    <n v="0"/>
    <m/>
    <m/>
    <n v="0"/>
    <n v="50"/>
    <n v="133464.6"/>
    <n v="5460036.7860000003"/>
    <n v="48"/>
    <n v="147775.8125"/>
    <n v="5803688.1498000007"/>
    <n v="11"/>
    <n v="89904.181818181823"/>
    <n v="809155.6172000001"/>
    <n v="10"/>
    <n v="102865.60000000001"/>
    <n v="841646.33920000005"/>
    <n v="8"/>
    <n v="88422.75"/>
    <n v="578779.95240000007"/>
    <n v="11"/>
    <n v="83343.272727272721"/>
    <n v="750106.12319999991"/>
    <n v="11"/>
    <n v="55885.63636363636"/>
    <n v="502981.9044"/>
    <n v="20"/>
    <n v="67335"/>
    <n v="1101869.94"/>
    <m/>
    <m/>
    <n v="0"/>
    <m/>
    <m/>
    <n v="0"/>
    <m/>
    <m/>
    <n v="0"/>
    <m/>
    <m/>
    <n v="0"/>
  </r>
  <r>
    <x v="13"/>
    <s v="University of Houston"/>
    <m/>
    <n v="225511"/>
    <x v="0"/>
    <n v="368"/>
    <n v="119913.47282608696"/>
    <n v="44128158"/>
    <n v="380"/>
    <n v="126182.98947368421"/>
    <n v="47949536"/>
    <n v="281"/>
    <n v="78697.113879003562"/>
    <n v="22113889"/>
    <n v="280"/>
    <n v="80756.571428571435"/>
    <n v="22611840"/>
    <n v="197"/>
    <n v="77841.812182741123"/>
    <n v="15334837.000000002"/>
    <n v="194"/>
    <n v="81005.036082474224"/>
    <n v="15714977"/>
    <m/>
    <m/>
    <n v="0"/>
    <m/>
    <m/>
    <n v="0"/>
    <n v="71"/>
    <n v="48768.816901408449"/>
    <n v="3462586"/>
    <n v="89"/>
    <n v="54954.685393258427"/>
    <n v="4890967"/>
    <m/>
    <m/>
    <n v="0"/>
    <n v="138"/>
    <n v="65365.362318840576"/>
    <n v="9020420"/>
    <n v="15"/>
    <n v="146398.66666666666"/>
    <n v="1796750.8360000001"/>
    <n v="15"/>
    <n v="154174.66666666666"/>
    <n v="1892185.6840000001"/>
    <n v="14"/>
    <n v="106319.92857142857"/>
    <n v="1217873.5178"/>
    <n v="15"/>
    <n v="112776.93333333333"/>
    <n v="1384111.3028000002"/>
    <n v="11"/>
    <n v="89364.545454545456"/>
    <n v="804298.78200000001"/>
    <n v="12"/>
    <n v="88642.833333333328"/>
    <n v="870330.79480000003"/>
    <m/>
    <m/>
    <n v="0"/>
    <m/>
    <m/>
    <n v="0"/>
    <n v="58"/>
    <n v="72804.982758620696"/>
    <n v="3455004.1398"/>
    <n v="4"/>
    <n v="59841"/>
    <n v="195847.62480000002"/>
    <m/>
    <m/>
    <n v="0"/>
    <n v="62"/>
    <n v="76313.870967741939"/>
    <n v="3871280.5720000002"/>
  </r>
  <r>
    <x v="13"/>
    <s v="University of North Texas"/>
    <m/>
    <n v="227216"/>
    <x v="0"/>
    <n v="232"/>
    <n v="104830.76293103448"/>
    <n v="24320737"/>
    <n v="239"/>
    <n v="105525.85355648535"/>
    <n v="25220679"/>
    <n v="254"/>
    <n v="80498.389763779531"/>
    <n v="20446591"/>
    <n v="260"/>
    <n v="80286.292307692303"/>
    <n v="20874436"/>
    <n v="251"/>
    <n v="66658.69322709163"/>
    <n v="16731331.999999998"/>
    <n v="258"/>
    <n v="65935.686046511633"/>
    <n v="17011407"/>
    <n v="2"/>
    <n v="60950"/>
    <n v="121900"/>
    <n v="2"/>
    <n v="60950"/>
    <n v="121900"/>
    <n v="164"/>
    <n v="48645.585365853658"/>
    <n v="7977876"/>
    <n v="179"/>
    <n v="49354.888268156421"/>
    <n v="8834525"/>
    <m/>
    <m/>
    <n v="0"/>
    <n v="14"/>
    <n v="62708.357142857145"/>
    <n v="877917"/>
    <n v="29"/>
    <n v="153950.8275862069"/>
    <n v="3652914.4468"/>
    <n v="34"/>
    <n v="147971.4705882353"/>
    <n v="4116388.7460000003"/>
    <n v="22"/>
    <n v="105335.13636363637"/>
    <n v="1896074.5886000001"/>
    <n v="18"/>
    <n v="101600.27777777778"/>
    <n v="1496328.2510000002"/>
    <m/>
    <m/>
    <n v="0"/>
    <m/>
    <m/>
    <n v="0"/>
    <m/>
    <m/>
    <n v="0"/>
    <m/>
    <m/>
    <n v="0"/>
    <m/>
    <m/>
    <n v="0"/>
    <m/>
    <m/>
    <n v="0"/>
    <m/>
    <m/>
    <n v="0"/>
    <m/>
    <m/>
    <n v="0"/>
  </r>
  <r>
    <x v="13"/>
    <s v="University of Texas at Arlington"/>
    <m/>
    <n v="228769"/>
    <x v="0"/>
    <n v="176"/>
    <n v="103775.05681818182"/>
    <n v="18264410"/>
    <n v="184"/>
    <n v="102457.66304347826"/>
    <n v="18852210"/>
    <n v="185"/>
    <n v="79011.848648648651"/>
    <n v="14617192"/>
    <n v="195"/>
    <n v="79042.348717948713"/>
    <n v="15413257.999999998"/>
    <n v="215"/>
    <n v="71057.600000000006"/>
    <n v="15277384.000000002"/>
    <n v="219"/>
    <n v="72424.109589041094"/>
    <n v="15860880"/>
    <m/>
    <m/>
    <n v="0"/>
    <m/>
    <m/>
    <n v="0"/>
    <n v="245"/>
    <n v="49431.738775510203"/>
    <n v="12110776"/>
    <n v="266"/>
    <n v="50148.691729323305"/>
    <n v="13339552"/>
    <m/>
    <m/>
    <n v="0"/>
    <m/>
    <m/>
    <n v="0"/>
    <m/>
    <m/>
    <n v="0"/>
    <m/>
    <m/>
    <n v="0"/>
    <m/>
    <m/>
    <n v="0"/>
    <m/>
    <m/>
    <n v="0"/>
    <m/>
    <m/>
    <n v="0"/>
    <m/>
    <m/>
    <n v="0"/>
    <m/>
    <m/>
    <n v="0"/>
    <m/>
    <m/>
    <n v="0"/>
    <m/>
    <m/>
    <n v="0"/>
    <m/>
    <m/>
    <n v="0"/>
    <m/>
    <m/>
    <n v="0"/>
    <m/>
    <m/>
    <n v="0"/>
  </r>
  <r>
    <x v="13"/>
    <s v="University of Texas at Austin"/>
    <m/>
    <n v="228778"/>
    <x v="0"/>
    <n v="977"/>
    <n v="133348.44728761516"/>
    <n v="130281433"/>
    <n v="985"/>
    <n v="136404.60507614212"/>
    <n v="134358536"/>
    <n v="523"/>
    <n v="85284.667304015296"/>
    <n v="44603881"/>
    <n v="530"/>
    <n v="88581.905660377364"/>
    <n v="46948410"/>
    <n v="480"/>
    <n v="82223.9375"/>
    <n v="39467490"/>
    <n v="439"/>
    <n v="82382.107061503411"/>
    <n v="36165745"/>
    <n v="1"/>
    <n v="58000"/>
    <n v="58000"/>
    <m/>
    <m/>
    <n v="0"/>
    <n v="612"/>
    <n v="57808.799019607846"/>
    <n v="35378985"/>
    <n v="354"/>
    <n v="56903.661016949154"/>
    <n v="20143896"/>
    <m/>
    <m/>
    <n v="0"/>
    <n v="187"/>
    <n v="63197.106951871661"/>
    <n v="11817859"/>
    <m/>
    <m/>
    <n v="0"/>
    <m/>
    <m/>
    <n v="0"/>
    <m/>
    <m/>
    <n v="0"/>
    <m/>
    <m/>
    <n v="0"/>
    <m/>
    <m/>
    <n v="0"/>
    <m/>
    <m/>
    <n v="0"/>
    <m/>
    <m/>
    <n v="0"/>
    <m/>
    <m/>
    <n v="0"/>
    <m/>
    <m/>
    <n v="0"/>
    <m/>
    <m/>
    <n v="0"/>
    <m/>
    <m/>
    <n v="0"/>
    <m/>
    <m/>
    <n v="0"/>
  </r>
  <r>
    <x v="13"/>
    <s v="University of Texas at Dallas"/>
    <m/>
    <n v="228787"/>
    <x v="0"/>
    <n v="157"/>
    <n v="129882.68789808918"/>
    <n v="20391582"/>
    <m/>
    <m/>
    <n v="0"/>
    <n v="114"/>
    <n v="101509.89473684211"/>
    <n v="11572128"/>
    <m/>
    <m/>
    <n v="0"/>
    <n v="73"/>
    <n v="88186.232876712325"/>
    <n v="6437595"/>
    <m/>
    <m/>
    <n v="0"/>
    <m/>
    <m/>
    <n v="0"/>
    <m/>
    <m/>
    <n v="0"/>
    <n v="113"/>
    <n v="56768.867256637168"/>
    <n v="6414882"/>
    <m/>
    <m/>
    <n v="0"/>
    <m/>
    <m/>
    <n v="0"/>
    <m/>
    <m/>
    <n v="0"/>
    <n v="20"/>
    <n v="143122.85"/>
    <n v="2342062.3174000001"/>
    <n v="1"/>
    <n v="150667"/>
    <n v="123275.73940000001"/>
    <n v="12"/>
    <n v="94744.583333333328"/>
    <n v="930240.21700000006"/>
    <n v="1"/>
    <n v="98515"/>
    <n v="80604.972999999998"/>
    <n v="8"/>
    <n v="69680.125"/>
    <n v="456098.22620000003"/>
    <m/>
    <m/>
    <n v="0"/>
    <m/>
    <m/>
    <n v="0"/>
    <m/>
    <m/>
    <n v="0"/>
    <n v="11"/>
    <n v="86898.909090909088"/>
    <n v="782107.56160000002"/>
    <m/>
    <m/>
    <n v="0"/>
    <m/>
    <m/>
    <n v="0"/>
    <m/>
    <m/>
    <n v="0"/>
  </r>
  <r>
    <x v="13"/>
    <s v="Texas Woman's University"/>
    <s v="Met the criteria for Four-Year 1 in 2010-11."/>
    <n v="229179"/>
    <x v="1"/>
    <n v="59"/>
    <n v="86625.474576271183"/>
    <n v="5110903"/>
    <n v="57"/>
    <n v="88009.754385964916"/>
    <n v="5016556"/>
    <n v="87"/>
    <n v="70972.862068965522"/>
    <n v="6174639"/>
    <n v="82"/>
    <n v="73856.975609756104"/>
    <n v="6056272.0000000009"/>
    <n v="109"/>
    <n v="60248.587155963301"/>
    <n v="6567096"/>
    <n v="101"/>
    <n v="62013.049504950497"/>
    <n v="6263318"/>
    <n v="10"/>
    <n v="50706.8"/>
    <n v="507068"/>
    <n v="10"/>
    <n v="53238.400000000001"/>
    <n v="532384"/>
    <n v="165"/>
    <n v="56331.09696969697"/>
    <n v="9294631"/>
    <n v="9"/>
    <n v="55964.666666666664"/>
    <n v="503682"/>
    <m/>
    <m/>
    <n v="0"/>
    <n v="156"/>
    <n v="58538.320512820515"/>
    <n v="9131978"/>
    <m/>
    <m/>
    <n v="0"/>
    <m/>
    <m/>
    <n v="0"/>
    <m/>
    <m/>
    <n v="0"/>
    <m/>
    <m/>
    <n v="0"/>
    <m/>
    <m/>
    <n v="0"/>
    <m/>
    <m/>
    <n v="0"/>
    <m/>
    <m/>
    <n v="0"/>
    <m/>
    <m/>
    <n v="0"/>
    <m/>
    <m/>
    <n v="0"/>
    <m/>
    <m/>
    <n v="0"/>
    <m/>
    <m/>
    <n v="0"/>
    <m/>
    <m/>
    <n v="0"/>
  </r>
  <r>
    <x v="13"/>
    <s v="University of Texas at El Paso"/>
    <m/>
    <n v="228796"/>
    <x v="1"/>
    <n v="139"/>
    <n v="96935.597122302162"/>
    <n v="13474048"/>
    <n v="142"/>
    <n v="99886.091549295772"/>
    <n v="14183825"/>
    <n v="182"/>
    <n v="73351.967032967033"/>
    <n v="13350058"/>
    <n v="196"/>
    <n v="74647.102040816331"/>
    <n v="14630832"/>
    <n v="161"/>
    <n v="66166.403726708071"/>
    <n v="10652791"/>
    <n v="149"/>
    <n v="67152.872483221479"/>
    <n v="10005778"/>
    <m/>
    <m/>
    <n v="0"/>
    <m/>
    <m/>
    <n v="0"/>
    <n v="193"/>
    <n v="45413.088082901551"/>
    <n v="8764726"/>
    <n v="189"/>
    <n v="46415.650793650791"/>
    <n v="8772558"/>
    <m/>
    <m/>
    <n v="0"/>
    <m/>
    <m/>
    <n v="0"/>
    <m/>
    <m/>
    <n v="0"/>
    <m/>
    <m/>
    <n v="0"/>
    <m/>
    <m/>
    <n v="0"/>
    <m/>
    <m/>
    <n v="0"/>
    <m/>
    <m/>
    <n v="0"/>
    <m/>
    <m/>
    <n v="0"/>
    <m/>
    <m/>
    <n v="0"/>
    <m/>
    <m/>
    <n v="0"/>
    <m/>
    <m/>
    <n v="0"/>
    <m/>
    <m/>
    <n v="0"/>
    <m/>
    <m/>
    <n v="0"/>
    <m/>
    <m/>
    <n v="0"/>
  </r>
  <r>
    <x v="13"/>
    <s v="University of Texas at San Antonio"/>
    <m/>
    <n v="229027"/>
    <x v="1"/>
    <n v="170"/>
    <n v="115642.18235294118"/>
    <n v="19659171"/>
    <n v="191"/>
    <n v="115425.79581151833"/>
    <n v="22046327"/>
    <n v="180"/>
    <n v="84804.977777777778"/>
    <n v="15264896"/>
    <n v="199"/>
    <n v="81332.381909547737"/>
    <n v="16185144"/>
    <n v="193"/>
    <n v="67995.544041450776"/>
    <n v="13123140"/>
    <n v="172"/>
    <n v="69145.720930232565"/>
    <n v="11893064.000000002"/>
    <n v="2"/>
    <n v="47273"/>
    <n v="94546"/>
    <n v="1"/>
    <n v="47708"/>
    <n v="47708"/>
    <n v="120"/>
    <n v="43737.775000000001"/>
    <n v="5248533"/>
    <n v="285"/>
    <n v="34875.249122807014"/>
    <n v="9939445.9999999981"/>
    <m/>
    <m/>
    <n v="0"/>
    <m/>
    <m/>
    <n v="0"/>
    <m/>
    <m/>
    <n v="0"/>
    <m/>
    <m/>
    <n v="0"/>
    <m/>
    <m/>
    <n v="0"/>
    <m/>
    <m/>
    <n v="0"/>
    <m/>
    <m/>
    <n v="0"/>
    <m/>
    <m/>
    <n v="0"/>
    <m/>
    <m/>
    <n v="0"/>
    <m/>
    <m/>
    <n v="0"/>
    <m/>
    <m/>
    <n v="0"/>
    <m/>
    <m/>
    <n v="0"/>
    <m/>
    <m/>
    <n v="0"/>
    <m/>
    <m/>
    <n v="0"/>
  </r>
  <r>
    <x v="13"/>
    <s v="Angelo State University"/>
    <m/>
    <n v="222831"/>
    <x v="2"/>
    <n v="51"/>
    <n v="75407.666666666672"/>
    <n v="3845791.0000000005"/>
    <n v="51"/>
    <n v="76096.941176470587"/>
    <n v="3880944"/>
    <n v="64"/>
    <n v="62621.09375"/>
    <n v="4007750"/>
    <n v="64"/>
    <n v="63120.3125"/>
    <n v="4039700"/>
    <n v="59"/>
    <n v="56253.677966101692"/>
    <n v="3318967"/>
    <n v="66"/>
    <n v="55453.878787878784"/>
    <n v="3659956"/>
    <n v="13"/>
    <n v="43316.923076923078"/>
    <n v="563120"/>
    <n v="14"/>
    <n v="43618.571428571428"/>
    <n v="610660"/>
    <n v="43"/>
    <n v="40838.488372093023"/>
    <n v="1756055"/>
    <n v="27"/>
    <n v="37085.592592592591"/>
    <n v="1001311"/>
    <m/>
    <m/>
    <n v="0"/>
    <n v="19"/>
    <n v="50752.526315789473"/>
    <n v="964298"/>
    <n v="3"/>
    <n v="115911"/>
    <n v="284515.14059999998"/>
    <n v="3"/>
    <n v="115911"/>
    <n v="284515.14059999998"/>
    <n v="3"/>
    <n v="83993"/>
    <n v="206169.21780000001"/>
    <n v="3"/>
    <n v="83993"/>
    <n v="206169.21780000001"/>
    <n v="5"/>
    <n v="73120.399999999994"/>
    <n v="299135.5564"/>
    <n v="7"/>
    <n v="75800.28571428571"/>
    <n v="434138.5564"/>
    <n v="1"/>
    <n v="43039"/>
    <n v="35214.5098"/>
    <n v="2"/>
    <n v="45046"/>
    <n v="73713.274400000009"/>
    <n v="5"/>
    <n v="72335.8"/>
    <n v="295925.75780000002"/>
    <m/>
    <m/>
    <n v="0"/>
    <m/>
    <m/>
    <n v="0"/>
    <n v="4"/>
    <n v="65961.25"/>
    <n v="215877.97900000002"/>
  </r>
  <r>
    <x v="13"/>
    <s v="Lamar University"/>
    <m/>
    <n v="226091"/>
    <x v="2"/>
    <n v="98"/>
    <n v="91613.887755102041"/>
    <n v="8978161"/>
    <n v="106"/>
    <n v="89905.801886792455"/>
    <n v="9530015"/>
    <n v="93"/>
    <n v="71229.06451612903"/>
    <n v="6624303"/>
    <n v="93"/>
    <n v="72144.559139784949"/>
    <n v="6709444"/>
    <n v="109"/>
    <n v="57614.871559633029"/>
    <n v="6280021"/>
    <n v="103"/>
    <n v="61164.699029126212"/>
    <n v="6299964"/>
    <n v="105"/>
    <n v="41327.095238095237"/>
    <n v="4339345"/>
    <n v="105"/>
    <n v="41380.81904761905"/>
    <n v="4344986"/>
    <n v="3"/>
    <n v="22701"/>
    <n v="68103"/>
    <m/>
    <m/>
    <n v="0"/>
    <m/>
    <m/>
    <n v="0"/>
    <m/>
    <m/>
    <n v="0"/>
    <m/>
    <m/>
    <n v="0"/>
    <m/>
    <m/>
    <n v="0"/>
    <n v="1"/>
    <n v="118758"/>
    <n v="97167.795599999998"/>
    <n v="1"/>
    <n v="118758"/>
    <n v="97167.795599999998"/>
    <m/>
    <m/>
    <n v="0"/>
    <m/>
    <m/>
    <n v="0"/>
    <m/>
    <m/>
    <n v="0"/>
    <m/>
    <m/>
    <n v="0"/>
    <m/>
    <m/>
    <n v="0"/>
    <m/>
    <m/>
    <n v="0"/>
    <m/>
    <m/>
    <n v="0"/>
    <m/>
    <m/>
    <n v="0"/>
  </r>
  <r>
    <x v="13"/>
    <s v="Midwestern State University"/>
    <m/>
    <n v="226833"/>
    <x v="2"/>
    <n v="49"/>
    <n v="78483.183673469393"/>
    <n v="3845676.0000000005"/>
    <n v="49"/>
    <n v="81936.204081632648"/>
    <n v="4014873.9999999995"/>
    <n v="60"/>
    <n v="63317.25"/>
    <n v="3799035"/>
    <n v="55"/>
    <n v="67109.290909090909"/>
    <n v="3691011"/>
    <n v="85"/>
    <n v="56689.623529411765"/>
    <n v="4818618"/>
    <n v="92"/>
    <n v="58236.043478260872"/>
    <n v="5357716"/>
    <n v="31"/>
    <n v="40210.354838709674"/>
    <n v="1246521"/>
    <n v="30"/>
    <n v="41413.466666666667"/>
    <n v="1242404"/>
    <m/>
    <m/>
    <n v="0"/>
    <m/>
    <m/>
    <n v="0"/>
    <m/>
    <m/>
    <n v="0"/>
    <m/>
    <m/>
    <n v="0"/>
    <m/>
    <m/>
    <n v="0"/>
    <m/>
    <m/>
    <n v="0"/>
    <m/>
    <m/>
    <n v="0"/>
    <m/>
    <m/>
    <n v="0"/>
    <m/>
    <m/>
    <n v="0"/>
    <m/>
    <m/>
    <n v="0"/>
    <m/>
    <m/>
    <n v="0"/>
    <m/>
    <m/>
    <n v="0"/>
    <m/>
    <m/>
    <n v="0"/>
    <m/>
    <m/>
    <n v="0"/>
    <m/>
    <m/>
    <n v="0"/>
    <m/>
    <m/>
    <n v="0"/>
  </r>
  <r>
    <x v="13"/>
    <s v="Prairie View A&amp;M University"/>
    <m/>
    <n v="227526"/>
    <x v="2"/>
    <n v="41"/>
    <n v="81279.414634146335"/>
    <n v="3332455.9999999995"/>
    <n v="42"/>
    <n v="80783.047619047618"/>
    <n v="3392888"/>
    <n v="62"/>
    <n v="67317.693548387091"/>
    <n v="4173696.9999999995"/>
    <n v="74"/>
    <n v="67316.621621621627"/>
    <n v="4981430"/>
    <n v="66"/>
    <n v="60276.227272727272"/>
    <n v="3978231"/>
    <n v="53"/>
    <n v="61215.886792452831"/>
    <n v="3244442"/>
    <n v="2"/>
    <n v="49618.5"/>
    <n v="99237"/>
    <n v="2"/>
    <n v="52118"/>
    <n v="104236"/>
    <n v="121"/>
    <n v="50988.520661157025"/>
    <n v="6169611"/>
    <n v="119"/>
    <n v="51446"/>
    <n v="6122074"/>
    <m/>
    <m/>
    <n v="0"/>
    <m/>
    <m/>
    <n v="0"/>
    <n v="12"/>
    <n v="113023.25"/>
    <n v="1109707.4778"/>
    <n v="23"/>
    <n v="123399.91304347826"/>
    <n v="2322213.6036"/>
    <n v="18"/>
    <n v="96387.722222222219"/>
    <n v="1419559.8178000001"/>
    <n v="14"/>
    <n v="97775.78571428571"/>
    <n v="1120002.0702"/>
    <n v="2"/>
    <n v="71710.5"/>
    <n v="117347.0622"/>
    <n v="4"/>
    <n v="87021.25"/>
    <n v="284803.147"/>
    <m/>
    <m/>
    <n v="0"/>
    <m/>
    <m/>
    <n v="0"/>
    <n v="17"/>
    <n v="60819.76470588235"/>
    <n v="845966.43520000007"/>
    <n v="16"/>
    <n v="61984.25"/>
    <n v="811448.21360000002"/>
    <m/>
    <m/>
    <n v="0"/>
    <m/>
    <m/>
    <n v="0"/>
  </r>
  <r>
    <x v="13"/>
    <s v="Sam Houston State University "/>
    <m/>
    <n v="227881"/>
    <x v="2"/>
    <n v="134"/>
    <n v="87667.343283582086"/>
    <n v="11747424"/>
    <n v="139"/>
    <n v="89913.12230215827"/>
    <n v="12497924"/>
    <n v="138"/>
    <n v="68612.434782608689"/>
    <n v="9468515.9999999981"/>
    <n v="137"/>
    <n v="70371.197080291968"/>
    <n v="9640854"/>
    <n v="189"/>
    <n v="58580.370370370372"/>
    <n v="11071690"/>
    <n v="195"/>
    <n v="60680.492307692308"/>
    <n v="11832696"/>
    <n v="2"/>
    <n v="52128"/>
    <n v="104256"/>
    <n v="2"/>
    <n v="54342"/>
    <n v="108684"/>
    <n v="44"/>
    <n v="47379.681818181816"/>
    <n v="2084706"/>
    <n v="49"/>
    <n v="46632.122448979593"/>
    <n v="2284974"/>
    <m/>
    <m/>
    <n v="0"/>
    <m/>
    <m/>
    <n v="0"/>
    <m/>
    <m/>
    <n v="0"/>
    <m/>
    <m/>
    <n v="0"/>
    <m/>
    <m/>
    <n v="0"/>
    <m/>
    <m/>
    <n v="0"/>
    <m/>
    <m/>
    <n v="0"/>
    <m/>
    <m/>
    <n v="0"/>
    <m/>
    <m/>
    <n v="0"/>
    <m/>
    <m/>
    <n v="0"/>
    <m/>
    <m/>
    <n v="0"/>
    <m/>
    <m/>
    <n v="0"/>
    <m/>
    <m/>
    <n v="0"/>
    <m/>
    <m/>
    <n v="0"/>
  </r>
  <r>
    <x v="13"/>
    <s v="Stephen F. Austin State University"/>
    <m/>
    <n v="228431"/>
    <x v="2"/>
    <n v="37"/>
    <n v="77897.054054054053"/>
    <n v="2882191"/>
    <n v="43"/>
    <n v="80072.232558139542"/>
    <n v="3443106.0000000005"/>
    <n v="53"/>
    <n v="72979.358490566039"/>
    <n v="3867906"/>
    <n v="75"/>
    <n v="71091.733333333337"/>
    <n v="5331880"/>
    <n v="57"/>
    <n v="66219.421052631573"/>
    <n v="3774506.9999999995"/>
    <n v="140"/>
    <n v="57860.85"/>
    <n v="8100519"/>
    <n v="20"/>
    <n v="61826.15"/>
    <n v="1236523"/>
    <n v="33"/>
    <n v="55776.242424242424"/>
    <n v="1840616"/>
    <n v="198"/>
    <n v="52568.479797979795"/>
    <n v="10408559"/>
    <n v="19"/>
    <n v="46289.368421052633"/>
    <n v="879498"/>
    <m/>
    <m/>
    <n v="0"/>
    <n v="53"/>
    <n v="50690.24528301887"/>
    <n v="2686583"/>
    <n v="11"/>
    <n v="103498.45454545454"/>
    <n v="931506.79060000007"/>
    <n v="16"/>
    <n v="106450.5625"/>
    <n v="1393565.6038000002"/>
    <n v="4"/>
    <n v="109657.5"/>
    <n v="358887.06599999999"/>
    <n v="7"/>
    <n v="96478"/>
    <n v="552568.09720000008"/>
    <n v="4"/>
    <n v="63541.25"/>
    <n v="207957.80300000001"/>
    <n v="25"/>
    <n v="57494.44"/>
    <n v="1176048.7702000001"/>
    <n v="4"/>
    <n v="53565.5"/>
    <n v="175309.1684"/>
    <n v="10"/>
    <n v="50971.7"/>
    <n v="417050.44940000004"/>
    <n v="63"/>
    <n v="57401.111111111109"/>
    <n v="2958832.1140000001"/>
    <n v="2"/>
    <n v="42758.5"/>
    <n v="69970.00940000001"/>
    <m/>
    <m/>
    <n v="0"/>
    <n v="24"/>
    <n v="56568.916666666664"/>
    <n v="1110832.5028000001"/>
  </r>
  <r>
    <x v="13"/>
    <s v="Sul Ross State University "/>
    <m/>
    <n v="228501"/>
    <x v="2"/>
    <n v="36"/>
    <n v="69814.444444444438"/>
    <n v="2513320"/>
    <n v="37"/>
    <n v="69299.108108108107"/>
    <n v="2564067"/>
    <n v="34"/>
    <n v="53038.588235294119"/>
    <n v="1803312"/>
    <n v="34"/>
    <n v="53246.205882352944"/>
    <n v="1810371"/>
    <n v="26"/>
    <n v="47602"/>
    <n v="1237652"/>
    <n v="24"/>
    <n v="47440.791666666664"/>
    <n v="1138579"/>
    <m/>
    <m/>
    <n v="0"/>
    <n v="1"/>
    <n v="45820"/>
    <n v="45820"/>
    <n v="22"/>
    <n v="43980.454545454544"/>
    <n v="967570"/>
    <n v="22"/>
    <n v="43167.772727272728"/>
    <n v="949691"/>
    <m/>
    <m/>
    <n v="0"/>
    <m/>
    <m/>
    <n v="0"/>
    <n v="5"/>
    <n v="101722"/>
    <n v="416144.70200000005"/>
    <n v="4"/>
    <n v="103896.75"/>
    <n v="340033.28340000001"/>
    <n v="1"/>
    <n v="81742"/>
    <n v="66881.304400000008"/>
    <n v="2"/>
    <n v="78761"/>
    <n v="128884.5004"/>
    <n v="1"/>
    <n v="61710"/>
    <n v="50491.122000000003"/>
    <n v="1"/>
    <n v="61710"/>
    <n v="50491.122000000003"/>
    <n v="1"/>
    <n v="42972"/>
    <n v="35159.690399999999"/>
    <n v="1"/>
    <n v="42972"/>
    <n v="35159.690399999999"/>
    <n v="2"/>
    <n v="57081"/>
    <n v="93407.348400000003"/>
    <n v="1"/>
    <n v="49445"/>
    <n v="40455.899000000005"/>
    <m/>
    <m/>
    <n v="0"/>
    <m/>
    <m/>
    <n v="0"/>
  </r>
  <r>
    <x v="13"/>
    <s v="Tarleton State University"/>
    <m/>
    <n v="228529"/>
    <x v="2"/>
    <n v="57"/>
    <n v="77706.596491228076"/>
    <n v="4429276"/>
    <n v="56"/>
    <n v="77051.375"/>
    <n v="4314877"/>
    <n v="53"/>
    <n v="64462.207547169812"/>
    <n v="3416497"/>
    <n v="57"/>
    <n v="65302.84210526316"/>
    <n v="3722262"/>
    <n v="112"/>
    <n v="52311.919642857145"/>
    <n v="5858935"/>
    <n v="114"/>
    <n v="52956.491228070176"/>
    <n v="6037040"/>
    <n v="46"/>
    <n v="40117.65217391304"/>
    <n v="1845411.9999999998"/>
    <n v="41"/>
    <n v="41173.512195121948"/>
    <n v="1688113.9999999998"/>
    <n v="12"/>
    <n v="34304.5"/>
    <n v="411654"/>
    <n v="8"/>
    <n v="37251.25"/>
    <n v="298010"/>
    <m/>
    <m/>
    <n v="0"/>
    <n v="6"/>
    <n v="27711.5"/>
    <n v="166269"/>
    <n v="6"/>
    <n v="105873"/>
    <n v="519751.7316"/>
    <n v="7"/>
    <n v="102580.28571428571"/>
    <n v="587518.3284"/>
    <n v="11"/>
    <n v="86312.636363636368"/>
    <n v="776830.98979999998"/>
    <n v="8"/>
    <n v="84533.125"/>
    <n v="553320.02300000004"/>
    <n v="25"/>
    <n v="73203.92"/>
    <n v="1497386.1836000001"/>
    <n v="23"/>
    <n v="73840.434782608689"/>
    <n v="1389573.6059999999"/>
    <n v="19"/>
    <n v="63662.15789473684"/>
    <n v="989679.17420000001"/>
    <n v="19"/>
    <n v="61892.57894736842"/>
    <n v="962169.65380000009"/>
    <n v="4"/>
    <n v="42283.25"/>
    <n v="138384.62059999999"/>
    <n v="5"/>
    <n v="48905.8"/>
    <n v="200073.62780000002"/>
    <m/>
    <m/>
    <n v="0"/>
    <m/>
    <m/>
    <n v="0"/>
  </r>
  <r>
    <x v="13"/>
    <s v="Texas A&amp;M International University"/>
    <m/>
    <n v="226152"/>
    <x v="2"/>
    <n v="15"/>
    <n v="88530.933333333334"/>
    <n v="1327964"/>
    <n v="17"/>
    <n v="83214.529411764699"/>
    <n v="1414647"/>
    <n v="38"/>
    <n v="67937.789473684214"/>
    <n v="2581636"/>
    <n v="40"/>
    <n v="67048.425000000003"/>
    <n v="2681937"/>
    <n v="90"/>
    <n v="60822.6"/>
    <n v="5474034"/>
    <n v="89"/>
    <n v="61517.067415730337"/>
    <n v="5475019"/>
    <n v="20"/>
    <n v="41704.25"/>
    <n v="834085"/>
    <n v="27"/>
    <n v="42588.666666666664"/>
    <n v="1149894"/>
    <m/>
    <m/>
    <n v="0"/>
    <n v="1"/>
    <n v="105724"/>
    <n v="105724"/>
    <m/>
    <m/>
    <n v="0"/>
    <m/>
    <m/>
    <n v="0"/>
    <n v="10"/>
    <n v="116378.5"/>
    <n v="952208.88699999999"/>
    <n v="11"/>
    <n v="123988.81818181818"/>
    <n v="1115924.1614000001"/>
    <n v="9"/>
    <n v="96271.444444444438"/>
    <n v="708923.66260000004"/>
    <n v="6"/>
    <n v="99514.166666666672"/>
    <n v="488534.94700000004"/>
    <n v="5"/>
    <n v="87344.8"/>
    <n v="357327.57680000004"/>
    <n v="5"/>
    <n v="87345.600000000006"/>
    <n v="357330.84960000002"/>
    <n v="1"/>
    <n v="51135"/>
    <n v="41838.656999999999"/>
    <n v="1"/>
    <n v="51135"/>
    <n v="41838.656999999999"/>
    <m/>
    <m/>
    <n v="0"/>
    <m/>
    <m/>
    <n v="0"/>
    <m/>
    <m/>
    <n v="0"/>
    <m/>
    <m/>
    <n v="0"/>
  </r>
  <r>
    <x v="13"/>
    <s v="Texas A&amp;M University-Commerce"/>
    <m/>
    <n v="224554"/>
    <x v="2"/>
    <n v="38"/>
    <n v="80058.105263157893"/>
    <n v="3042208"/>
    <n v="37"/>
    <n v="81140.729729729734"/>
    <n v="3002207"/>
    <n v="49"/>
    <n v="55576.714285714283"/>
    <n v="2723259"/>
    <n v="42"/>
    <n v="64968.190476190473"/>
    <n v="2728664"/>
    <n v="127"/>
    <n v="59031.834645669289"/>
    <n v="7497043"/>
    <n v="118"/>
    <n v="55688.211864406781"/>
    <n v="6571209"/>
    <n v="44"/>
    <n v="47535.318181818184"/>
    <n v="2091554"/>
    <n v="55"/>
    <n v="50351.30909090909"/>
    <n v="2769322"/>
    <m/>
    <m/>
    <n v="0"/>
    <m/>
    <m/>
    <n v="0"/>
    <m/>
    <m/>
    <n v="0"/>
    <m/>
    <m/>
    <n v="0"/>
    <m/>
    <m/>
    <n v="0"/>
    <n v="2"/>
    <n v="109669.5"/>
    <n v="179463.1698"/>
    <m/>
    <m/>
    <n v="0"/>
    <m/>
    <m/>
    <n v="0"/>
    <n v="1"/>
    <n v="69010"/>
    <n v="56463.982000000004"/>
    <n v="3"/>
    <n v="52735.666666666664"/>
    <n v="129444.96740000001"/>
    <n v="14"/>
    <n v="51866.142857142855"/>
    <n v="594116.29320000007"/>
    <n v="11"/>
    <n v="46716.63636363636"/>
    <n v="420459.07059999998"/>
    <m/>
    <m/>
    <n v="0"/>
    <m/>
    <m/>
    <n v="0"/>
    <m/>
    <m/>
    <n v="0"/>
    <m/>
    <m/>
    <n v="0"/>
  </r>
  <r>
    <x v="13"/>
    <s v="Texas A&amp;M University-Corpus Christi "/>
    <m/>
    <n v="224147"/>
    <x v="2"/>
    <n v="93"/>
    <n v="84564.06451612903"/>
    <n v="7864458"/>
    <n v="87"/>
    <n v="87981.103448275855"/>
    <n v="7654355.9999999991"/>
    <n v="79"/>
    <n v="67482.911392405062"/>
    <n v="5331150"/>
    <n v="82"/>
    <n v="70367.463414634141"/>
    <n v="5770132"/>
    <n v="77"/>
    <n v="60734.779220779223"/>
    <n v="4676578"/>
    <n v="74"/>
    <n v="62599.054054054053"/>
    <n v="4632330"/>
    <m/>
    <m/>
    <n v="0"/>
    <m/>
    <m/>
    <n v="0"/>
    <m/>
    <m/>
    <n v="0"/>
    <m/>
    <m/>
    <n v="0"/>
    <m/>
    <m/>
    <n v="0"/>
    <m/>
    <m/>
    <n v="0"/>
    <m/>
    <m/>
    <n v="0"/>
    <m/>
    <m/>
    <n v="0"/>
    <m/>
    <m/>
    <n v="0"/>
    <m/>
    <m/>
    <n v="0"/>
    <m/>
    <m/>
    <n v="0"/>
    <m/>
    <m/>
    <n v="0"/>
    <m/>
    <m/>
    <n v="0"/>
    <m/>
    <m/>
    <n v="0"/>
    <m/>
    <m/>
    <n v="0"/>
    <m/>
    <m/>
    <n v="0"/>
    <m/>
    <m/>
    <n v="0"/>
    <m/>
    <m/>
    <n v="0"/>
  </r>
  <r>
    <x v="13"/>
    <s v="Texas A&amp;M University-Kingsville"/>
    <m/>
    <n v="228705"/>
    <x v="2"/>
    <n v="66"/>
    <n v="79795.060606060608"/>
    <n v="5266474"/>
    <n v="66"/>
    <n v="80008.545454545456"/>
    <n v="5280564"/>
    <n v="63"/>
    <n v="64638.920634920636"/>
    <n v="4072252"/>
    <n v="67"/>
    <n v="66702.432835820902"/>
    <n v="4469063"/>
    <n v="115"/>
    <n v="64879.034782608695"/>
    <n v="7461089"/>
    <n v="126"/>
    <n v="60056.468253968254"/>
    <n v="7567115"/>
    <n v="5"/>
    <n v="63566"/>
    <n v="317830"/>
    <n v="2"/>
    <n v="51931"/>
    <n v="103862"/>
    <n v="56"/>
    <n v="33688.482142857145"/>
    <n v="1886555"/>
    <n v="56"/>
    <n v="38869.910714285717"/>
    <n v="2176715"/>
    <m/>
    <m/>
    <n v="0"/>
    <n v="6"/>
    <n v="60905.333333333336"/>
    <n v="365432"/>
    <n v="22"/>
    <n v="103640.72727272728"/>
    <n v="1865574.5472000001"/>
    <n v="20"/>
    <n v="98734.9"/>
    <n v="1615697.9036000001"/>
    <n v="7"/>
    <n v="96102.857142857145"/>
    <n v="550419.50400000007"/>
    <n v="11"/>
    <n v="80977.636363636368"/>
    <n v="728814.92280000006"/>
    <n v="6"/>
    <n v="67123.333333333328"/>
    <n v="329521.86800000002"/>
    <n v="5"/>
    <n v="64394"/>
    <n v="263435.85399999999"/>
    <m/>
    <m/>
    <n v="0"/>
    <n v="1"/>
    <n v="36000"/>
    <n v="29455.200000000001"/>
    <m/>
    <m/>
    <n v="0"/>
    <m/>
    <m/>
    <n v="0"/>
    <m/>
    <m/>
    <n v="0"/>
    <m/>
    <m/>
    <n v="0"/>
  </r>
  <r>
    <x v="13"/>
    <s v="Texas Southern University "/>
    <m/>
    <n v="229063"/>
    <x v="2"/>
    <n v="43"/>
    <n v="100882.09302325582"/>
    <n v="4337930"/>
    <n v="71"/>
    <n v="101030.1690140845"/>
    <n v="7173142"/>
    <n v="60"/>
    <n v="80257.149999999994"/>
    <n v="4815429"/>
    <n v="80"/>
    <n v="82120.399999999994"/>
    <n v="6569632"/>
    <n v="71"/>
    <n v="69925.535211267605"/>
    <n v="4964713"/>
    <n v="82"/>
    <n v="68556.670731707316"/>
    <n v="5621647"/>
    <n v="13"/>
    <n v="57472"/>
    <n v="747136"/>
    <n v="13"/>
    <n v="50111.538461538461"/>
    <n v="651450"/>
    <n v="142"/>
    <n v="54968.732394366198"/>
    <n v="7805560"/>
    <n v="80"/>
    <n v="46507.112500000003"/>
    <n v="3720569"/>
    <m/>
    <m/>
    <n v="0"/>
    <n v="12"/>
    <n v="41174.416666666664"/>
    <n v="494093"/>
    <n v="19"/>
    <n v="115961.21052631579"/>
    <n v="1802709.7866"/>
    <n v="12"/>
    <n v="116474.16666666667"/>
    <n v="1143589.9580000001"/>
    <n v="16"/>
    <n v="99197.25"/>
    <n v="1298611.0392"/>
    <n v="5"/>
    <n v="104226.2"/>
    <n v="426389.38420000003"/>
    <n v="14"/>
    <n v="89768.071428571435"/>
    <n v="1028275.3046"/>
    <n v="4"/>
    <n v="80526.75"/>
    <n v="263547.9474"/>
    <n v="2"/>
    <n v="127992"/>
    <n v="209446.10880000002"/>
    <n v="1"/>
    <n v="140000"/>
    <n v="114548"/>
    <n v="10"/>
    <n v="67164.899999999994"/>
    <n v="549543.21180000005"/>
    <n v="4"/>
    <n v="61589.25"/>
    <n v="201569.29740000001"/>
    <m/>
    <m/>
    <n v="0"/>
    <n v="1"/>
    <n v="45900"/>
    <n v="37555.380000000005"/>
  </r>
  <r>
    <x v="13"/>
    <s v="Texas State University-San Marcos"/>
    <m/>
    <n v="228459"/>
    <x v="2"/>
    <n v="230"/>
    <n v="87264.813043478265"/>
    <n v="20070907"/>
    <n v="236"/>
    <n v="87816.639830508473"/>
    <n v="20724727"/>
    <n v="174"/>
    <n v="71523.816091954024"/>
    <n v="12445144"/>
    <n v="189"/>
    <n v="70482.936507936509"/>
    <n v="13321275"/>
    <n v="257"/>
    <n v="60656.350194552528"/>
    <n v="15588682"/>
    <n v="275"/>
    <n v="60889.69090909091"/>
    <n v="16744665"/>
    <n v="5"/>
    <n v="43743.8"/>
    <n v="218719"/>
    <n v="5"/>
    <n v="43743.8"/>
    <n v="218719"/>
    <n v="279"/>
    <n v="42953.727598566307"/>
    <n v="11984090"/>
    <n v="302"/>
    <n v="42083.920529801326"/>
    <n v="12709344"/>
    <m/>
    <m/>
    <n v="0"/>
    <n v="1"/>
    <n v="16500"/>
    <n v="16500"/>
    <n v="34"/>
    <n v="134158.58823529413"/>
    <n v="3732130.9344000001"/>
    <n v="34"/>
    <n v="134507.14705882352"/>
    <n v="3741827.4226000002"/>
    <n v="4"/>
    <n v="121402.75"/>
    <n v="397326.92019999999"/>
    <n v="10"/>
    <n v="113961"/>
    <n v="932428.902"/>
    <m/>
    <m/>
    <n v="0"/>
    <n v="1"/>
    <n v="80826"/>
    <n v="66131.833200000008"/>
    <m/>
    <m/>
    <n v="0"/>
    <m/>
    <m/>
    <n v="0"/>
    <m/>
    <m/>
    <n v="0"/>
    <m/>
    <m/>
    <n v="0"/>
    <m/>
    <m/>
    <n v="0"/>
    <m/>
    <m/>
    <n v="0"/>
  </r>
  <r>
    <x v="13"/>
    <s v="University of Houston-Clear Lake "/>
    <m/>
    <n v="225414"/>
    <x v="2"/>
    <n v="43"/>
    <n v="92137.69767441861"/>
    <n v="3961921.0000000005"/>
    <n v="43"/>
    <n v="95740.30232558139"/>
    <n v="4116832.9999999995"/>
    <n v="81"/>
    <n v="70600.395061728399"/>
    <n v="5718632"/>
    <n v="80"/>
    <n v="72614.487500000003"/>
    <n v="5809159"/>
    <n v="70"/>
    <n v="62720.114285714284"/>
    <n v="4390408"/>
    <n v="66"/>
    <n v="63210.803030303032"/>
    <n v="4171913"/>
    <n v="2"/>
    <n v="40073.5"/>
    <n v="80147"/>
    <n v="1"/>
    <n v="36432"/>
    <n v="36432"/>
    <n v="28"/>
    <n v="49768.928571428572"/>
    <n v="1393530"/>
    <n v="26"/>
    <n v="52883.615384615383"/>
    <n v="1374974"/>
    <m/>
    <m/>
    <n v="0"/>
    <n v="10"/>
    <n v="54598.6"/>
    <n v="545986"/>
    <n v="1"/>
    <n v="87011"/>
    <n v="71192.400200000004"/>
    <n v="1"/>
    <n v="87011"/>
    <n v="71192.400200000004"/>
    <m/>
    <m/>
    <n v="0"/>
    <m/>
    <m/>
    <n v="0"/>
    <m/>
    <m/>
    <n v="0"/>
    <m/>
    <m/>
    <n v="0"/>
    <m/>
    <m/>
    <n v="0"/>
    <m/>
    <m/>
    <n v="0"/>
    <n v="3"/>
    <n v="82034.333333333328"/>
    <n v="201361.47460000002"/>
    <n v="3"/>
    <n v="84985.666666666672"/>
    <n v="208605.8174"/>
    <m/>
    <m/>
    <n v="0"/>
    <m/>
    <m/>
    <n v="0"/>
  </r>
  <r>
    <x v="13"/>
    <s v="University of Texas at Brownsville"/>
    <s v="Reclassified: Met the criteria for Four-Year 3 in 2008-09, 2009-10 and 2010-11."/>
    <n v="227377"/>
    <x v="2"/>
    <n v="43"/>
    <n v="79150.767441860458"/>
    <n v="3403482.9999999995"/>
    <n v="47"/>
    <n v="79551.404255319154"/>
    <n v="3738916"/>
    <n v="86"/>
    <n v="66720.034883720931"/>
    <n v="5737923"/>
    <n v="97"/>
    <n v="66933.958762886599"/>
    <n v="6492594"/>
    <n v="109"/>
    <n v="56542.633027522934"/>
    <n v="6163147"/>
    <n v="109"/>
    <n v="57233.963302752294"/>
    <n v="6238502"/>
    <n v="59"/>
    <n v="56500.186440677964"/>
    <n v="3333511"/>
    <n v="65"/>
    <n v="56230.092307692306"/>
    <n v="3654956"/>
    <n v="50"/>
    <n v="44733.42"/>
    <n v="2236671"/>
    <n v="37"/>
    <n v="45005.486486486487"/>
    <n v="1665203"/>
    <m/>
    <m/>
    <n v="0"/>
    <n v="8"/>
    <n v="55515"/>
    <n v="444120"/>
    <n v="2"/>
    <n v="109009.5"/>
    <n v="178383.1458"/>
    <m/>
    <m/>
    <n v="0"/>
    <n v="4"/>
    <n v="82025"/>
    <n v="268451.42"/>
    <n v="4"/>
    <n v="83135"/>
    <n v="272084.228"/>
    <n v="1"/>
    <n v="65650"/>
    <n v="53714.83"/>
    <m/>
    <m/>
    <n v="0"/>
    <n v="23"/>
    <n v="64232.304347826088"/>
    <n v="1208762.0426"/>
    <n v="22"/>
    <n v="65552.681818181823"/>
    <n v="1179974.4938000001"/>
    <n v="18"/>
    <n v="51249.888888888891"/>
    <n v="754787.86360000004"/>
    <n v="9"/>
    <n v="46189"/>
    <n v="340126.55820000003"/>
    <m/>
    <m/>
    <n v="0"/>
    <n v="10"/>
    <n v="49747.4"/>
    <n v="407033.2268"/>
  </r>
  <r>
    <x v="13"/>
    <s v="University of Texas at Tyler"/>
    <m/>
    <n v="228802"/>
    <x v="2"/>
    <n v="57"/>
    <n v="80620.68421052632"/>
    <n v="4595379"/>
    <n v="53"/>
    <n v="82754.094339622636"/>
    <n v="4385967"/>
    <n v="59"/>
    <n v="66211.728813559326"/>
    <n v="3906492.0000000005"/>
    <n v="62"/>
    <n v="65676.774193548394"/>
    <n v="4071960.0000000005"/>
    <n v="69"/>
    <n v="58402.956521739128"/>
    <n v="4029804"/>
    <n v="68"/>
    <n v="60201.529411764706"/>
    <n v="4093704"/>
    <n v="43"/>
    <n v="46959.069767441862"/>
    <n v="2019240"/>
    <n v="42"/>
    <n v="46852.928571428572"/>
    <n v="1967823"/>
    <n v="36"/>
    <n v="46632.833333333336"/>
    <n v="1678782"/>
    <n v="37"/>
    <n v="47036.513513513513"/>
    <n v="1740351"/>
    <m/>
    <m/>
    <n v="0"/>
    <n v="9"/>
    <n v="60510.666666666664"/>
    <n v="544596"/>
    <m/>
    <m/>
    <n v="0"/>
    <m/>
    <m/>
    <n v="0"/>
    <m/>
    <m/>
    <n v="0"/>
    <m/>
    <m/>
    <n v="0"/>
    <m/>
    <m/>
    <n v="0"/>
    <m/>
    <m/>
    <n v="0"/>
    <m/>
    <m/>
    <n v="0"/>
    <m/>
    <m/>
    <n v="0"/>
    <m/>
    <m/>
    <n v="0"/>
    <m/>
    <m/>
    <n v="0"/>
    <m/>
    <m/>
    <n v="0"/>
    <m/>
    <m/>
    <n v="0"/>
  </r>
  <r>
    <x v="13"/>
    <s v="University of Texas-Pan American"/>
    <m/>
    <n v="227368"/>
    <x v="2"/>
    <n v="114"/>
    <n v="88760.201754385969"/>
    <n v="10118663"/>
    <n v="119"/>
    <n v="88289.663865546216"/>
    <n v="10506470"/>
    <n v="146"/>
    <n v="70470.623287671231"/>
    <n v="10288711"/>
    <n v="156"/>
    <n v="69466.461538461532"/>
    <n v="10836767.999999998"/>
    <n v="212"/>
    <n v="60594.367924528298"/>
    <n v="12846006"/>
    <n v="200"/>
    <n v="61253.52"/>
    <n v="12250704"/>
    <m/>
    <m/>
    <n v="0"/>
    <m/>
    <m/>
    <n v="0"/>
    <n v="165"/>
    <n v="48936.557575757579"/>
    <n v="8074532.0000000009"/>
    <n v="143"/>
    <n v="45810.3006993007"/>
    <n v="6550873"/>
    <m/>
    <m/>
    <n v="0"/>
    <n v="20"/>
    <n v="66970.8"/>
    <n v="1339416"/>
    <n v="1"/>
    <n v="103159"/>
    <n v="84404.693800000008"/>
    <n v="1"/>
    <n v="103159"/>
    <n v="84404.693800000008"/>
    <n v="3"/>
    <n v="95491"/>
    <n v="234392.20860000001"/>
    <n v="2"/>
    <n v="86844"/>
    <n v="142111.52160000001"/>
    <n v="2"/>
    <n v="73106.5"/>
    <n v="119631.47660000001"/>
    <m/>
    <m/>
    <n v="0"/>
    <m/>
    <m/>
    <n v="0"/>
    <m/>
    <m/>
    <n v="0"/>
    <n v="12"/>
    <n v="86188.75"/>
    <n v="846235.62300000002"/>
    <n v="3"/>
    <n v="52666.666666666664"/>
    <n v="129275.6"/>
    <m/>
    <m/>
    <n v="0"/>
    <n v="13"/>
    <n v="80481.923076923078"/>
    <n v="856054.02300000004"/>
  </r>
  <r>
    <x v="13"/>
    <s v="West Texas A&amp;M University"/>
    <m/>
    <n v="229814"/>
    <x v="2"/>
    <n v="32"/>
    <n v="79125.03125"/>
    <n v="2532001"/>
    <n v="44"/>
    <n v="75781.045454545456"/>
    <n v="3334366"/>
    <n v="52"/>
    <n v="63079.461538461539"/>
    <n v="3280132"/>
    <n v="56"/>
    <n v="63801.75"/>
    <n v="3572898"/>
    <n v="80"/>
    <n v="59140.787499999999"/>
    <n v="4731263"/>
    <n v="88"/>
    <n v="58877.522727272728"/>
    <n v="5181222"/>
    <n v="67"/>
    <n v="45654.970149253728"/>
    <n v="3058883"/>
    <n v="74"/>
    <n v="46702.486486486487"/>
    <n v="3455984"/>
    <m/>
    <m/>
    <n v="0"/>
    <m/>
    <m/>
    <n v="0"/>
    <m/>
    <m/>
    <n v="0"/>
    <m/>
    <m/>
    <n v="0"/>
    <n v="4"/>
    <n v="114755.75"/>
    <n v="375572.61860000005"/>
    <m/>
    <m/>
    <n v="0"/>
    <n v="9"/>
    <n v="86585.111111111109"/>
    <n v="637595.4412"/>
    <m/>
    <m/>
    <n v="0"/>
    <n v="4"/>
    <n v="88719.25"/>
    <n v="290360.36139999999"/>
    <m/>
    <m/>
    <n v="0"/>
    <n v="3"/>
    <n v="62040"/>
    <n v="152283.38400000002"/>
    <m/>
    <m/>
    <n v="0"/>
    <m/>
    <m/>
    <n v="0"/>
    <m/>
    <m/>
    <n v="0"/>
    <m/>
    <m/>
    <n v="0"/>
    <m/>
    <m/>
    <n v="0"/>
  </r>
  <r>
    <x v="13"/>
    <s v="Texas A&amp;M -Texarkana"/>
    <m/>
    <n v="224545"/>
    <x v="3"/>
    <n v="19"/>
    <n v="75678.68421052632"/>
    <n v="1437895"/>
    <n v="22"/>
    <n v="78579.681818181823"/>
    <n v="1728753"/>
    <n v="19"/>
    <n v="61200.894736842107"/>
    <n v="1162817"/>
    <n v="20"/>
    <n v="62416.95"/>
    <n v="1248339"/>
    <n v="12"/>
    <n v="58791.083333333336"/>
    <n v="705493"/>
    <n v="11"/>
    <n v="61342.727272727272"/>
    <n v="674770"/>
    <n v="4"/>
    <n v="52074.75"/>
    <n v="208299"/>
    <n v="3"/>
    <n v="49681.333333333336"/>
    <n v="149044"/>
    <m/>
    <m/>
    <n v="0"/>
    <m/>
    <m/>
    <n v="0"/>
    <m/>
    <m/>
    <n v="0"/>
    <m/>
    <m/>
    <n v="0"/>
    <n v="6"/>
    <n v="132878.16666666666"/>
    <n v="652325.49580000003"/>
    <n v="4"/>
    <n v="129985"/>
    <n v="425414.908"/>
    <n v="1"/>
    <n v="105942"/>
    <n v="86681.744400000011"/>
    <m/>
    <m/>
    <n v="0"/>
    <n v="1"/>
    <n v="72988"/>
    <n v="59718.781600000002"/>
    <m/>
    <m/>
    <n v="0"/>
    <n v="2"/>
    <n v="64922.5"/>
    <n v="106239.179"/>
    <n v="2"/>
    <n v="59250"/>
    <n v="96956.700000000012"/>
    <m/>
    <m/>
    <n v="0"/>
    <m/>
    <m/>
    <n v="0"/>
    <m/>
    <m/>
    <n v="0"/>
    <m/>
    <m/>
    <n v="0"/>
  </r>
  <r>
    <x v="13"/>
    <s v="University of Houston-Victoria"/>
    <m/>
    <n v="225502"/>
    <x v="3"/>
    <n v="19"/>
    <n v="88952.631578947374"/>
    <n v="1690100"/>
    <n v="22"/>
    <n v="90521.227272727279"/>
    <n v="1991467.0000000002"/>
    <n v="31"/>
    <n v="76280.838709677424"/>
    <n v="2364706"/>
    <n v="33"/>
    <n v="78638.333333333328"/>
    <n v="2595065"/>
    <n v="37"/>
    <n v="67459.027027027027"/>
    <n v="2495984"/>
    <n v="38"/>
    <n v="68734.263157894733"/>
    <n v="2611902"/>
    <n v="4"/>
    <n v="40589.25"/>
    <n v="162357"/>
    <n v="6"/>
    <n v="42768.5"/>
    <n v="256611"/>
    <n v="10"/>
    <n v="60874.7"/>
    <n v="608747"/>
    <m/>
    <m/>
    <n v="0"/>
    <m/>
    <m/>
    <n v="0"/>
    <n v="13"/>
    <n v="59072.076923076922"/>
    <n v="767937"/>
    <n v="3"/>
    <n v="138231.33333333334"/>
    <n v="339302.63080000004"/>
    <n v="4"/>
    <n v="144598.5"/>
    <n v="473241.97080000001"/>
    <n v="1"/>
    <n v="130727"/>
    <n v="106960.83140000001"/>
    <m/>
    <m/>
    <n v="0"/>
    <m/>
    <m/>
    <n v="0"/>
    <m/>
    <m/>
    <n v="0"/>
    <m/>
    <m/>
    <n v="0"/>
    <m/>
    <m/>
    <n v="0"/>
    <m/>
    <m/>
    <n v="0"/>
    <m/>
    <m/>
    <n v="0"/>
    <m/>
    <m/>
    <n v="0"/>
    <m/>
    <m/>
    <n v="0"/>
  </r>
  <r>
    <x v="13"/>
    <s v="University of Texas of the Permian Basin"/>
    <s v="Met the criteria for Four-Year 3 in 2009-10 and 2010-11."/>
    <n v="229018"/>
    <x v="3"/>
    <n v="21"/>
    <n v="80416.904761904763"/>
    <n v="1688755"/>
    <n v="22"/>
    <n v="85449.272727272721"/>
    <n v="1879883.9999999998"/>
    <n v="34"/>
    <n v="68311.088235294112"/>
    <n v="2322577"/>
    <n v="39"/>
    <n v="64714.871794871797"/>
    <n v="2523880"/>
    <n v="35"/>
    <n v="60623.771428571432"/>
    <n v="2121832"/>
    <n v="37"/>
    <n v="59876.324324324327"/>
    <n v="2215424"/>
    <m/>
    <m/>
    <n v="0"/>
    <m/>
    <m/>
    <n v="0"/>
    <n v="29"/>
    <n v="41579.482758620688"/>
    <n v="1205805"/>
    <n v="39"/>
    <n v="42076.205128205125"/>
    <n v="1640972"/>
    <m/>
    <m/>
    <n v="0"/>
    <m/>
    <m/>
    <n v="0"/>
    <m/>
    <m/>
    <n v="0"/>
    <m/>
    <m/>
    <n v="0"/>
    <m/>
    <m/>
    <n v="0"/>
    <m/>
    <m/>
    <n v="0"/>
    <m/>
    <m/>
    <n v="0"/>
    <m/>
    <m/>
    <n v="0"/>
    <m/>
    <m/>
    <n v="0"/>
    <m/>
    <m/>
    <n v="0"/>
    <m/>
    <m/>
    <n v="0"/>
    <m/>
    <m/>
    <n v="0"/>
    <m/>
    <m/>
    <n v="0"/>
    <m/>
    <m/>
    <n v="0"/>
  </r>
  <r>
    <x v="13"/>
    <s v="Sul Ross State University-Rio Grande College"/>
    <m/>
    <s v="228501B"/>
    <x v="4"/>
    <m/>
    <m/>
    <n v="0"/>
    <m/>
    <m/>
    <n v="0"/>
    <m/>
    <m/>
    <n v="0"/>
    <m/>
    <m/>
    <n v="0"/>
    <m/>
    <m/>
    <n v="0"/>
    <m/>
    <m/>
    <n v="0"/>
    <m/>
    <m/>
    <n v="0"/>
    <m/>
    <m/>
    <n v="0"/>
    <m/>
    <m/>
    <n v="0"/>
    <m/>
    <m/>
    <n v="0"/>
    <m/>
    <m/>
    <n v="0"/>
    <m/>
    <m/>
    <n v="0"/>
    <m/>
    <m/>
    <n v="0"/>
    <m/>
    <m/>
    <n v="0"/>
    <m/>
    <m/>
    <n v="0"/>
    <m/>
    <m/>
    <n v="0"/>
    <m/>
    <m/>
    <n v="0"/>
    <m/>
    <m/>
    <n v="0"/>
    <m/>
    <m/>
    <n v="0"/>
    <m/>
    <m/>
    <n v="0"/>
    <m/>
    <m/>
    <n v="0"/>
    <m/>
    <m/>
    <n v="0"/>
    <m/>
    <m/>
    <n v="0"/>
    <m/>
    <m/>
    <n v="0"/>
  </r>
  <r>
    <x v="13"/>
    <s v="University of Houston-Downtown"/>
    <m/>
    <n v="225432"/>
    <x v="4"/>
    <n v="41"/>
    <n v="84993.195121951227"/>
    <n v="3484721.0000000005"/>
    <n v="44"/>
    <n v="88609.636363636368"/>
    <n v="3898824"/>
    <n v="80"/>
    <n v="67245.2"/>
    <n v="5379616"/>
    <n v="88"/>
    <n v="69842.886363636368"/>
    <n v="6146174"/>
    <n v="94"/>
    <n v="55980.776595744683"/>
    <n v="5262193"/>
    <n v="97"/>
    <n v="57375.247422680412"/>
    <n v="5565399"/>
    <n v="8"/>
    <n v="56084.875"/>
    <n v="448679"/>
    <n v="7"/>
    <n v="63118.142857142855"/>
    <n v="441827"/>
    <n v="53"/>
    <n v="45580.792452830188"/>
    <n v="2415782"/>
    <n v="33"/>
    <n v="46785.818181818184"/>
    <n v="1543932"/>
    <m/>
    <m/>
    <n v="0"/>
    <n v="7"/>
    <n v="51095.714285714283"/>
    <n v="357670"/>
    <n v="5"/>
    <n v="108519.2"/>
    <n v="443952.04720000003"/>
    <n v="5"/>
    <n v="113306.8"/>
    <n v="463538.1188"/>
    <n v="6"/>
    <n v="97556.666666666672"/>
    <n v="478925.18800000002"/>
    <n v="6"/>
    <n v="100680.5"/>
    <n v="494260.71060000005"/>
    <m/>
    <m/>
    <n v="0"/>
    <m/>
    <m/>
    <n v="0"/>
    <m/>
    <m/>
    <n v="0"/>
    <m/>
    <m/>
    <n v="0"/>
    <n v="3"/>
    <n v="79063"/>
    <n v="194068.0398"/>
    <n v="2"/>
    <n v="83984.5"/>
    <n v="137432.23579999999"/>
    <m/>
    <m/>
    <n v="0"/>
    <n v="2"/>
    <n v="100000"/>
    <n v="163640"/>
  </r>
  <r>
    <x v="13"/>
    <s v="Texas A&amp;M University at Galveston"/>
    <m/>
    <n v="228714"/>
    <x v="5"/>
    <n v="16"/>
    <n v="93543.25"/>
    <n v="1496692"/>
    <n v="18"/>
    <n v="91882.611111111109"/>
    <n v="1653887"/>
    <n v="17"/>
    <n v="72108.176470588238"/>
    <n v="1225839"/>
    <n v="14"/>
    <n v="66528.928571428565"/>
    <n v="931404.99999999988"/>
    <n v="16"/>
    <n v="64649.125"/>
    <n v="1034386"/>
    <n v="17"/>
    <n v="64242.76470588235"/>
    <n v="1092127"/>
    <m/>
    <m/>
    <n v="0"/>
    <m/>
    <m/>
    <n v="0"/>
    <n v="29"/>
    <n v="48966.896551724138"/>
    <n v="1420040"/>
    <n v="32"/>
    <n v="46695.9375"/>
    <n v="1494270"/>
    <m/>
    <m/>
    <n v="0"/>
    <m/>
    <m/>
    <n v="0"/>
    <n v="6"/>
    <n v="136915"/>
    <n v="672143.11800000002"/>
    <n v="6"/>
    <n v="142719.33333333334"/>
    <n v="700637.75120000006"/>
    <m/>
    <m/>
    <n v="0"/>
    <m/>
    <m/>
    <n v="0"/>
    <m/>
    <m/>
    <n v="0"/>
    <n v="1"/>
    <n v="113334"/>
    <n v="92729.878800000006"/>
    <m/>
    <m/>
    <n v="0"/>
    <m/>
    <m/>
    <n v="0"/>
    <n v="11"/>
    <n v="66122.909090909088"/>
    <n v="595119.40639999998"/>
    <n v="12"/>
    <n v="66546.75"/>
    <n v="653382.6102"/>
    <m/>
    <m/>
    <n v="0"/>
    <m/>
    <m/>
    <n v="0"/>
  </r>
  <r>
    <x v="13"/>
    <s v="Brazosport College "/>
    <m/>
    <n v="223506"/>
    <x v="11"/>
    <m/>
    <m/>
    <n v="0"/>
    <n v="2"/>
    <n v="73896"/>
    <n v="147792"/>
    <n v="17"/>
    <n v="50604"/>
    <n v="860268"/>
    <n v="17"/>
    <n v="51748.941176470587"/>
    <n v="879732"/>
    <n v="29"/>
    <n v="47145.379310344826"/>
    <n v="1367216"/>
    <n v="24"/>
    <n v="47941.291666666664"/>
    <n v="1150591"/>
    <n v="13"/>
    <n v="40915.846153846156"/>
    <n v="531906"/>
    <n v="11"/>
    <n v="41401.454545454544"/>
    <n v="455416"/>
    <m/>
    <m/>
    <n v="0"/>
    <m/>
    <m/>
    <n v="0"/>
    <m/>
    <m/>
    <n v="0"/>
    <m/>
    <m/>
    <n v="0"/>
    <n v="19"/>
    <n v="91835.31578947368"/>
    <n v="1427653.4522000002"/>
    <n v="14"/>
    <n v="94714.857142857145"/>
    <n v="1084939.7456"/>
    <n v="3"/>
    <n v="78113"/>
    <n v="191736.1698"/>
    <n v="4"/>
    <n v="77620.25"/>
    <n v="254035.55420000001"/>
    <n v="5"/>
    <n v="70544"/>
    <n v="288595.50400000002"/>
    <n v="3"/>
    <n v="64577"/>
    <n v="158510.70420000001"/>
    <n v="1"/>
    <n v="51432"/>
    <n v="42081.662400000001"/>
    <n v="2"/>
    <n v="54277.5"/>
    <n v="88819.701000000001"/>
    <m/>
    <m/>
    <n v="0"/>
    <m/>
    <m/>
    <n v="0"/>
    <n v="1"/>
    <n v="52260"/>
    <n v="42759.132000000005"/>
    <n v="1"/>
    <n v="55056"/>
    <n v="45046.819200000005"/>
  </r>
  <r>
    <x v="13"/>
    <s v="Midland College "/>
    <m/>
    <n v="226806"/>
    <x v="11"/>
    <n v="33"/>
    <n v="63755.969696969696"/>
    <n v="2103947"/>
    <n v="35"/>
    <n v="63983.857142857145"/>
    <n v="2239435"/>
    <n v="15"/>
    <n v="52357.533333333333"/>
    <n v="785363"/>
    <n v="17"/>
    <n v="53123.058823529413"/>
    <n v="903092"/>
    <n v="24"/>
    <n v="49950.333333333336"/>
    <n v="1198808"/>
    <n v="22"/>
    <n v="50691.772727272728"/>
    <n v="1115219"/>
    <n v="24"/>
    <n v="48562.375"/>
    <n v="1165497"/>
    <n v="21"/>
    <n v="47805.809523809527"/>
    <n v="1003922"/>
    <m/>
    <m/>
    <n v="0"/>
    <m/>
    <m/>
    <n v="0"/>
    <n v="1"/>
    <n v="52000"/>
    <n v="52000"/>
    <m/>
    <m/>
    <n v="0"/>
    <n v="7"/>
    <n v="69302.142857142855"/>
    <n v="396921.09299999999"/>
    <n v="9"/>
    <n v="70160.777777777781"/>
    <n v="516649.93540000002"/>
    <n v="8"/>
    <n v="59909.5"/>
    <n v="392143.62320000003"/>
    <n v="8"/>
    <n v="62240.875"/>
    <n v="407403.8714"/>
    <n v="5"/>
    <n v="53497.2"/>
    <n v="218857.04520000002"/>
    <n v="5"/>
    <n v="53049.2"/>
    <n v="217024.27720000001"/>
    <n v="14"/>
    <n v="58052.071428571428"/>
    <n v="664974.86780000001"/>
    <n v="11"/>
    <n v="57162.727272727272"/>
    <n v="514475.978"/>
    <m/>
    <m/>
    <n v="0"/>
    <m/>
    <m/>
    <n v="0"/>
    <n v="5"/>
    <n v="51746.6"/>
    <n v="211695.3406"/>
    <n v="7"/>
    <n v="51241.142857142855"/>
    <n v="293478.52160000004"/>
  </r>
  <r>
    <x v="13"/>
    <s v="South Texas College"/>
    <m/>
    <n v="409315"/>
    <x v="11"/>
    <n v="3"/>
    <n v="61372"/>
    <n v="184116"/>
    <n v="5"/>
    <n v="62151.4"/>
    <n v="310757"/>
    <n v="14"/>
    <n v="56786.214285714283"/>
    <n v="795007"/>
    <n v="20"/>
    <n v="57549.599999999999"/>
    <n v="1150992"/>
    <n v="24"/>
    <n v="49416.166666666664"/>
    <n v="1185988"/>
    <n v="23"/>
    <n v="51375.565217391304"/>
    <n v="1181638"/>
    <n v="406"/>
    <n v="50258.248768472906"/>
    <n v="20404849"/>
    <n v="462"/>
    <n v="50723.028138528141"/>
    <n v="23434039"/>
    <m/>
    <m/>
    <n v="0"/>
    <m/>
    <m/>
    <n v="0"/>
    <m/>
    <m/>
    <n v="0"/>
    <m/>
    <m/>
    <n v="0"/>
    <m/>
    <m/>
    <n v="0"/>
    <m/>
    <m/>
    <n v="0"/>
    <m/>
    <m/>
    <n v="0"/>
    <m/>
    <m/>
    <n v="0"/>
    <m/>
    <m/>
    <n v="0"/>
    <m/>
    <m/>
    <n v="0"/>
    <n v="54"/>
    <n v="64984.574074074073"/>
    <n v="2871200.4394"/>
    <n v="35"/>
    <n v="63627.742857142854"/>
    <n v="1822107.6722000001"/>
    <m/>
    <m/>
    <n v="0"/>
    <m/>
    <m/>
    <n v="0"/>
    <m/>
    <m/>
    <n v="0"/>
    <m/>
    <m/>
    <n v="0"/>
  </r>
  <r>
    <x v="13"/>
    <s v="Amarillo College "/>
    <m/>
    <n v="222576"/>
    <x v="6"/>
    <n v="34"/>
    <n v="61877.088235294119"/>
    <n v="2103821"/>
    <n v="33"/>
    <n v="63095.151515151512"/>
    <n v="2082140"/>
    <n v="21"/>
    <n v="54994.190476190473"/>
    <n v="1154878"/>
    <n v="19"/>
    <n v="55566.473684210527"/>
    <n v="1055763"/>
    <n v="22"/>
    <n v="51828.045454545456"/>
    <n v="1140217"/>
    <n v="25"/>
    <n v="52830.36"/>
    <n v="1320759"/>
    <n v="110"/>
    <n v="45319.154545454548"/>
    <n v="4985107"/>
    <n v="105"/>
    <n v="47051.81904761905"/>
    <n v="4940441"/>
    <m/>
    <m/>
    <n v="0"/>
    <m/>
    <m/>
    <n v="0"/>
    <m/>
    <m/>
    <n v="0"/>
    <m/>
    <m/>
    <n v="0"/>
    <n v="7"/>
    <n v="77800.142857142855"/>
    <n v="445592.53820000001"/>
    <n v="7"/>
    <n v="78932.142857142855"/>
    <n v="452075.95500000002"/>
    <n v="9"/>
    <n v="68251.777777777781"/>
    <n v="502592.4412"/>
    <n v="7"/>
    <n v="66709.571428571435"/>
    <n v="382072.39940000005"/>
    <n v="9"/>
    <n v="66530.777777777781"/>
    <n v="489919.34140000003"/>
    <n v="8"/>
    <n v="66541.875"/>
    <n v="435556.49700000003"/>
    <n v="23"/>
    <n v="59889.608695652176"/>
    <n v="1127038.5902"/>
    <n v="21"/>
    <n v="59609.666666666664"/>
    <n v="1024225.2146000001"/>
    <m/>
    <m/>
    <n v="0"/>
    <m/>
    <m/>
    <n v="0"/>
    <m/>
    <m/>
    <n v="0"/>
    <m/>
    <m/>
    <n v="0"/>
  </r>
  <r>
    <x v="13"/>
    <s v="Austin Community College "/>
    <m/>
    <n v="222992"/>
    <x v="6"/>
    <n v="35"/>
    <n v="68303.828571428574"/>
    <n v="2390634"/>
    <n v="74"/>
    <n v="68324.189189189186"/>
    <n v="5055990"/>
    <n v="18"/>
    <n v="53035.833333333336"/>
    <n v="954645"/>
    <n v="44"/>
    <n v="51844.045454545456"/>
    <n v="2281138"/>
    <n v="8"/>
    <n v="44778.375"/>
    <n v="358227"/>
    <n v="14"/>
    <n v="45460.285714285717"/>
    <n v="636444"/>
    <m/>
    <m/>
    <n v="0"/>
    <m/>
    <m/>
    <n v="0"/>
    <m/>
    <m/>
    <n v="0"/>
    <m/>
    <m/>
    <n v="0"/>
    <m/>
    <m/>
    <n v="0"/>
    <m/>
    <m/>
    <n v="0"/>
    <n v="293"/>
    <n v="83737.505119453926"/>
    <n v="20074609.819800001"/>
    <n v="620"/>
    <n v="82320.535483870961"/>
    <n v="41759890.522399999"/>
    <n v="144"/>
    <n v="63796.861111111109"/>
    <n v="7516597.2136000004"/>
    <n v="300"/>
    <n v="62795.026666666665"/>
    <n v="15413667.2456"/>
    <n v="57"/>
    <n v="54030.596491228069"/>
    <n v="2519846.5408000001"/>
    <n v="126"/>
    <n v="53026.952380952382"/>
    <n v="5466718.2072000001"/>
    <m/>
    <m/>
    <n v="0"/>
    <m/>
    <m/>
    <n v="0"/>
    <m/>
    <m/>
    <n v="0"/>
    <m/>
    <m/>
    <n v="0"/>
    <m/>
    <m/>
    <n v="0"/>
    <m/>
    <m/>
    <n v="0"/>
  </r>
  <r>
    <x v="13"/>
    <s v="Blinn College "/>
    <m/>
    <n v="223427"/>
    <x v="6"/>
    <m/>
    <m/>
    <n v="0"/>
    <m/>
    <m/>
    <n v="0"/>
    <m/>
    <m/>
    <n v="0"/>
    <m/>
    <m/>
    <n v="0"/>
    <m/>
    <m/>
    <n v="0"/>
    <m/>
    <m/>
    <n v="0"/>
    <m/>
    <m/>
    <n v="0"/>
    <m/>
    <m/>
    <n v="0"/>
    <m/>
    <m/>
    <n v="0"/>
    <m/>
    <m/>
    <n v="0"/>
    <n v="290"/>
    <n v="54821.11724137931"/>
    <n v="15898124"/>
    <n v="307"/>
    <n v="49236.296416938108"/>
    <n v="15115543"/>
    <m/>
    <m/>
    <n v="0"/>
    <m/>
    <m/>
    <n v="0"/>
    <m/>
    <m/>
    <n v="0"/>
    <m/>
    <m/>
    <n v="0"/>
    <m/>
    <m/>
    <n v="0"/>
    <m/>
    <m/>
    <n v="0"/>
    <m/>
    <m/>
    <n v="0"/>
    <m/>
    <m/>
    <n v="0"/>
    <m/>
    <m/>
    <n v="0"/>
    <m/>
    <m/>
    <n v="0"/>
    <n v="47"/>
    <n v="49521"/>
    <n v="1904349.8634000001"/>
    <n v="47"/>
    <n v="49524.957446808512"/>
    <n v="1904502.0486000001"/>
  </r>
  <r>
    <x v="13"/>
    <s v="Brookhaven College (DCCCD)"/>
    <m/>
    <n v="223524"/>
    <x v="6"/>
    <m/>
    <m/>
    <n v="0"/>
    <m/>
    <m/>
    <n v="0"/>
    <m/>
    <m/>
    <n v="0"/>
    <m/>
    <m/>
    <n v="0"/>
    <m/>
    <m/>
    <n v="0"/>
    <m/>
    <m/>
    <n v="0"/>
    <m/>
    <m/>
    <n v="0"/>
    <m/>
    <m/>
    <n v="0"/>
    <m/>
    <m/>
    <n v="0"/>
    <m/>
    <m/>
    <n v="0"/>
    <n v="123"/>
    <n v="58633.560975609755"/>
    <n v="7211928"/>
    <n v="131"/>
    <n v="57798.358778625952"/>
    <n v="7571585"/>
    <m/>
    <m/>
    <n v="0"/>
    <m/>
    <m/>
    <n v="0"/>
    <m/>
    <m/>
    <n v="0"/>
    <m/>
    <m/>
    <n v="0"/>
    <m/>
    <m/>
    <n v="0"/>
    <m/>
    <m/>
    <n v="0"/>
    <m/>
    <m/>
    <n v="0"/>
    <m/>
    <m/>
    <n v="0"/>
    <m/>
    <m/>
    <n v="0"/>
    <m/>
    <m/>
    <n v="0"/>
    <m/>
    <m/>
    <n v="0"/>
    <m/>
    <m/>
    <n v="0"/>
  </r>
  <r>
    <x v="13"/>
    <s v="Central Texas College "/>
    <m/>
    <n v="223816"/>
    <x v="6"/>
    <n v="81"/>
    <n v="59224.814814814818"/>
    <n v="4797210"/>
    <n v="82"/>
    <n v="58177.804878048781"/>
    <n v="4770580"/>
    <m/>
    <m/>
    <n v="0"/>
    <m/>
    <m/>
    <n v="0"/>
    <m/>
    <m/>
    <n v="0"/>
    <m/>
    <m/>
    <n v="0"/>
    <m/>
    <m/>
    <n v="0"/>
    <m/>
    <m/>
    <n v="0"/>
    <m/>
    <m/>
    <n v="0"/>
    <m/>
    <m/>
    <n v="0"/>
    <m/>
    <m/>
    <n v="0"/>
    <m/>
    <m/>
    <n v="0"/>
    <n v="84"/>
    <n v="71387.476190476184"/>
    <n v="4906375.5735999998"/>
    <n v="83"/>
    <n v="72154.614457831325"/>
    <n v="4900063.1606000001"/>
    <m/>
    <m/>
    <n v="0"/>
    <m/>
    <m/>
    <n v="0"/>
    <m/>
    <m/>
    <n v="0"/>
    <m/>
    <m/>
    <n v="0"/>
    <n v="87"/>
    <n v="40393.310344827587"/>
    <n v="2875333.1676000003"/>
    <n v="82"/>
    <n v="43493.341463414632"/>
    <n v="2918072.6628"/>
    <m/>
    <m/>
    <n v="0"/>
    <m/>
    <m/>
    <n v="0"/>
    <m/>
    <m/>
    <n v="0"/>
    <m/>
    <m/>
    <n v="0"/>
  </r>
  <r>
    <x v="13"/>
    <s v="Collin County Community College District"/>
    <m/>
    <n v="247834"/>
    <x v="6"/>
    <m/>
    <m/>
    <n v="0"/>
    <m/>
    <m/>
    <n v="0"/>
    <m/>
    <m/>
    <n v="0"/>
    <m/>
    <m/>
    <n v="0"/>
    <m/>
    <m/>
    <n v="0"/>
    <m/>
    <m/>
    <n v="0"/>
    <m/>
    <m/>
    <n v="0"/>
    <m/>
    <m/>
    <n v="0"/>
    <m/>
    <m/>
    <n v="0"/>
    <m/>
    <m/>
    <n v="0"/>
    <n v="322"/>
    <n v="54192.73291925466"/>
    <n v="17450060"/>
    <n v="345"/>
    <n v="55549.498550724638"/>
    <n v="19164577"/>
    <m/>
    <m/>
    <n v="0"/>
    <m/>
    <m/>
    <n v="0"/>
    <m/>
    <m/>
    <n v="0"/>
    <m/>
    <m/>
    <n v="0"/>
    <m/>
    <m/>
    <n v="0"/>
    <m/>
    <m/>
    <n v="0"/>
    <m/>
    <m/>
    <n v="0"/>
    <m/>
    <m/>
    <n v="0"/>
    <m/>
    <m/>
    <n v="0"/>
    <m/>
    <m/>
    <n v="0"/>
    <n v="3"/>
    <n v="52875"/>
    <n v="129786.97500000001"/>
    <n v="2"/>
    <n v="55219"/>
    <n v="90360.371599999999"/>
  </r>
  <r>
    <x v="13"/>
    <s v="Del Mar College "/>
    <m/>
    <n v="224350"/>
    <x v="6"/>
    <n v="82"/>
    <n v="71838.64634146342"/>
    <n v="5890769"/>
    <n v="80"/>
    <n v="67454.587499999994"/>
    <n v="5396367"/>
    <n v="42"/>
    <n v="56959.309523809527"/>
    <n v="2392291"/>
    <n v="59"/>
    <n v="56145.508474576272"/>
    <n v="3312585"/>
    <n v="73"/>
    <n v="51483.575342465752"/>
    <n v="3758301"/>
    <n v="62"/>
    <n v="50442.725806451614"/>
    <n v="3127449"/>
    <n v="93"/>
    <n v="44747.462365591397"/>
    <n v="4161514"/>
    <n v="82"/>
    <n v="44289.463414634149"/>
    <n v="3631736"/>
    <m/>
    <m/>
    <n v="0"/>
    <m/>
    <m/>
    <n v="0"/>
    <m/>
    <m/>
    <n v="0"/>
    <m/>
    <m/>
    <n v="0"/>
    <n v="4"/>
    <n v="90399"/>
    <n v="295857.84720000002"/>
    <n v="3"/>
    <n v="90950.666666666672"/>
    <n v="223247.50640000001"/>
    <m/>
    <m/>
    <n v="0"/>
    <m/>
    <m/>
    <n v="0"/>
    <m/>
    <m/>
    <n v="0"/>
    <m/>
    <m/>
    <n v="0"/>
    <m/>
    <m/>
    <n v="0"/>
    <m/>
    <m/>
    <n v="0"/>
    <m/>
    <m/>
    <n v="0"/>
    <m/>
    <m/>
    <n v="0"/>
    <m/>
    <m/>
    <n v="0"/>
    <m/>
    <m/>
    <n v="0"/>
  </r>
  <r>
    <x v="13"/>
    <s v="Eastfield College (DCCCD)"/>
    <m/>
    <n v="224572"/>
    <x v="6"/>
    <m/>
    <m/>
    <n v="0"/>
    <m/>
    <m/>
    <n v="0"/>
    <m/>
    <m/>
    <n v="0"/>
    <m/>
    <m/>
    <n v="0"/>
    <m/>
    <m/>
    <n v="0"/>
    <m/>
    <m/>
    <n v="0"/>
    <m/>
    <m/>
    <n v="0"/>
    <m/>
    <m/>
    <n v="0"/>
    <m/>
    <m/>
    <n v="0"/>
    <m/>
    <m/>
    <n v="0"/>
    <n v="119"/>
    <n v="58744.285714285717"/>
    <n v="6990570"/>
    <n v="121"/>
    <n v="57594.371900826445"/>
    <n v="6968919"/>
    <m/>
    <m/>
    <n v="0"/>
    <m/>
    <m/>
    <n v="0"/>
    <m/>
    <m/>
    <n v="0"/>
    <m/>
    <m/>
    <n v="0"/>
    <m/>
    <m/>
    <n v="0"/>
    <m/>
    <m/>
    <n v="0"/>
    <m/>
    <m/>
    <n v="0"/>
    <m/>
    <m/>
    <n v="0"/>
    <m/>
    <m/>
    <n v="0"/>
    <m/>
    <m/>
    <n v="0"/>
    <m/>
    <m/>
    <n v="0"/>
    <m/>
    <m/>
    <n v="0"/>
  </r>
  <r>
    <x v="13"/>
    <s v="El Centro College  (DCCCD)"/>
    <s v="Reclassified: Met criteria for Two-Year 1 in 2008-09, 2009-10 and 2010-11."/>
    <n v="224615"/>
    <x v="6"/>
    <m/>
    <m/>
    <n v="0"/>
    <m/>
    <m/>
    <n v="0"/>
    <m/>
    <m/>
    <n v="0"/>
    <m/>
    <m/>
    <n v="0"/>
    <m/>
    <m/>
    <n v="0"/>
    <m/>
    <m/>
    <n v="0"/>
    <m/>
    <m/>
    <n v="0"/>
    <m/>
    <m/>
    <n v="0"/>
    <m/>
    <m/>
    <n v="0"/>
    <m/>
    <m/>
    <n v="0"/>
    <n v="137"/>
    <n v="54471.802919708032"/>
    <n v="7462637"/>
    <n v="136"/>
    <n v="53986.566176470587"/>
    <n v="7342173"/>
    <m/>
    <m/>
    <n v="0"/>
    <m/>
    <m/>
    <n v="0"/>
    <m/>
    <m/>
    <n v="0"/>
    <m/>
    <m/>
    <n v="0"/>
    <m/>
    <m/>
    <n v="0"/>
    <m/>
    <m/>
    <n v="0"/>
    <m/>
    <m/>
    <n v="0"/>
    <m/>
    <m/>
    <n v="0"/>
    <m/>
    <m/>
    <n v="0"/>
    <m/>
    <m/>
    <n v="0"/>
    <m/>
    <m/>
    <n v="0"/>
    <m/>
    <m/>
    <n v="0"/>
  </r>
  <r>
    <x v="13"/>
    <s v="El Paso County Community College District"/>
    <m/>
    <n v="224642"/>
    <x v="6"/>
    <n v="159"/>
    <n v="62893.119496855346"/>
    <n v="10000006"/>
    <n v="162"/>
    <n v="64219.919753086418"/>
    <n v="10403627"/>
    <n v="97"/>
    <n v="44380.680412371134"/>
    <n v="4304926"/>
    <n v="119"/>
    <n v="47014.277310924372"/>
    <n v="5594699"/>
    <n v="90"/>
    <n v="39240.522222222222"/>
    <n v="3531647"/>
    <n v="61"/>
    <n v="43597.754098360652"/>
    <n v="2659463"/>
    <m/>
    <m/>
    <n v="0"/>
    <m/>
    <m/>
    <n v="0"/>
    <n v="58"/>
    <n v="41507.137931034486"/>
    <n v="2407414"/>
    <n v="54"/>
    <n v="36405.962962962964"/>
    <n v="1965922"/>
    <m/>
    <m/>
    <n v="0"/>
    <m/>
    <m/>
    <n v="0"/>
    <m/>
    <m/>
    <n v="0"/>
    <m/>
    <m/>
    <n v="0"/>
    <m/>
    <m/>
    <n v="0"/>
    <m/>
    <m/>
    <n v="0"/>
    <m/>
    <m/>
    <n v="0"/>
    <m/>
    <m/>
    <n v="0"/>
    <m/>
    <m/>
    <n v="0"/>
    <m/>
    <m/>
    <n v="0"/>
    <m/>
    <m/>
    <n v="0"/>
    <n v="23"/>
    <n v="49305.739130434784"/>
    <n v="927864.9824000001"/>
    <m/>
    <m/>
    <n v="0"/>
    <m/>
    <m/>
    <n v="0"/>
  </r>
  <r>
    <x v="13"/>
    <s v="Houston Community College"/>
    <m/>
    <n v="225423"/>
    <x v="6"/>
    <m/>
    <m/>
    <n v="0"/>
    <m/>
    <m/>
    <n v="0"/>
    <m/>
    <m/>
    <n v="0"/>
    <m/>
    <m/>
    <n v="0"/>
    <m/>
    <m/>
    <n v="0"/>
    <m/>
    <m/>
    <n v="0"/>
    <m/>
    <m/>
    <n v="0"/>
    <n v="553"/>
    <n v="54823.840867992767"/>
    <n v="30317584"/>
    <m/>
    <m/>
    <n v="0"/>
    <m/>
    <m/>
    <n v="0"/>
    <n v="528"/>
    <n v="53701.515151515152"/>
    <n v="28354400"/>
    <m/>
    <m/>
    <n v="0"/>
    <m/>
    <m/>
    <n v="0"/>
    <m/>
    <m/>
    <n v="0"/>
    <m/>
    <m/>
    <n v="0"/>
    <m/>
    <m/>
    <n v="0"/>
    <m/>
    <m/>
    <n v="0"/>
    <m/>
    <m/>
    <n v="0"/>
    <m/>
    <m/>
    <n v="0"/>
    <n v="357"/>
    <n v="74474.408963585433"/>
    <n v="21753781.224800002"/>
    <m/>
    <m/>
    <n v="0"/>
    <m/>
    <m/>
    <n v="0"/>
    <n v="320"/>
    <n v="77196.412500000006"/>
    <n v="20211873.5064"/>
    <m/>
    <m/>
    <n v="0"/>
  </r>
  <r>
    <x v="13"/>
    <s v="Laredo Community College "/>
    <m/>
    <n v="226134"/>
    <x v="6"/>
    <m/>
    <m/>
    <n v="0"/>
    <m/>
    <m/>
    <n v="0"/>
    <m/>
    <m/>
    <n v="0"/>
    <m/>
    <m/>
    <n v="0"/>
    <m/>
    <m/>
    <n v="0"/>
    <m/>
    <m/>
    <n v="0"/>
    <m/>
    <m/>
    <n v="0"/>
    <n v="184"/>
    <n v="55429.54891304348"/>
    <n v="10199037"/>
    <m/>
    <m/>
    <n v="0"/>
    <m/>
    <m/>
    <n v="0"/>
    <n v="185"/>
    <n v="54954.048648648648"/>
    <n v="10166499"/>
    <m/>
    <m/>
    <n v="0"/>
    <m/>
    <m/>
    <n v="0"/>
    <m/>
    <m/>
    <n v="0"/>
    <m/>
    <m/>
    <n v="0"/>
    <m/>
    <m/>
    <n v="0"/>
    <m/>
    <m/>
    <n v="0"/>
    <m/>
    <m/>
    <n v="0"/>
    <m/>
    <m/>
    <n v="0"/>
    <n v="13"/>
    <n v="67839.230769230766"/>
    <n v="721578.76199999999"/>
    <m/>
    <m/>
    <n v="0"/>
    <m/>
    <m/>
    <n v="0"/>
    <n v="13"/>
    <n v="67530.538461538468"/>
    <n v="718295.32540000009"/>
    <m/>
    <m/>
    <n v="0"/>
  </r>
  <r>
    <x v="13"/>
    <s v="Lone Star College System District"/>
    <m/>
    <n v="227182"/>
    <x v="6"/>
    <n v="442"/>
    <n v="68704.438914027152"/>
    <n v="30367362"/>
    <n v="461"/>
    <n v="68058.347071583514"/>
    <n v="31374898"/>
    <n v="120"/>
    <n v="54734.26666666667"/>
    <n v="6568112"/>
    <n v="116"/>
    <n v="53034.879310344826"/>
    <n v="6152046"/>
    <n v="24"/>
    <n v="51999.333333333336"/>
    <n v="1247984"/>
    <n v="21"/>
    <n v="49530.190476190473"/>
    <n v="1040134"/>
    <n v="3"/>
    <n v="30267"/>
    <n v="90801"/>
    <n v="1"/>
    <n v="34364"/>
    <n v="34364"/>
    <m/>
    <m/>
    <n v="0"/>
    <m/>
    <m/>
    <n v="0"/>
    <m/>
    <m/>
    <n v="0"/>
    <m/>
    <m/>
    <n v="0"/>
    <n v="35"/>
    <n v="74530.028571428571"/>
    <n v="2134316.4282"/>
    <n v="38"/>
    <n v="73181.210526315786"/>
    <n v="2275320.9251999999"/>
    <n v="19"/>
    <n v="59847.210526315786"/>
    <n v="930372.76540000003"/>
    <n v="19"/>
    <n v="58113.57894736842"/>
    <n v="903422.0756000001"/>
    <n v="9"/>
    <n v="55990.333333333336"/>
    <n v="412301.61660000001"/>
    <n v="6"/>
    <n v="55393.5"/>
    <n v="271937.77020000003"/>
    <m/>
    <m/>
    <n v="0"/>
    <n v="3"/>
    <n v="56103"/>
    <n v="137710.42380000002"/>
    <m/>
    <m/>
    <n v="0"/>
    <m/>
    <m/>
    <n v="0"/>
    <m/>
    <m/>
    <n v="0"/>
    <m/>
    <m/>
    <n v="0"/>
  </r>
  <r>
    <x v="13"/>
    <s v="McLennan Community College "/>
    <m/>
    <n v="226578"/>
    <x v="6"/>
    <m/>
    <m/>
    <n v="0"/>
    <m/>
    <m/>
    <n v="0"/>
    <m/>
    <m/>
    <n v="0"/>
    <m/>
    <m/>
    <n v="0"/>
    <m/>
    <m/>
    <n v="0"/>
    <m/>
    <m/>
    <n v="0"/>
    <m/>
    <m/>
    <n v="0"/>
    <m/>
    <m/>
    <n v="0"/>
    <m/>
    <m/>
    <n v="0"/>
    <m/>
    <m/>
    <n v="0"/>
    <n v="186"/>
    <n v="60100.827956989247"/>
    <n v="11178754"/>
    <n v="190"/>
    <n v="62395.826315789476"/>
    <n v="11855207"/>
    <m/>
    <m/>
    <n v="0"/>
    <m/>
    <m/>
    <n v="0"/>
    <m/>
    <m/>
    <n v="0"/>
    <m/>
    <m/>
    <n v="0"/>
    <m/>
    <m/>
    <n v="0"/>
    <m/>
    <m/>
    <n v="0"/>
    <m/>
    <m/>
    <n v="0"/>
    <m/>
    <m/>
    <n v="0"/>
    <m/>
    <m/>
    <n v="0"/>
    <m/>
    <m/>
    <n v="0"/>
    <n v="19"/>
    <n v="57307.73684210526"/>
    <n v="890894.61540000001"/>
    <n v="20"/>
    <n v="59164.05"/>
    <n v="968160.51420000009"/>
  </r>
  <r>
    <x v="13"/>
    <s v="Navarro College "/>
    <m/>
    <n v="227146"/>
    <x v="6"/>
    <n v="40"/>
    <n v="56724.4"/>
    <n v="2268976"/>
    <n v="38"/>
    <n v="58045.684210526313"/>
    <n v="2205736"/>
    <n v="44"/>
    <n v="51735.5"/>
    <n v="2276362"/>
    <n v="44"/>
    <n v="50585.545454545456"/>
    <n v="2225764"/>
    <n v="8"/>
    <n v="47890.75"/>
    <n v="383126"/>
    <n v="4"/>
    <n v="49147"/>
    <n v="196588"/>
    <m/>
    <m/>
    <n v="0"/>
    <m/>
    <m/>
    <n v="0"/>
    <m/>
    <m/>
    <n v="0"/>
    <m/>
    <m/>
    <n v="0"/>
    <m/>
    <m/>
    <n v="0"/>
    <m/>
    <m/>
    <n v="0"/>
    <n v="3"/>
    <n v="51519.666666666664"/>
    <n v="126460.1738"/>
    <n v="2"/>
    <n v="51143"/>
    <n v="83690.405200000008"/>
    <n v="15"/>
    <n v="60895.6"/>
    <n v="747371.69880000001"/>
    <n v="21"/>
    <n v="63836.476190476191"/>
    <n v="1096851.1012000002"/>
    <n v="13"/>
    <n v="57418.307692307695"/>
    <n v="610735.57160000002"/>
    <n v="13"/>
    <n v="58147.307692307695"/>
    <n v="618489.65300000005"/>
    <m/>
    <m/>
    <n v="0"/>
    <m/>
    <m/>
    <n v="0"/>
    <m/>
    <m/>
    <n v="0"/>
    <m/>
    <m/>
    <n v="0"/>
    <m/>
    <m/>
    <n v="0"/>
    <m/>
    <m/>
    <n v="0"/>
  </r>
  <r>
    <x v="13"/>
    <s v="North Central Texas Community College"/>
    <s v="Reclassified: Met criteria for Two-Year 1 in 2008-09, 2009-10 and 2010-11."/>
    <n v="224110"/>
    <x v="6"/>
    <m/>
    <m/>
    <n v="0"/>
    <m/>
    <m/>
    <n v="0"/>
    <m/>
    <m/>
    <n v="0"/>
    <m/>
    <m/>
    <n v="0"/>
    <m/>
    <m/>
    <n v="0"/>
    <m/>
    <m/>
    <n v="0"/>
    <m/>
    <m/>
    <n v="0"/>
    <m/>
    <m/>
    <n v="0"/>
    <m/>
    <m/>
    <n v="0"/>
    <m/>
    <m/>
    <n v="0"/>
    <n v="100"/>
    <n v="46970.93"/>
    <n v="4697093"/>
    <n v="89"/>
    <n v="47135.6404494382"/>
    <n v="4195072"/>
    <m/>
    <m/>
    <n v="0"/>
    <m/>
    <m/>
    <n v="0"/>
    <m/>
    <m/>
    <n v="0"/>
    <m/>
    <m/>
    <n v="0"/>
    <m/>
    <m/>
    <n v="0"/>
    <m/>
    <m/>
    <n v="0"/>
    <m/>
    <m/>
    <n v="0"/>
    <m/>
    <m/>
    <n v="0"/>
    <m/>
    <m/>
    <n v="0"/>
    <m/>
    <m/>
    <n v="0"/>
    <n v="27"/>
    <n v="54097.925925925927"/>
    <n v="1195098.9208"/>
    <n v="33"/>
    <n v="55769.272727272728"/>
    <n v="1505803.8252000001"/>
  </r>
  <r>
    <x v="13"/>
    <s v="North Lake College (DCCCD)"/>
    <m/>
    <n v="227191"/>
    <x v="6"/>
    <m/>
    <m/>
    <n v="0"/>
    <m/>
    <m/>
    <n v="0"/>
    <m/>
    <m/>
    <n v="0"/>
    <m/>
    <m/>
    <n v="0"/>
    <m/>
    <m/>
    <n v="0"/>
    <m/>
    <m/>
    <n v="0"/>
    <m/>
    <m/>
    <n v="0"/>
    <m/>
    <m/>
    <n v="0"/>
    <m/>
    <m/>
    <n v="0"/>
    <m/>
    <m/>
    <n v="0"/>
    <n v="109"/>
    <n v="57626"/>
    <n v="6281234"/>
    <n v="104"/>
    <n v="58365.451923076922"/>
    <n v="6070007"/>
    <m/>
    <m/>
    <n v="0"/>
    <m/>
    <m/>
    <n v="0"/>
    <m/>
    <m/>
    <n v="0"/>
    <m/>
    <m/>
    <n v="0"/>
    <m/>
    <m/>
    <n v="0"/>
    <m/>
    <m/>
    <n v="0"/>
    <m/>
    <m/>
    <n v="0"/>
    <m/>
    <m/>
    <n v="0"/>
    <m/>
    <m/>
    <n v="0"/>
    <m/>
    <m/>
    <n v="0"/>
    <m/>
    <m/>
    <n v="0"/>
    <m/>
    <m/>
    <n v="0"/>
  </r>
  <r>
    <x v="13"/>
    <s v="Northwest Vista College (ACCD)"/>
    <m/>
    <n v="420398"/>
    <x v="6"/>
    <n v="1"/>
    <n v="79776"/>
    <n v="79776"/>
    <n v="5"/>
    <n v="63532.800000000003"/>
    <n v="317664"/>
    <n v="13"/>
    <n v="54973.384615384617"/>
    <n v="714654"/>
    <n v="18"/>
    <n v="57034.777777777781"/>
    <n v="1026626"/>
    <n v="37"/>
    <n v="50119.2972972973"/>
    <n v="1854414"/>
    <n v="41"/>
    <n v="50536.097560975613"/>
    <n v="2071980.0000000002"/>
    <n v="74"/>
    <n v="44023.62162162162"/>
    <n v="3257748"/>
    <n v="69"/>
    <n v="42659.492753623192"/>
    <n v="2943505"/>
    <m/>
    <m/>
    <n v="0"/>
    <m/>
    <m/>
    <n v="0"/>
    <m/>
    <m/>
    <n v="0"/>
    <m/>
    <m/>
    <n v="0"/>
    <m/>
    <m/>
    <n v="0"/>
    <m/>
    <m/>
    <n v="0"/>
    <m/>
    <m/>
    <n v="0"/>
    <n v="3"/>
    <n v="67123"/>
    <n v="164760.1158"/>
    <n v="6"/>
    <n v="57593.5"/>
    <n v="282738.01020000002"/>
    <n v="3"/>
    <n v="56605.666666666664"/>
    <n v="138944.26940000002"/>
    <n v="4"/>
    <n v="53019.75"/>
    <n v="173523.03780000002"/>
    <n v="2"/>
    <n v="51075.5"/>
    <n v="83579.948199999999"/>
    <m/>
    <m/>
    <n v="0"/>
    <m/>
    <m/>
    <n v="0"/>
    <m/>
    <m/>
    <n v="0"/>
    <m/>
    <m/>
    <n v="0"/>
  </r>
  <r>
    <x v="13"/>
    <s v="Palo Alto College (ACCD)"/>
    <m/>
    <n v="246354"/>
    <x v="6"/>
    <n v="20"/>
    <n v="67901.399999999994"/>
    <n v="1358028"/>
    <n v="21"/>
    <n v="69461.952380952382"/>
    <n v="1458701"/>
    <n v="18"/>
    <n v="61300.666666666664"/>
    <n v="1103412"/>
    <n v="27"/>
    <n v="59905.222222222219"/>
    <n v="1617441"/>
    <n v="33"/>
    <n v="55630.36363636364"/>
    <n v="1835802"/>
    <n v="29"/>
    <n v="55607.34482758621"/>
    <n v="1612613"/>
    <n v="49"/>
    <n v="47180.387755102041"/>
    <n v="2311839"/>
    <n v="39"/>
    <n v="46469.307692307695"/>
    <n v="1812303"/>
    <m/>
    <m/>
    <n v="0"/>
    <m/>
    <m/>
    <n v="0"/>
    <m/>
    <m/>
    <n v="0"/>
    <m/>
    <m/>
    <n v="0"/>
    <n v="1"/>
    <n v="79401"/>
    <n v="64965.898200000003"/>
    <n v="1"/>
    <n v="80989"/>
    <n v="66265.199800000002"/>
    <n v="1"/>
    <n v="69510"/>
    <n v="56873.082000000002"/>
    <n v="4"/>
    <n v="64966.5"/>
    <n v="212622.36120000001"/>
    <n v="4"/>
    <n v="56253"/>
    <n v="184104.81840000002"/>
    <n v="1"/>
    <n v="57448"/>
    <n v="47003.953600000001"/>
    <n v="3"/>
    <n v="51643"/>
    <n v="126762.9078"/>
    <n v="2"/>
    <n v="49051"/>
    <n v="80267.056400000001"/>
    <m/>
    <m/>
    <n v="0"/>
    <m/>
    <m/>
    <n v="0"/>
    <m/>
    <m/>
    <n v="0"/>
    <m/>
    <m/>
    <n v="0"/>
  </r>
  <r>
    <x v="13"/>
    <s v="Richland College (DCCCD)"/>
    <m/>
    <n v="227766"/>
    <x v="6"/>
    <m/>
    <m/>
    <n v="0"/>
    <m/>
    <m/>
    <n v="0"/>
    <m/>
    <m/>
    <n v="0"/>
    <m/>
    <m/>
    <n v="0"/>
    <m/>
    <m/>
    <n v="0"/>
    <m/>
    <m/>
    <n v="0"/>
    <m/>
    <m/>
    <n v="0"/>
    <m/>
    <m/>
    <n v="0"/>
    <m/>
    <m/>
    <n v="0"/>
    <m/>
    <m/>
    <n v="0"/>
    <n v="148"/>
    <n v="64082.62837837838"/>
    <n v="9484229"/>
    <n v="156"/>
    <n v="62238.820512820515"/>
    <n v="9709256"/>
    <m/>
    <m/>
    <n v="0"/>
    <m/>
    <m/>
    <n v="0"/>
    <m/>
    <m/>
    <n v="0"/>
    <m/>
    <m/>
    <n v="0"/>
    <m/>
    <m/>
    <n v="0"/>
    <m/>
    <m/>
    <n v="0"/>
    <m/>
    <m/>
    <n v="0"/>
    <m/>
    <m/>
    <n v="0"/>
    <m/>
    <m/>
    <n v="0"/>
    <m/>
    <m/>
    <n v="0"/>
    <m/>
    <m/>
    <n v="0"/>
    <m/>
    <m/>
    <n v="0"/>
  </r>
  <r>
    <x v="13"/>
    <s v="San Antonio College (ACCD)"/>
    <m/>
    <n v="227924"/>
    <x v="6"/>
    <n v="238"/>
    <n v="70649.092436974795"/>
    <n v="16814484"/>
    <n v="234"/>
    <n v="71633.179487179485"/>
    <n v="16762164"/>
    <n v="172"/>
    <n v="59788.639534883718"/>
    <n v="10283646"/>
    <n v="140"/>
    <n v="59512.1"/>
    <n v="8331694"/>
    <n v="172"/>
    <n v="52431.860465116282"/>
    <n v="9018280"/>
    <n v="198"/>
    <n v="54233.949494949498"/>
    <n v="10738322"/>
    <n v="214"/>
    <n v="45484.878504672895"/>
    <n v="9733764"/>
    <n v="184"/>
    <n v="45937.684782608696"/>
    <n v="8452534"/>
    <m/>
    <m/>
    <n v="0"/>
    <m/>
    <m/>
    <n v="0"/>
    <m/>
    <m/>
    <n v="0"/>
    <m/>
    <m/>
    <n v="0"/>
    <n v="26"/>
    <n v="81501"/>
    <n v="1733787.0732"/>
    <n v="28"/>
    <n v="83706.21428571429"/>
    <n v="1917675.8868"/>
    <n v="12"/>
    <n v="66859"/>
    <n v="656448.40560000006"/>
    <n v="12"/>
    <n v="69601.5"/>
    <n v="683375.3676"/>
    <n v="16"/>
    <n v="65031.75"/>
    <n v="851343.64560000005"/>
    <n v="14"/>
    <n v="66053"/>
    <n v="756623.9044"/>
    <n v="14"/>
    <n v="59502"/>
    <n v="681583.50959999999"/>
    <n v="12"/>
    <n v="55236.333333333336"/>
    <n v="542332.41520000005"/>
    <m/>
    <m/>
    <n v="0"/>
    <m/>
    <m/>
    <n v="0"/>
    <m/>
    <m/>
    <n v="0"/>
    <m/>
    <m/>
    <n v="0"/>
  </r>
  <r>
    <x v="13"/>
    <s v="San Jacinto College"/>
    <m/>
    <n v="227979"/>
    <x v="6"/>
    <m/>
    <m/>
    <n v="0"/>
    <m/>
    <m/>
    <n v="0"/>
    <m/>
    <m/>
    <n v="0"/>
    <m/>
    <m/>
    <n v="0"/>
    <m/>
    <m/>
    <n v="0"/>
    <m/>
    <m/>
    <n v="0"/>
    <m/>
    <m/>
    <n v="0"/>
    <m/>
    <m/>
    <n v="0"/>
    <m/>
    <m/>
    <n v="0"/>
    <m/>
    <m/>
    <n v="0"/>
    <n v="348"/>
    <n v="56235.1091954023"/>
    <n v="19569818"/>
    <n v="405"/>
    <n v="57853.002469135805"/>
    <n v="23430466"/>
    <m/>
    <m/>
    <n v="0"/>
    <m/>
    <m/>
    <n v="0"/>
    <m/>
    <m/>
    <n v="0"/>
    <m/>
    <m/>
    <n v="0"/>
    <m/>
    <m/>
    <n v="0"/>
    <m/>
    <m/>
    <n v="0"/>
    <m/>
    <m/>
    <n v="0"/>
    <m/>
    <m/>
    <n v="0"/>
    <m/>
    <m/>
    <n v="0"/>
    <m/>
    <m/>
    <n v="0"/>
    <n v="98"/>
    <n v="73555.744897959186"/>
    <n v="5897964.4265999999"/>
    <n v="107"/>
    <n v="76774.654205607483"/>
    <n v="6721421.3616000013"/>
  </r>
  <r>
    <x v="13"/>
    <s v="South Plains College "/>
    <m/>
    <n v="228158"/>
    <x v="6"/>
    <n v="45"/>
    <n v="57277.066666666666"/>
    <n v="2577468"/>
    <n v="48"/>
    <n v="59394.875"/>
    <n v="2850954"/>
    <n v="40"/>
    <n v="49878.15"/>
    <n v="1995126"/>
    <n v="41"/>
    <n v="50850.756097560974"/>
    <n v="2084881"/>
    <n v="101"/>
    <n v="43485.782178217822"/>
    <n v="4392064"/>
    <n v="96"/>
    <n v="44806.1875"/>
    <n v="4301394"/>
    <n v="55"/>
    <n v="38245.872727272726"/>
    <n v="2103523"/>
    <n v="62"/>
    <n v="39915.467741935485"/>
    <n v="2474759"/>
    <m/>
    <m/>
    <n v="0"/>
    <m/>
    <m/>
    <n v="0"/>
    <m/>
    <m/>
    <n v="0"/>
    <m/>
    <m/>
    <n v="0"/>
    <m/>
    <m/>
    <n v="0"/>
    <m/>
    <m/>
    <n v="0"/>
    <m/>
    <m/>
    <n v="0"/>
    <n v="1"/>
    <n v="76863"/>
    <n v="62889.306600000004"/>
    <n v="4"/>
    <n v="63999.5"/>
    <n v="209457.56360000002"/>
    <n v="2"/>
    <n v="55492"/>
    <n v="90807.108800000002"/>
    <n v="27"/>
    <n v="46613.259259259263"/>
    <n v="1029752.1556000001"/>
    <n v="29"/>
    <n v="47991.448275862072"/>
    <n v="1138731.4864000001"/>
    <m/>
    <m/>
    <n v="0"/>
    <m/>
    <m/>
    <n v="0"/>
    <m/>
    <m/>
    <n v="0"/>
    <m/>
    <m/>
    <n v="0"/>
  </r>
  <r>
    <x v="13"/>
    <s v="St. Philip's College (ACCD)"/>
    <m/>
    <n v="227854"/>
    <x v="6"/>
    <n v="20"/>
    <n v="67097.7"/>
    <n v="1341954"/>
    <n v="22"/>
    <n v="67509.681818181823"/>
    <n v="1485213"/>
    <n v="15"/>
    <n v="63247.199999999997"/>
    <n v="948708"/>
    <n v="25"/>
    <n v="61096.160000000003"/>
    <n v="1527404"/>
    <n v="38"/>
    <n v="54722.84210526316"/>
    <n v="2079468"/>
    <n v="47"/>
    <n v="53568.51063829787"/>
    <n v="2517720"/>
    <n v="119"/>
    <n v="45484.848739495799"/>
    <n v="5412697"/>
    <n v="93"/>
    <n v="45310.741935483871"/>
    <n v="4213899"/>
    <m/>
    <m/>
    <n v="0"/>
    <m/>
    <m/>
    <n v="0"/>
    <m/>
    <m/>
    <n v="0"/>
    <m/>
    <m/>
    <n v="0"/>
    <n v="4"/>
    <n v="77751.75"/>
    <n v="254465.92740000002"/>
    <n v="3"/>
    <n v="84923"/>
    <n v="208451.9958"/>
    <n v="1"/>
    <n v="64323"/>
    <n v="52629.078600000001"/>
    <n v="3"/>
    <n v="64317"/>
    <n v="157872.50820000001"/>
    <n v="8"/>
    <n v="63081.75"/>
    <n v="412907.90280000004"/>
    <n v="7"/>
    <n v="65784.142857142855"/>
    <n v="376772.09980000003"/>
    <n v="8"/>
    <n v="56043.75"/>
    <n v="366839.97000000003"/>
    <n v="2"/>
    <n v="49672.5"/>
    <n v="81284.078999999998"/>
    <m/>
    <m/>
    <n v="0"/>
    <m/>
    <m/>
    <n v="0"/>
    <m/>
    <m/>
    <n v="0"/>
    <m/>
    <m/>
    <n v="0"/>
  </r>
  <r>
    <x v="13"/>
    <s v="Tarrant County College"/>
    <m/>
    <n v="228547"/>
    <x v="6"/>
    <n v="71"/>
    <n v="68004.056338028167"/>
    <n v="4828288"/>
    <n v="74"/>
    <n v="68418.851351351346"/>
    <n v="5062995"/>
    <n v="142"/>
    <n v="61576.063380281688"/>
    <n v="8743801"/>
    <n v="148"/>
    <n v="62588.385135135133"/>
    <n v="9263081"/>
    <n v="139"/>
    <n v="60928.87769784173"/>
    <n v="8469114"/>
    <n v="161"/>
    <n v="61481.881987577639"/>
    <n v="9898583"/>
    <n v="290"/>
    <n v="52497.403448275865"/>
    <n v="15224247"/>
    <n v="252"/>
    <n v="53842.920634920636"/>
    <n v="13568416"/>
    <m/>
    <m/>
    <n v="0"/>
    <m/>
    <m/>
    <n v="0"/>
    <m/>
    <m/>
    <n v="0"/>
    <m/>
    <m/>
    <n v="0"/>
    <m/>
    <m/>
    <n v="0"/>
    <m/>
    <m/>
    <n v="0"/>
    <n v="9"/>
    <n v="88226"/>
    <n v="649678.61880000005"/>
    <n v="9"/>
    <n v="90502.888888888891"/>
    <n v="666445.17320000008"/>
    <n v="7"/>
    <n v="69269.857142857145"/>
    <n v="396736.17980000004"/>
    <n v="8"/>
    <n v="51624.5"/>
    <n v="337913.3272"/>
    <n v="2"/>
    <n v="74840"/>
    <n v="122468.17600000001"/>
    <n v="2"/>
    <n v="67156"/>
    <n v="109894.0784"/>
    <m/>
    <m/>
    <n v="0"/>
    <m/>
    <m/>
    <n v="0"/>
    <m/>
    <m/>
    <n v="0"/>
    <m/>
    <m/>
    <n v="0"/>
  </r>
  <r>
    <x v="13"/>
    <s v="Texas Southmost College "/>
    <m/>
    <n v="229072"/>
    <x v="6"/>
    <m/>
    <m/>
    <n v="0"/>
    <m/>
    <m/>
    <n v="0"/>
    <m/>
    <m/>
    <n v="0"/>
    <m/>
    <m/>
    <n v="0"/>
    <m/>
    <m/>
    <n v="0"/>
    <m/>
    <m/>
    <n v="0"/>
    <m/>
    <m/>
    <n v="0"/>
    <m/>
    <m/>
    <n v="0"/>
    <m/>
    <m/>
    <n v="0"/>
    <m/>
    <m/>
    <n v="0"/>
    <m/>
    <m/>
    <n v="0"/>
    <m/>
    <m/>
    <n v="0"/>
    <m/>
    <m/>
    <n v="0"/>
    <m/>
    <m/>
    <n v="0"/>
    <m/>
    <m/>
    <n v="0"/>
    <m/>
    <m/>
    <n v="0"/>
    <m/>
    <m/>
    <n v="0"/>
    <m/>
    <m/>
    <n v="0"/>
    <m/>
    <m/>
    <n v="0"/>
    <m/>
    <m/>
    <n v="0"/>
    <m/>
    <m/>
    <n v="0"/>
    <m/>
    <m/>
    <n v="0"/>
    <m/>
    <m/>
    <n v="0"/>
    <m/>
    <m/>
    <n v="0"/>
  </r>
  <r>
    <x v="13"/>
    <s v="Tyler Junior College "/>
    <m/>
    <n v="229355"/>
    <x v="6"/>
    <m/>
    <m/>
    <n v="0"/>
    <m/>
    <m/>
    <n v="0"/>
    <m/>
    <m/>
    <n v="0"/>
    <m/>
    <m/>
    <n v="0"/>
    <m/>
    <m/>
    <n v="0"/>
    <m/>
    <m/>
    <n v="0"/>
    <m/>
    <m/>
    <n v="0"/>
    <n v="215"/>
    <n v="50170.502325581394"/>
    <n v="10786658"/>
    <m/>
    <m/>
    <n v="0"/>
    <m/>
    <m/>
    <n v="0"/>
    <n v="216"/>
    <n v="50882.379629629628"/>
    <n v="10990594"/>
    <m/>
    <m/>
    <n v="0"/>
    <m/>
    <m/>
    <n v="0"/>
    <m/>
    <m/>
    <n v="0"/>
    <m/>
    <m/>
    <n v="0"/>
    <m/>
    <m/>
    <n v="0"/>
    <m/>
    <m/>
    <n v="0"/>
    <m/>
    <m/>
    <n v="0"/>
    <m/>
    <m/>
    <n v="0"/>
    <n v="59"/>
    <n v="57226.423728813563"/>
    <n v="2762536.9338000002"/>
    <m/>
    <m/>
    <n v="0"/>
    <m/>
    <m/>
    <n v="0"/>
    <n v="57"/>
    <n v="56933.964912280702"/>
    <n v="2655252.0952000003"/>
    <m/>
    <m/>
    <n v="0"/>
  </r>
  <r>
    <x v="13"/>
    <s v="Alvin Community College "/>
    <m/>
    <n v="222567"/>
    <x v="7"/>
    <m/>
    <m/>
    <n v="0"/>
    <m/>
    <m/>
    <n v="0"/>
    <m/>
    <m/>
    <n v="0"/>
    <m/>
    <m/>
    <n v="0"/>
    <m/>
    <m/>
    <n v="0"/>
    <m/>
    <m/>
    <n v="0"/>
    <m/>
    <m/>
    <n v="0"/>
    <m/>
    <m/>
    <n v="0"/>
    <m/>
    <m/>
    <n v="0"/>
    <m/>
    <m/>
    <n v="0"/>
    <n v="54"/>
    <n v="54289.092592592591"/>
    <n v="2931611"/>
    <n v="54"/>
    <n v="53143.074074074073"/>
    <n v="2869726"/>
    <m/>
    <m/>
    <n v="0"/>
    <m/>
    <m/>
    <n v="0"/>
    <m/>
    <m/>
    <n v="0"/>
    <m/>
    <m/>
    <n v="0"/>
    <m/>
    <m/>
    <n v="0"/>
    <m/>
    <m/>
    <n v="0"/>
    <m/>
    <m/>
    <n v="0"/>
    <m/>
    <m/>
    <n v="0"/>
    <m/>
    <m/>
    <n v="0"/>
    <m/>
    <m/>
    <n v="0"/>
    <n v="54"/>
    <n v="69500.925925925927"/>
    <n v="3070745.5100000002"/>
    <n v="55"/>
    <n v="69922.654545454541"/>
    <n v="3146589.3772"/>
  </r>
  <r>
    <x v="13"/>
    <s v="Angelina College "/>
    <m/>
    <n v="222822"/>
    <x v="7"/>
    <m/>
    <m/>
    <n v="0"/>
    <m/>
    <m/>
    <n v="0"/>
    <m/>
    <m/>
    <n v="0"/>
    <m/>
    <m/>
    <n v="0"/>
    <m/>
    <m/>
    <n v="0"/>
    <m/>
    <m/>
    <n v="0"/>
    <m/>
    <m/>
    <n v="0"/>
    <n v="101"/>
    <n v="47274.910891089108"/>
    <n v="4774766"/>
    <m/>
    <m/>
    <n v="0"/>
    <m/>
    <m/>
    <n v="0"/>
    <n v="92"/>
    <n v="47847.913043478264"/>
    <n v="4402008"/>
    <m/>
    <m/>
    <n v="0"/>
    <m/>
    <m/>
    <n v="0"/>
    <m/>
    <m/>
    <n v="0"/>
    <m/>
    <m/>
    <n v="0"/>
    <m/>
    <m/>
    <n v="0"/>
    <m/>
    <m/>
    <n v="0"/>
    <m/>
    <m/>
    <n v="0"/>
    <m/>
    <m/>
    <n v="0"/>
    <n v="28"/>
    <n v="51495.857142857145"/>
    <n v="1179749.4888000002"/>
    <m/>
    <m/>
    <n v="0"/>
    <m/>
    <m/>
    <n v="0"/>
    <n v="26"/>
    <n v="51898.923076923078"/>
    <n v="1104056.1703999999"/>
    <m/>
    <m/>
    <n v="0"/>
  </r>
  <r>
    <x v="13"/>
    <s v="Cedar Valley College (DCCCD)"/>
    <m/>
    <n v="223773"/>
    <x v="7"/>
    <m/>
    <m/>
    <n v="0"/>
    <m/>
    <m/>
    <n v="0"/>
    <m/>
    <m/>
    <n v="0"/>
    <m/>
    <m/>
    <n v="0"/>
    <m/>
    <m/>
    <n v="0"/>
    <m/>
    <m/>
    <n v="0"/>
    <m/>
    <m/>
    <n v="0"/>
    <m/>
    <m/>
    <n v="0"/>
    <m/>
    <m/>
    <n v="0"/>
    <m/>
    <m/>
    <n v="0"/>
    <n v="64"/>
    <n v="56580.5625"/>
    <n v="3621156"/>
    <n v="64"/>
    <n v="56599.640625"/>
    <n v="3622377"/>
    <m/>
    <m/>
    <n v="0"/>
    <m/>
    <m/>
    <n v="0"/>
    <m/>
    <m/>
    <n v="0"/>
    <m/>
    <m/>
    <n v="0"/>
    <m/>
    <m/>
    <n v="0"/>
    <m/>
    <m/>
    <n v="0"/>
    <m/>
    <m/>
    <n v="0"/>
    <m/>
    <m/>
    <n v="0"/>
    <m/>
    <m/>
    <n v="0"/>
    <m/>
    <m/>
    <n v="0"/>
    <m/>
    <m/>
    <n v="0"/>
    <m/>
    <m/>
    <n v="0"/>
  </r>
  <r>
    <x v="13"/>
    <s v="Cisco Junior College "/>
    <m/>
    <n v="223898"/>
    <x v="7"/>
    <m/>
    <m/>
    <n v="0"/>
    <n v="57"/>
    <n v="39862.807017543862"/>
    <n v="2272180"/>
    <m/>
    <m/>
    <n v="0"/>
    <m/>
    <m/>
    <n v="0"/>
    <m/>
    <m/>
    <n v="0"/>
    <m/>
    <m/>
    <n v="0"/>
    <m/>
    <m/>
    <n v="0"/>
    <m/>
    <m/>
    <n v="0"/>
    <m/>
    <m/>
    <n v="0"/>
    <m/>
    <m/>
    <n v="0"/>
    <n v="58"/>
    <n v="41217.448275862072"/>
    <n v="2390612"/>
    <m/>
    <m/>
    <n v="0"/>
    <m/>
    <m/>
    <n v="0"/>
    <n v="29"/>
    <n v="48480.586206896551"/>
    <n v="1150337.6534"/>
    <m/>
    <m/>
    <n v="0"/>
    <m/>
    <m/>
    <n v="0"/>
    <m/>
    <m/>
    <n v="0"/>
    <m/>
    <m/>
    <n v="0"/>
    <m/>
    <m/>
    <n v="0"/>
    <m/>
    <m/>
    <n v="0"/>
    <m/>
    <m/>
    <n v="0"/>
    <m/>
    <m/>
    <n v="0"/>
    <n v="29"/>
    <n v="48522.103448275862"/>
    <n v="1151322.7662"/>
    <m/>
    <m/>
    <n v="0"/>
  </r>
  <r>
    <x v="13"/>
    <s v="Coastal Bend College"/>
    <m/>
    <n v="223320"/>
    <x v="7"/>
    <m/>
    <m/>
    <n v="0"/>
    <n v="65"/>
    <n v="44628.046153846153"/>
    <n v="2900823"/>
    <m/>
    <m/>
    <n v="0"/>
    <m/>
    <m/>
    <n v="0"/>
    <m/>
    <m/>
    <n v="0"/>
    <m/>
    <m/>
    <n v="0"/>
    <m/>
    <m/>
    <n v="0"/>
    <m/>
    <m/>
    <n v="0"/>
    <m/>
    <m/>
    <n v="0"/>
    <m/>
    <m/>
    <n v="0"/>
    <n v="62"/>
    <n v="44729.532258064515"/>
    <n v="2773231"/>
    <m/>
    <m/>
    <n v="0"/>
    <n v="39"/>
    <n v="49425.589743589742"/>
    <n v="1577160.6836000001"/>
    <n v="38"/>
    <n v="50119.868421052633"/>
    <n v="1558306.9010000001"/>
    <m/>
    <m/>
    <n v="0"/>
    <m/>
    <m/>
    <n v="0"/>
    <m/>
    <m/>
    <n v="0"/>
    <m/>
    <m/>
    <n v="0"/>
    <m/>
    <m/>
    <n v="0"/>
    <m/>
    <m/>
    <n v="0"/>
    <m/>
    <m/>
    <n v="0"/>
    <m/>
    <m/>
    <n v="0"/>
    <m/>
    <m/>
    <n v="0"/>
    <m/>
    <m/>
    <n v="0"/>
  </r>
  <r>
    <x v="13"/>
    <s v="College of the Mainland"/>
    <m/>
    <n v="226408"/>
    <x v="7"/>
    <n v="7"/>
    <n v="61936.285714285717"/>
    <n v="433554"/>
    <n v="7"/>
    <n v="58589.571428571428"/>
    <n v="410127"/>
    <n v="9"/>
    <n v="51171"/>
    <n v="460539"/>
    <n v="9"/>
    <n v="50283.555555555555"/>
    <n v="452552"/>
    <n v="12"/>
    <n v="49962.083333333336"/>
    <n v="599545"/>
    <n v="15"/>
    <n v="46703.6"/>
    <n v="700554"/>
    <m/>
    <m/>
    <n v="0"/>
    <m/>
    <m/>
    <n v="0"/>
    <m/>
    <m/>
    <n v="0"/>
    <m/>
    <m/>
    <n v="0"/>
    <m/>
    <m/>
    <n v="0"/>
    <m/>
    <m/>
    <n v="0"/>
    <n v="23"/>
    <n v="74528.304347826081"/>
    <n v="1402518.3481999999"/>
    <n v="25"/>
    <n v="70489.039999999994"/>
    <n v="1441853.3132"/>
    <n v="19"/>
    <n v="66032.263157894733"/>
    <n v="1026524.3566000001"/>
    <n v="19"/>
    <n v="62242.473684210527"/>
    <n v="967609.04740000004"/>
    <n v="35"/>
    <n v="60276.742857142854"/>
    <n v="1726145.0852000001"/>
    <n v="34"/>
    <n v="59665.294117647056"/>
    <n v="1659816.8840000001"/>
    <m/>
    <m/>
    <n v="0"/>
    <m/>
    <m/>
    <n v="0"/>
    <m/>
    <m/>
    <n v="0"/>
    <m/>
    <m/>
    <n v="0"/>
    <m/>
    <m/>
    <n v="0"/>
    <m/>
    <m/>
    <n v="0"/>
  </r>
  <r>
    <x v="13"/>
    <s v="Grayson County College "/>
    <m/>
    <n v="225070"/>
    <x v="7"/>
    <m/>
    <m/>
    <n v="0"/>
    <n v="87"/>
    <n v="53011.206896551725"/>
    <n v="4611975"/>
    <m/>
    <m/>
    <n v="0"/>
    <m/>
    <m/>
    <n v="0"/>
    <m/>
    <m/>
    <n v="0"/>
    <m/>
    <m/>
    <n v="0"/>
    <m/>
    <m/>
    <n v="0"/>
    <m/>
    <m/>
    <n v="0"/>
    <m/>
    <m/>
    <n v="0"/>
    <m/>
    <m/>
    <n v="0"/>
    <n v="80"/>
    <n v="53284.487500000003"/>
    <n v="4262759"/>
    <m/>
    <m/>
    <n v="0"/>
    <n v="11"/>
    <n v="58566.727272727272"/>
    <n v="527112.25880000007"/>
    <n v="13"/>
    <n v="58699.692307692305"/>
    <n v="624365.14720000001"/>
    <m/>
    <m/>
    <n v="0"/>
    <m/>
    <m/>
    <n v="0"/>
    <m/>
    <m/>
    <n v="0"/>
    <m/>
    <m/>
    <n v="0"/>
    <m/>
    <m/>
    <n v="0"/>
    <m/>
    <m/>
    <n v="0"/>
    <m/>
    <m/>
    <n v="0"/>
    <m/>
    <m/>
    <n v="0"/>
    <m/>
    <m/>
    <n v="0"/>
    <m/>
    <m/>
    <n v="0"/>
  </r>
  <r>
    <x v="13"/>
    <s v="Hill College"/>
    <m/>
    <n v="225371"/>
    <x v="7"/>
    <m/>
    <m/>
    <n v="0"/>
    <m/>
    <m/>
    <n v="0"/>
    <m/>
    <m/>
    <n v="0"/>
    <m/>
    <m/>
    <n v="0"/>
    <m/>
    <m/>
    <n v="0"/>
    <m/>
    <m/>
    <n v="0"/>
    <m/>
    <m/>
    <n v="0"/>
    <m/>
    <m/>
    <n v="0"/>
    <m/>
    <m/>
    <n v="0"/>
    <m/>
    <m/>
    <n v="0"/>
    <n v="66"/>
    <n v="41167.621212121216"/>
    <n v="2717063"/>
    <n v="73"/>
    <n v="42189.424657534248"/>
    <n v="3079828"/>
    <m/>
    <m/>
    <n v="0"/>
    <m/>
    <m/>
    <n v="0"/>
    <m/>
    <m/>
    <n v="0"/>
    <m/>
    <m/>
    <n v="0"/>
    <m/>
    <m/>
    <n v="0"/>
    <m/>
    <m/>
    <n v="0"/>
    <m/>
    <m/>
    <n v="0"/>
    <m/>
    <m/>
    <n v="0"/>
    <m/>
    <m/>
    <n v="0"/>
    <m/>
    <m/>
    <n v="0"/>
    <n v="16"/>
    <n v="51694.5625"/>
    <n v="676743.85660000006"/>
    <n v="18"/>
    <n v="52469"/>
    <n v="772742.44440000004"/>
  </r>
  <r>
    <x v="13"/>
    <s v="Howard College (HCJCD)"/>
    <m/>
    <n v="225520"/>
    <x v="7"/>
    <n v="6"/>
    <n v="54052.333333333336"/>
    <n v="324314"/>
    <n v="5"/>
    <n v="54275"/>
    <n v="271375"/>
    <n v="18"/>
    <n v="45613.5"/>
    <n v="821043"/>
    <n v="19"/>
    <n v="41276.210526315786"/>
    <n v="784248"/>
    <n v="25"/>
    <n v="38293.120000000003"/>
    <n v="957328.00000000012"/>
    <n v="28"/>
    <n v="42710.964285714283"/>
    <n v="1195907"/>
    <n v="33"/>
    <n v="39935.666666666664"/>
    <n v="1317877"/>
    <n v="31"/>
    <n v="39946.580645161288"/>
    <n v="1238344"/>
    <m/>
    <m/>
    <n v="0"/>
    <m/>
    <m/>
    <n v="0"/>
    <m/>
    <m/>
    <n v="0"/>
    <m/>
    <m/>
    <n v="0"/>
    <n v="2"/>
    <n v="67543.5"/>
    <n v="110528.18340000001"/>
    <n v="2"/>
    <n v="66340.5"/>
    <n v="108559.59420000001"/>
    <n v="2"/>
    <n v="59777.5"/>
    <n v="97819.900999999998"/>
    <n v="7"/>
    <n v="57392.428571428572"/>
    <n v="328709.39540000004"/>
    <n v="14"/>
    <n v="51391.285714285717"/>
    <n v="588676.8996"/>
    <n v="11"/>
    <n v="54532.63636363636"/>
    <n v="490804.63380000001"/>
    <n v="38"/>
    <n v="45300.07894736842"/>
    <n v="1408451.9346"/>
    <n v="40"/>
    <n v="46662.025000000001"/>
    <n v="1527154.7542000001"/>
    <n v="6"/>
    <n v="26715.166666666668"/>
    <n v="131150.0962"/>
    <m/>
    <m/>
    <n v="0"/>
    <m/>
    <m/>
    <n v="0"/>
    <m/>
    <m/>
    <n v="0"/>
  </r>
  <r>
    <x v="13"/>
    <s v="Kilgore College "/>
    <s v="Met criteria for Two-Year 1 in 2009-10 and 2010-11."/>
    <n v="226019"/>
    <x v="7"/>
    <m/>
    <m/>
    <n v="0"/>
    <m/>
    <m/>
    <n v="0"/>
    <m/>
    <m/>
    <n v="0"/>
    <m/>
    <m/>
    <n v="0"/>
    <m/>
    <m/>
    <n v="0"/>
    <m/>
    <m/>
    <n v="0"/>
    <m/>
    <m/>
    <n v="0"/>
    <m/>
    <m/>
    <n v="0"/>
    <m/>
    <m/>
    <n v="0"/>
    <m/>
    <m/>
    <n v="0"/>
    <n v="93"/>
    <n v="51749.440860215051"/>
    <n v="4812698"/>
    <n v="100"/>
    <n v="52566.8"/>
    <n v="5256680"/>
    <m/>
    <m/>
    <n v="0"/>
    <m/>
    <m/>
    <n v="0"/>
    <m/>
    <m/>
    <n v="0"/>
    <m/>
    <m/>
    <n v="0"/>
    <m/>
    <m/>
    <n v="0"/>
    <m/>
    <m/>
    <n v="0"/>
    <m/>
    <m/>
    <n v="0"/>
    <m/>
    <m/>
    <n v="0"/>
    <m/>
    <m/>
    <n v="0"/>
    <m/>
    <m/>
    <n v="0"/>
    <n v="62"/>
    <n v="59630.983870967742"/>
    <n v="3024984.4022000004"/>
    <n v="61"/>
    <n v="61125.180327868853"/>
    <n v="3050769.9752000002"/>
  </r>
  <r>
    <x v="13"/>
    <s v="Lamar Institute of Technology"/>
    <m/>
    <n v="441760"/>
    <x v="7"/>
    <m/>
    <m/>
    <n v="0"/>
    <m/>
    <m/>
    <n v="0"/>
    <m/>
    <m/>
    <n v="0"/>
    <m/>
    <m/>
    <n v="0"/>
    <m/>
    <m/>
    <n v="0"/>
    <m/>
    <m/>
    <n v="0"/>
    <m/>
    <m/>
    <n v="0"/>
    <n v="81"/>
    <n v="41452.765432098764"/>
    <n v="3357674"/>
    <m/>
    <m/>
    <n v="0"/>
    <m/>
    <m/>
    <n v="0"/>
    <n v="81"/>
    <n v="49238.432098765436"/>
    <n v="3988313.0000000005"/>
    <m/>
    <m/>
    <n v="0"/>
    <m/>
    <m/>
    <n v="0"/>
    <m/>
    <m/>
    <n v="0"/>
    <m/>
    <m/>
    <n v="0"/>
    <m/>
    <m/>
    <n v="0"/>
    <m/>
    <m/>
    <n v="0"/>
    <m/>
    <m/>
    <n v="0"/>
    <m/>
    <m/>
    <n v="0"/>
    <m/>
    <m/>
    <n v="0"/>
    <m/>
    <m/>
    <n v="0"/>
    <m/>
    <m/>
    <n v="0"/>
    <m/>
    <m/>
    <n v="0"/>
    <m/>
    <m/>
    <n v="0"/>
  </r>
  <r>
    <x v="13"/>
    <s v="Lee College "/>
    <m/>
    <n v="226204"/>
    <x v="7"/>
    <m/>
    <m/>
    <n v="0"/>
    <m/>
    <m/>
    <n v="0"/>
    <m/>
    <m/>
    <n v="0"/>
    <m/>
    <m/>
    <n v="0"/>
    <m/>
    <m/>
    <n v="0"/>
    <m/>
    <m/>
    <n v="0"/>
    <m/>
    <m/>
    <n v="0"/>
    <m/>
    <m/>
    <n v="0"/>
    <m/>
    <m/>
    <n v="0"/>
    <m/>
    <m/>
    <n v="0"/>
    <n v="149"/>
    <n v="51034.812080536911"/>
    <n v="7604187"/>
    <n v="145"/>
    <n v="50695.896551724138"/>
    <n v="7350905"/>
    <m/>
    <m/>
    <n v="0"/>
    <m/>
    <m/>
    <n v="0"/>
    <m/>
    <m/>
    <n v="0"/>
    <m/>
    <m/>
    <n v="0"/>
    <m/>
    <m/>
    <n v="0"/>
    <m/>
    <m/>
    <n v="0"/>
    <m/>
    <m/>
    <n v="0"/>
    <m/>
    <m/>
    <n v="0"/>
    <m/>
    <m/>
    <n v="0"/>
    <m/>
    <m/>
    <n v="0"/>
    <n v="28"/>
    <n v="60496.535714285717"/>
    <n v="1385951.4346"/>
    <n v="16"/>
    <n v="59715.75"/>
    <n v="781750.82640000002"/>
  </r>
  <r>
    <x v="13"/>
    <s v="Mountain View College  (DCCCD)"/>
    <s v="Met the criteria for Two-Year 1 in 2010-11."/>
    <n v="226930"/>
    <x v="7"/>
    <m/>
    <m/>
    <n v="0"/>
    <m/>
    <m/>
    <n v="0"/>
    <m/>
    <m/>
    <n v="0"/>
    <m/>
    <m/>
    <n v="0"/>
    <m/>
    <m/>
    <n v="0"/>
    <m/>
    <m/>
    <n v="0"/>
    <m/>
    <m/>
    <n v="0"/>
    <m/>
    <m/>
    <n v="0"/>
    <m/>
    <m/>
    <n v="0"/>
    <m/>
    <m/>
    <n v="0"/>
    <n v="74"/>
    <n v="60839.027027027027"/>
    <n v="4502088"/>
    <n v="77"/>
    <n v="60219.805194805194"/>
    <n v="4636925"/>
    <m/>
    <m/>
    <n v="0"/>
    <m/>
    <m/>
    <n v="0"/>
    <m/>
    <m/>
    <n v="0"/>
    <m/>
    <m/>
    <n v="0"/>
    <m/>
    <m/>
    <n v="0"/>
    <m/>
    <m/>
    <n v="0"/>
    <m/>
    <m/>
    <n v="0"/>
    <m/>
    <m/>
    <n v="0"/>
    <m/>
    <m/>
    <n v="0"/>
    <m/>
    <m/>
    <n v="0"/>
    <m/>
    <m/>
    <n v="0"/>
    <m/>
    <m/>
    <n v="0"/>
  </r>
  <r>
    <x v="13"/>
    <s v="Odessa College "/>
    <m/>
    <n v="227304"/>
    <x v="7"/>
    <n v="15"/>
    <n v="60690"/>
    <n v="910350"/>
    <n v="15"/>
    <n v="60638"/>
    <n v="909570"/>
    <n v="24"/>
    <n v="50014.833333333336"/>
    <n v="1200356"/>
    <n v="27"/>
    <n v="44727.925925925927"/>
    <n v="1207654"/>
    <n v="24"/>
    <n v="48945.5"/>
    <n v="1174692"/>
    <n v="24"/>
    <n v="52215.5"/>
    <n v="1253172"/>
    <n v="36"/>
    <n v="45763.777777777781"/>
    <n v="1647496"/>
    <n v="42"/>
    <n v="45795.785714285717"/>
    <n v="1923423.0000000002"/>
    <m/>
    <m/>
    <n v="0"/>
    <m/>
    <m/>
    <n v="0"/>
    <m/>
    <m/>
    <n v="0"/>
    <m/>
    <m/>
    <n v="0"/>
    <n v="1"/>
    <n v="73911"/>
    <n v="60473.980200000005"/>
    <n v="1"/>
    <n v="75373"/>
    <n v="61670.188600000001"/>
    <n v="8"/>
    <n v="67592.75"/>
    <n v="442435.10440000001"/>
    <n v="7"/>
    <n v="68973.428571428565"/>
    <n v="395038.41479999997"/>
    <n v="5"/>
    <n v="59936.6"/>
    <n v="245200.6306"/>
    <n v="5"/>
    <n v="62089.4"/>
    <n v="254007.73540000001"/>
    <n v="5"/>
    <n v="54828.2"/>
    <n v="224302.16620000001"/>
    <n v="5"/>
    <n v="56600"/>
    <n v="231550.6"/>
    <m/>
    <m/>
    <n v="0"/>
    <m/>
    <m/>
    <n v="0"/>
    <m/>
    <m/>
    <n v="0"/>
    <m/>
    <m/>
    <n v="0"/>
  </r>
  <r>
    <x v="13"/>
    <s v="Paris Junior College"/>
    <m/>
    <n v="227401"/>
    <x v="7"/>
    <m/>
    <m/>
    <n v="0"/>
    <m/>
    <m/>
    <n v="0"/>
    <m/>
    <m/>
    <n v="0"/>
    <m/>
    <m/>
    <n v="0"/>
    <m/>
    <m/>
    <n v="0"/>
    <m/>
    <m/>
    <n v="0"/>
    <m/>
    <m/>
    <n v="0"/>
    <m/>
    <m/>
    <n v="0"/>
    <m/>
    <m/>
    <n v="0"/>
    <m/>
    <m/>
    <n v="0"/>
    <n v="73"/>
    <n v="52116.767123287675"/>
    <n v="3804524.0000000005"/>
    <n v="75"/>
    <n v="54048.306666666664"/>
    <n v="4053623"/>
    <m/>
    <m/>
    <n v="0"/>
    <m/>
    <m/>
    <n v="0"/>
    <m/>
    <m/>
    <n v="0"/>
    <m/>
    <m/>
    <n v="0"/>
    <m/>
    <m/>
    <n v="0"/>
    <m/>
    <m/>
    <n v="0"/>
    <m/>
    <m/>
    <n v="0"/>
    <m/>
    <m/>
    <n v="0"/>
    <m/>
    <m/>
    <n v="0"/>
    <m/>
    <m/>
    <n v="0"/>
    <n v="26"/>
    <n v="66365.461538461532"/>
    <n v="1411805.7363999998"/>
    <n v="24"/>
    <n v="74928.041666666672"/>
    <n v="1471346.9686"/>
  </r>
  <r>
    <x v="13"/>
    <s v="Southwest Texas Junior College "/>
    <m/>
    <n v="228316"/>
    <x v="7"/>
    <m/>
    <m/>
    <n v="0"/>
    <m/>
    <m/>
    <n v="0"/>
    <m/>
    <m/>
    <n v="0"/>
    <m/>
    <m/>
    <n v="0"/>
    <m/>
    <m/>
    <n v="0"/>
    <m/>
    <m/>
    <n v="0"/>
    <m/>
    <m/>
    <n v="0"/>
    <n v="105"/>
    <n v="48019.304761904765"/>
    <n v="5042027"/>
    <m/>
    <m/>
    <n v="0"/>
    <m/>
    <m/>
    <n v="0"/>
    <n v="104"/>
    <n v="46872.567307692305"/>
    <n v="4874747"/>
    <m/>
    <m/>
    <n v="0"/>
    <m/>
    <m/>
    <n v="0"/>
    <m/>
    <m/>
    <n v="0"/>
    <m/>
    <m/>
    <n v="0"/>
    <m/>
    <m/>
    <n v="0"/>
    <m/>
    <m/>
    <n v="0"/>
    <m/>
    <m/>
    <n v="0"/>
    <m/>
    <m/>
    <n v="0"/>
    <n v="10"/>
    <n v="66873.8"/>
    <n v="547161.43160000001"/>
    <m/>
    <m/>
    <n v="0"/>
    <m/>
    <m/>
    <n v="0"/>
    <n v="8"/>
    <n v="63433.75"/>
    <n v="415211.95400000003"/>
    <m/>
    <m/>
    <n v="0"/>
  </r>
  <r>
    <x v="13"/>
    <s v="Temple College "/>
    <m/>
    <n v="228608"/>
    <x v="7"/>
    <m/>
    <m/>
    <n v="0"/>
    <m/>
    <m/>
    <n v="0"/>
    <m/>
    <m/>
    <n v="0"/>
    <m/>
    <m/>
    <n v="0"/>
    <m/>
    <m/>
    <n v="0"/>
    <m/>
    <m/>
    <n v="0"/>
    <m/>
    <m/>
    <n v="0"/>
    <n v="80"/>
    <n v="59986.037499999999"/>
    <n v="4798883"/>
    <m/>
    <m/>
    <n v="0"/>
    <m/>
    <m/>
    <n v="0"/>
    <n v="78"/>
    <n v="59170.166666666664"/>
    <n v="4615273"/>
    <m/>
    <m/>
    <n v="0"/>
    <m/>
    <m/>
    <n v="0"/>
    <m/>
    <m/>
    <n v="0"/>
    <m/>
    <m/>
    <n v="0"/>
    <m/>
    <m/>
    <n v="0"/>
    <m/>
    <m/>
    <n v="0"/>
    <m/>
    <m/>
    <n v="0"/>
    <m/>
    <m/>
    <n v="0"/>
    <n v="37"/>
    <n v="61953.648648648646"/>
    <n v="1875547.5870000001"/>
    <m/>
    <m/>
    <n v="0"/>
    <m/>
    <m/>
    <n v="0"/>
    <n v="35"/>
    <n v="62169.171428571426"/>
    <n v="1780338.5622"/>
    <m/>
    <m/>
    <n v="0"/>
  </r>
  <r>
    <x v="13"/>
    <s v="Texarkana College "/>
    <m/>
    <n v="228699"/>
    <x v="7"/>
    <n v="28"/>
    <n v="61674.785714285717"/>
    <n v="1726894"/>
    <n v="27"/>
    <n v="61153.592592592591"/>
    <n v="1651147"/>
    <n v="23"/>
    <n v="52787.869565217392"/>
    <n v="1214121"/>
    <n v="27"/>
    <n v="52626.185185185182"/>
    <n v="1420907"/>
    <n v="13"/>
    <n v="48114.846153846156"/>
    <n v="625493"/>
    <n v="8"/>
    <n v="47379.125"/>
    <n v="379033"/>
    <n v="6"/>
    <n v="46322"/>
    <n v="277932"/>
    <n v="5"/>
    <n v="47412.2"/>
    <n v="237061"/>
    <m/>
    <m/>
    <n v="0"/>
    <m/>
    <m/>
    <n v="0"/>
    <m/>
    <m/>
    <n v="0"/>
    <m/>
    <m/>
    <n v="0"/>
    <n v="4"/>
    <n v="82727.25"/>
    <n v="270749.7438"/>
    <n v="5"/>
    <n v="82267"/>
    <n v="336554.29700000002"/>
    <n v="4"/>
    <n v="69299.5"/>
    <n v="226803.40360000002"/>
    <n v="4"/>
    <n v="71050"/>
    <n v="232532.44"/>
    <n v="3"/>
    <n v="62419.666666666664"/>
    <n v="153215.3138"/>
    <n v="4"/>
    <n v="61683.25"/>
    <n v="201876.9406"/>
    <n v="27"/>
    <n v="61968.407407407409"/>
    <n v="1368968.8754"/>
    <n v="22"/>
    <n v="60763.63636363636"/>
    <n v="1093769.76"/>
    <m/>
    <m/>
    <n v="0"/>
    <m/>
    <m/>
    <n v="0"/>
    <m/>
    <m/>
    <n v="0"/>
    <m/>
    <m/>
    <n v="0"/>
  </r>
  <r>
    <x v="13"/>
    <s v="Texas State Technical College-Harlingen "/>
    <m/>
    <n v="229319"/>
    <x v="7"/>
    <m/>
    <m/>
    <n v="0"/>
    <m/>
    <m/>
    <n v="0"/>
    <n v="4"/>
    <n v="51759"/>
    <n v="207036"/>
    <n v="1"/>
    <n v="64020"/>
    <n v="64020"/>
    <m/>
    <m/>
    <n v="0"/>
    <m/>
    <m/>
    <n v="0"/>
    <n v="30"/>
    <n v="39614.800000000003"/>
    <n v="1188444"/>
    <n v="31"/>
    <n v="38832.387096774197"/>
    <n v="1203804"/>
    <m/>
    <m/>
    <n v="0"/>
    <m/>
    <m/>
    <n v="0"/>
    <m/>
    <m/>
    <n v="0"/>
    <m/>
    <m/>
    <n v="0"/>
    <n v="7"/>
    <n v="57584.571428571428"/>
    <n v="329809.87440000003"/>
    <n v="8"/>
    <n v="64216.5"/>
    <n v="420335.52240000002"/>
    <n v="12"/>
    <n v="51734"/>
    <n v="507945.10560000001"/>
    <n v="17"/>
    <n v="52280.470588235294"/>
    <n v="727189.97759999998"/>
    <m/>
    <m/>
    <n v="0"/>
    <m/>
    <m/>
    <n v="0"/>
    <n v="102"/>
    <n v="47462.078431372553"/>
    <n v="3961014.2024000003"/>
    <n v="100"/>
    <n v="46221.65"/>
    <n v="3781855.4030000004"/>
    <m/>
    <m/>
    <n v="0"/>
    <m/>
    <m/>
    <n v="0"/>
    <m/>
    <m/>
    <n v="0"/>
    <m/>
    <m/>
    <n v="0"/>
  </r>
  <r>
    <x v="13"/>
    <s v="Texas State Technical College-Waco"/>
    <s v="Met criteria for Two-Year 1 in 2009-10 and 2010-11."/>
    <n v="228680"/>
    <x v="7"/>
    <m/>
    <m/>
    <n v="0"/>
    <m/>
    <m/>
    <n v="0"/>
    <n v="4"/>
    <n v="46980"/>
    <n v="187920"/>
    <n v="3"/>
    <n v="46684"/>
    <n v="140052"/>
    <m/>
    <m/>
    <n v="0"/>
    <m/>
    <m/>
    <n v="0"/>
    <n v="24"/>
    <n v="41514.166666666664"/>
    <n v="996340"/>
    <n v="21"/>
    <n v="41557.238095238092"/>
    <n v="872701.99999999988"/>
    <m/>
    <m/>
    <n v="0"/>
    <m/>
    <m/>
    <n v="0"/>
    <m/>
    <m/>
    <n v="0"/>
    <m/>
    <m/>
    <n v="0"/>
    <n v="5"/>
    <n v="66895.199999999997"/>
    <n v="273668.26319999999"/>
    <n v="5"/>
    <n v="66897.600000000006"/>
    <n v="273678.08160000003"/>
    <n v="18"/>
    <n v="54376.666666666664"/>
    <n v="800837.79600000009"/>
    <n v="21"/>
    <n v="52652.571428571428"/>
    <n v="904687.01280000003"/>
    <m/>
    <m/>
    <n v="0"/>
    <m/>
    <m/>
    <n v="0"/>
    <n v="199"/>
    <n v="46861.708542713568"/>
    <n v="7630107.7360000005"/>
    <n v="202"/>
    <n v="46693.267326732675"/>
    <n v="7717295.1280000005"/>
    <m/>
    <m/>
    <n v="0"/>
    <m/>
    <m/>
    <n v="0"/>
    <m/>
    <m/>
    <n v="0"/>
    <m/>
    <m/>
    <n v="0"/>
  </r>
  <r>
    <x v="13"/>
    <s v="Trinity Valley Community College"/>
    <s v="Met criteria for Two-Year 1 in 2009-10 and 2010-11."/>
    <n v="225308"/>
    <x v="7"/>
    <m/>
    <m/>
    <n v="0"/>
    <n v="120"/>
    <n v="51808.26666666667"/>
    <n v="6216992"/>
    <m/>
    <m/>
    <n v="0"/>
    <m/>
    <m/>
    <n v="0"/>
    <m/>
    <m/>
    <n v="0"/>
    <m/>
    <m/>
    <n v="0"/>
    <m/>
    <m/>
    <n v="0"/>
    <m/>
    <m/>
    <n v="0"/>
    <m/>
    <m/>
    <n v="0"/>
    <m/>
    <m/>
    <n v="0"/>
    <n v="108"/>
    <n v="50071.5"/>
    <n v="5407722"/>
    <m/>
    <m/>
    <n v="0"/>
    <n v="30"/>
    <n v="63151"/>
    <n v="1550104.446"/>
    <n v="34"/>
    <n v="64816.058823529413"/>
    <n v="1803104.9772000001"/>
    <m/>
    <m/>
    <n v="0"/>
    <m/>
    <m/>
    <n v="0"/>
    <m/>
    <m/>
    <n v="0"/>
    <m/>
    <m/>
    <n v="0"/>
    <m/>
    <m/>
    <n v="0"/>
    <m/>
    <m/>
    <n v="0"/>
    <m/>
    <m/>
    <n v="0"/>
    <m/>
    <m/>
    <n v="0"/>
    <m/>
    <m/>
    <n v="0"/>
    <m/>
    <m/>
    <n v="0"/>
  </r>
  <r>
    <x v="13"/>
    <s v="Vernon College "/>
    <m/>
    <n v="229504"/>
    <x v="7"/>
    <m/>
    <m/>
    <n v="0"/>
    <m/>
    <m/>
    <n v="0"/>
    <m/>
    <m/>
    <n v="0"/>
    <m/>
    <m/>
    <n v="0"/>
    <m/>
    <m/>
    <n v="0"/>
    <m/>
    <m/>
    <n v="0"/>
    <m/>
    <m/>
    <n v="0"/>
    <n v="51"/>
    <n v="43230.627450980392"/>
    <n v="2204762"/>
    <m/>
    <m/>
    <n v="0"/>
    <m/>
    <m/>
    <n v="0"/>
    <n v="46"/>
    <n v="41878.913043478264"/>
    <n v="1926430.0000000002"/>
    <m/>
    <m/>
    <n v="0"/>
    <m/>
    <m/>
    <n v="0"/>
    <m/>
    <m/>
    <n v="0"/>
    <m/>
    <m/>
    <n v="0"/>
    <m/>
    <m/>
    <n v="0"/>
    <m/>
    <m/>
    <n v="0"/>
    <m/>
    <m/>
    <n v="0"/>
    <m/>
    <m/>
    <n v="0"/>
    <n v="30"/>
    <n v="53004"/>
    <n v="1301036.1840000001"/>
    <m/>
    <m/>
    <n v="0"/>
    <m/>
    <m/>
    <n v="0"/>
    <n v="31"/>
    <n v="52650.93548387097"/>
    <n v="1335448.8578000001"/>
    <m/>
    <m/>
    <n v="0"/>
  </r>
  <r>
    <x v="13"/>
    <s v="Victoria College "/>
    <m/>
    <n v="229540"/>
    <x v="7"/>
    <m/>
    <m/>
    <n v="0"/>
    <n v="76"/>
    <n v="51981.815789473687"/>
    <n v="3950618"/>
    <m/>
    <m/>
    <n v="0"/>
    <m/>
    <m/>
    <n v="0"/>
    <m/>
    <m/>
    <n v="0"/>
    <m/>
    <m/>
    <n v="0"/>
    <m/>
    <m/>
    <n v="0"/>
    <m/>
    <m/>
    <n v="0"/>
    <m/>
    <m/>
    <n v="0"/>
    <m/>
    <m/>
    <n v="0"/>
    <n v="71"/>
    <n v="52944.295774647886"/>
    <n v="3759045"/>
    <m/>
    <m/>
    <n v="0"/>
    <n v="27"/>
    <n v="64532.555555555555"/>
    <n v="1425614.4978"/>
    <n v="29"/>
    <n v="63838.172413793101"/>
    <n v="1514739.3874000001"/>
    <m/>
    <m/>
    <n v="0"/>
    <m/>
    <m/>
    <n v="0"/>
    <m/>
    <m/>
    <n v="0"/>
    <m/>
    <m/>
    <n v="0"/>
    <m/>
    <m/>
    <n v="0"/>
    <m/>
    <m/>
    <n v="0"/>
    <m/>
    <m/>
    <n v="0"/>
    <m/>
    <m/>
    <n v="0"/>
    <m/>
    <m/>
    <n v="0"/>
    <m/>
    <m/>
    <n v="0"/>
  </r>
  <r>
    <x v="13"/>
    <s v="Weatherford College "/>
    <m/>
    <n v="229799"/>
    <x v="7"/>
    <m/>
    <m/>
    <n v="0"/>
    <m/>
    <m/>
    <n v="0"/>
    <m/>
    <m/>
    <n v="0"/>
    <m/>
    <m/>
    <n v="0"/>
    <m/>
    <m/>
    <n v="0"/>
    <m/>
    <m/>
    <n v="0"/>
    <m/>
    <m/>
    <n v="0"/>
    <n v="92"/>
    <n v="50978.82608695652"/>
    <n v="4690052"/>
    <m/>
    <m/>
    <n v="0"/>
    <m/>
    <m/>
    <n v="0"/>
    <n v="84"/>
    <n v="50618.904761904763"/>
    <n v="4251988"/>
    <m/>
    <m/>
    <n v="0"/>
    <m/>
    <m/>
    <n v="0"/>
    <m/>
    <m/>
    <n v="0"/>
    <m/>
    <m/>
    <n v="0"/>
    <m/>
    <m/>
    <n v="0"/>
    <m/>
    <m/>
    <n v="0"/>
    <m/>
    <m/>
    <n v="0"/>
    <m/>
    <m/>
    <n v="0"/>
    <n v="38"/>
    <n v="58437.73684210526"/>
    <n v="1816922.7388000002"/>
    <m/>
    <m/>
    <n v="0"/>
    <m/>
    <m/>
    <n v="0"/>
    <n v="36"/>
    <n v="57430.583333333336"/>
    <n v="1691629.3182000001"/>
    <m/>
    <m/>
    <n v="0"/>
  </r>
  <r>
    <x v="13"/>
    <s v="Wharton County Junior College "/>
    <m/>
    <n v="229841"/>
    <x v="7"/>
    <m/>
    <m/>
    <n v="0"/>
    <m/>
    <m/>
    <n v="0"/>
    <m/>
    <m/>
    <n v="0"/>
    <m/>
    <m/>
    <n v="0"/>
    <m/>
    <m/>
    <n v="0"/>
    <m/>
    <m/>
    <n v="0"/>
    <m/>
    <m/>
    <n v="0"/>
    <m/>
    <m/>
    <n v="0"/>
    <m/>
    <m/>
    <n v="0"/>
    <m/>
    <m/>
    <n v="0"/>
    <n v="101"/>
    <n v="49162.871287128713"/>
    <n v="4965450"/>
    <n v="108"/>
    <n v="50298.518518518518"/>
    <n v="5432240"/>
    <m/>
    <m/>
    <n v="0"/>
    <m/>
    <m/>
    <n v="0"/>
    <m/>
    <m/>
    <n v="0"/>
    <m/>
    <m/>
    <n v="0"/>
    <m/>
    <m/>
    <n v="0"/>
    <m/>
    <m/>
    <n v="0"/>
    <m/>
    <m/>
    <n v="0"/>
    <m/>
    <m/>
    <n v="0"/>
    <m/>
    <m/>
    <n v="0"/>
    <m/>
    <m/>
    <n v="0"/>
    <n v="54"/>
    <n v="60856.462962962964"/>
    <n v="2688808.9317999999"/>
    <n v="54"/>
    <n v="61683.407407407409"/>
    <n v="2725345.6528000003"/>
  </r>
  <r>
    <x v="13"/>
    <s v="Clarendon College "/>
    <m/>
    <n v="223922"/>
    <x v="8"/>
    <n v="3"/>
    <n v="45708.666666666664"/>
    <n v="137126"/>
    <n v="3"/>
    <n v="46055"/>
    <n v="138165"/>
    <n v="7"/>
    <n v="42380"/>
    <n v="296660"/>
    <n v="6"/>
    <n v="41229.666666666664"/>
    <n v="247378"/>
    <n v="8"/>
    <n v="40488.875"/>
    <n v="323911"/>
    <n v="8"/>
    <n v="39525.625"/>
    <n v="316205"/>
    <n v="9"/>
    <n v="36036.555555555555"/>
    <n v="324329"/>
    <n v="11"/>
    <n v="35815"/>
    <n v="393965"/>
    <m/>
    <m/>
    <n v="0"/>
    <m/>
    <m/>
    <n v="0"/>
    <m/>
    <m/>
    <n v="0"/>
    <m/>
    <m/>
    <n v="0"/>
    <m/>
    <m/>
    <n v="0"/>
    <m/>
    <m/>
    <n v="0"/>
    <n v="1"/>
    <n v="56222"/>
    <n v="46000.840400000001"/>
    <m/>
    <m/>
    <n v="0"/>
    <n v="1"/>
    <n v="46906"/>
    <n v="38378.489200000004"/>
    <n v="1"/>
    <n v="47269"/>
    <n v="38675.495800000004"/>
    <n v="4"/>
    <n v="53360.25"/>
    <n v="174637.42620000002"/>
    <n v="8"/>
    <n v="49239.25"/>
    <n v="322300.43479999999"/>
    <m/>
    <m/>
    <n v="0"/>
    <m/>
    <m/>
    <n v="0"/>
    <m/>
    <m/>
    <n v="0"/>
    <m/>
    <m/>
    <n v="0"/>
  </r>
  <r>
    <x v="13"/>
    <s v="Frank Phillips College "/>
    <m/>
    <n v="224891"/>
    <x v="8"/>
    <m/>
    <m/>
    <n v="0"/>
    <m/>
    <m/>
    <n v="0"/>
    <m/>
    <m/>
    <n v="0"/>
    <m/>
    <m/>
    <n v="0"/>
    <m/>
    <m/>
    <n v="0"/>
    <m/>
    <m/>
    <n v="0"/>
    <m/>
    <m/>
    <n v="0"/>
    <n v="25"/>
    <n v="36380.76"/>
    <n v="909519"/>
    <m/>
    <m/>
    <n v="0"/>
    <m/>
    <m/>
    <n v="0"/>
    <n v="23"/>
    <n v="36859.17391304348"/>
    <n v="847761"/>
    <m/>
    <m/>
    <n v="0"/>
    <m/>
    <m/>
    <n v="0"/>
    <m/>
    <m/>
    <n v="0"/>
    <m/>
    <m/>
    <n v="0"/>
    <m/>
    <m/>
    <n v="0"/>
    <m/>
    <m/>
    <n v="0"/>
    <m/>
    <m/>
    <n v="0"/>
    <m/>
    <m/>
    <n v="0"/>
    <n v="6"/>
    <n v="37406.666666666664"/>
    <n v="183636.80800000002"/>
    <m/>
    <m/>
    <n v="0"/>
    <m/>
    <m/>
    <n v="0"/>
    <n v="5"/>
    <n v="41621.599999999999"/>
    <n v="170273.9656"/>
    <m/>
    <m/>
    <n v="0"/>
  </r>
  <r>
    <x v="13"/>
    <s v="Galveston College "/>
    <m/>
    <n v="224961"/>
    <x v="8"/>
    <n v="5"/>
    <n v="73344"/>
    <n v="366720"/>
    <n v="6"/>
    <n v="77226.833333333328"/>
    <n v="463361"/>
    <n v="5"/>
    <n v="68649.399999999994"/>
    <n v="343247"/>
    <n v="4"/>
    <n v="72009.25"/>
    <n v="288037"/>
    <n v="7"/>
    <n v="64892"/>
    <n v="454244"/>
    <n v="6"/>
    <n v="66662.166666666672"/>
    <n v="399973"/>
    <n v="26"/>
    <n v="59459.884615384617"/>
    <n v="1545957"/>
    <n v="28"/>
    <n v="59305.535714285717"/>
    <n v="1660555"/>
    <m/>
    <m/>
    <n v="0"/>
    <m/>
    <m/>
    <n v="0"/>
    <m/>
    <m/>
    <n v="0"/>
    <m/>
    <m/>
    <n v="0"/>
    <m/>
    <m/>
    <n v="0"/>
    <m/>
    <m/>
    <n v="0"/>
    <m/>
    <m/>
    <n v="0"/>
    <m/>
    <m/>
    <n v="0"/>
    <m/>
    <m/>
    <n v="0"/>
    <m/>
    <m/>
    <n v="0"/>
    <n v="6"/>
    <n v="73963.833333333328"/>
    <n v="363103.25060000003"/>
    <n v="9"/>
    <n v="74983.111111111109"/>
    <n v="552160.63360000006"/>
    <m/>
    <m/>
    <n v="0"/>
    <m/>
    <m/>
    <n v="0"/>
    <m/>
    <m/>
    <n v="0"/>
    <m/>
    <m/>
    <n v="0"/>
  </r>
  <r>
    <x v="13"/>
    <s v="Lamar State College-Orange"/>
    <m/>
    <n v="226107"/>
    <x v="8"/>
    <n v="2"/>
    <n v="50994.5"/>
    <n v="101989"/>
    <n v="2"/>
    <n v="52524"/>
    <n v="105048"/>
    <n v="2"/>
    <n v="47634.5"/>
    <n v="95269"/>
    <n v="2"/>
    <n v="49063.5"/>
    <n v="98127"/>
    <n v="7"/>
    <n v="51561.714285714283"/>
    <n v="360932"/>
    <n v="7"/>
    <n v="52944.285714285717"/>
    <n v="370610"/>
    <n v="30"/>
    <n v="39256.366666666669"/>
    <n v="1177691"/>
    <n v="32"/>
    <n v="39990.09375"/>
    <n v="1279683"/>
    <n v="1"/>
    <n v="33518"/>
    <n v="33518"/>
    <m/>
    <m/>
    <n v="0"/>
    <m/>
    <m/>
    <n v="0"/>
    <m/>
    <m/>
    <n v="0"/>
    <m/>
    <m/>
    <n v="0"/>
    <m/>
    <m/>
    <n v="0"/>
    <m/>
    <m/>
    <n v="0"/>
    <m/>
    <m/>
    <n v="0"/>
    <n v="1"/>
    <n v="54996"/>
    <n v="44997.727200000001"/>
    <n v="1"/>
    <n v="56646"/>
    <n v="46347.7572"/>
    <n v="6"/>
    <n v="42894.333333333336"/>
    <n v="210576.86120000001"/>
    <n v="7"/>
    <n v="41455.285714285717"/>
    <n v="237431.00340000002"/>
    <n v="1"/>
    <n v="25570"/>
    <n v="20921.374"/>
    <m/>
    <m/>
    <n v="0"/>
    <m/>
    <m/>
    <n v="0"/>
    <m/>
    <m/>
    <n v="0"/>
  </r>
  <r>
    <x v="13"/>
    <s v="Lamar State College-Port Arthur"/>
    <s v="Met the criteria for Two-Year 2 in 2010-11."/>
    <n v="226116"/>
    <x v="8"/>
    <n v="1"/>
    <n v="54018"/>
    <n v="54018"/>
    <n v="1"/>
    <n v="54875"/>
    <n v="54875"/>
    <n v="3"/>
    <n v="48557"/>
    <n v="145671"/>
    <n v="3"/>
    <n v="49630.666666666664"/>
    <n v="148892"/>
    <n v="5"/>
    <n v="44531"/>
    <n v="222655"/>
    <n v="5"/>
    <n v="45598"/>
    <n v="227990"/>
    <n v="35"/>
    <n v="41499.142857142855"/>
    <n v="1452470"/>
    <n v="32"/>
    <n v="41089.0625"/>
    <n v="1314850"/>
    <m/>
    <m/>
    <n v="0"/>
    <m/>
    <m/>
    <n v="0"/>
    <m/>
    <m/>
    <n v="0"/>
    <m/>
    <m/>
    <n v="0"/>
    <m/>
    <m/>
    <n v="0"/>
    <m/>
    <m/>
    <n v="0"/>
    <m/>
    <m/>
    <n v="0"/>
    <m/>
    <m/>
    <n v="0"/>
    <n v="1"/>
    <n v="70849"/>
    <n v="57968.6518"/>
    <n v="1"/>
    <n v="73449"/>
    <n v="60095.971799999999"/>
    <n v="18"/>
    <n v="51348.444444444445"/>
    <n v="756239.3504"/>
    <n v="33"/>
    <n v="45374.242424242424"/>
    <n v="1225131.77"/>
    <m/>
    <m/>
    <n v="0"/>
    <m/>
    <m/>
    <n v="0"/>
    <n v="10"/>
    <n v="43384"/>
    <n v="354967.88800000004"/>
    <m/>
    <m/>
    <n v="0"/>
  </r>
  <r>
    <x v="13"/>
    <s v="Northeast Lakeview College (ACCD)"/>
    <m/>
    <n v="222992"/>
    <x v="8"/>
    <m/>
    <m/>
    <n v="0"/>
    <m/>
    <m/>
    <n v="0"/>
    <m/>
    <m/>
    <n v="0"/>
    <m/>
    <m/>
    <n v="0"/>
    <m/>
    <m/>
    <n v="0"/>
    <m/>
    <m/>
    <n v="0"/>
    <m/>
    <m/>
    <n v="0"/>
    <m/>
    <m/>
    <n v="0"/>
    <m/>
    <m/>
    <n v="0"/>
    <m/>
    <m/>
    <n v="0"/>
    <m/>
    <m/>
    <n v="0"/>
    <m/>
    <m/>
    <n v="0"/>
    <m/>
    <m/>
    <n v="0"/>
    <m/>
    <m/>
    <n v="0"/>
    <m/>
    <m/>
    <n v="0"/>
    <m/>
    <m/>
    <n v="0"/>
    <m/>
    <m/>
    <n v="0"/>
    <m/>
    <m/>
    <n v="0"/>
    <m/>
    <m/>
    <n v="0"/>
    <m/>
    <m/>
    <n v="0"/>
    <m/>
    <m/>
    <n v="0"/>
    <m/>
    <m/>
    <n v="0"/>
    <m/>
    <m/>
    <n v="0"/>
    <m/>
    <m/>
    <n v="0"/>
  </r>
  <r>
    <x v="13"/>
    <s v="Northeast Texas Community College "/>
    <s v="Met criteria for Two-Year 2 in 2009-10 and 2010-11."/>
    <n v="227225"/>
    <x v="8"/>
    <n v="26"/>
    <n v="55429.615384615383"/>
    <n v="1441170"/>
    <n v="25"/>
    <n v="58900.28"/>
    <n v="1472507"/>
    <n v="2"/>
    <n v="51249"/>
    <n v="102498"/>
    <n v="10"/>
    <n v="50140.7"/>
    <n v="501407"/>
    <n v="6"/>
    <n v="38383.166666666664"/>
    <n v="230299"/>
    <n v="8"/>
    <n v="45871.75"/>
    <n v="366974"/>
    <n v="14"/>
    <n v="41660.285714285717"/>
    <n v="583244"/>
    <n v="8"/>
    <n v="41739.375"/>
    <n v="333915"/>
    <m/>
    <m/>
    <n v="0"/>
    <m/>
    <m/>
    <n v="0"/>
    <m/>
    <m/>
    <n v="0"/>
    <m/>
    <m/>
    <n v="0"/>
    <n v="3"/>
    <n v="67765.666666666672"/>
    <n v="166337.6054"/>
    <n v="6"/>
    <n v="68531.833333333328"/>
    <n v="336436.47620000003"/>
    <n v="2"/>
    <n v="60633.5"/>
    <n v="99220.659400000004"/>
    <n v="4"/>
    <n v="63325.25"/>
    <n v="207250.87820000001"/>
    <n v="4"/>
    <n v="45275.75"/>
    <n v="148178.47460000002"/>
    <n v="3"/>
    <n v="54953.666666666664"/>
    <n v="134889.2702"/>
    <n v="10"/>
    <n v="56036"/>
    <n v="458486.55200000003"/>
    <n v="8"/>
    <n v="54836.375"/>
    <n v="358936.97620000003"/>
    <m/>
    <m/>
    <n v="0"/>
    <m/>
    <m/>
    <n v="0"/>
    <m/>
    <m/>
    <n v="0"/>
    <m/>
    <m/>
    <n v="0"/>
  </r>
  <r>
    <x v="13"/>
    <s v="Panola College"/>
    <m/>
    <n v="227386"/>
    <x v="8"/>
    <m/>
    <m/>
    <n v="0"/>
    <n v="38"/>
    <n v="51694.526315789473"/>
    <n v="1964392"/>
    <m/>
    <m/>
    <n v="0"/>
    <m/>
    <m/>
    <n v="0"/>
    <m/>
    <m/>
    <n v="0"/>
    <m/>
    <m/>
    <n v="0"/>
    <m/>
    <m/>
    <n v="0"/>
    <n v="11"/>
    <n v="42630.181818181816"/>
    <n v="468932"/>
    <m/>
    <m/>
    <n v="0"/>
    <m/>
    <m/>
    <n v="0"/>
    <n v="52"/>
    <n v="48599.769230769234"/>
    <n v="2527188"/>
    <m/>
    <m/>
    <n v="0"/>
    <m/>
    <m/>
    <n v="0"/>
    <n v="5"/>
    <n v="61327"/>
    <n v="250888.75700000001"/>
    <m/>
    <m/>
    <n v="0"/>
    <m/>
    <m/>
    <n v="0"/>
    <m/>
    <m/>
    <n v="0"/>
    <m/>
    <m/>
    <n v="0"/>
    <m/>
    <m/>
    <n v="0"/>
    <n v="8"/>
    <n v="54177.75"/>
    <n v="354625.88040000002"/>
    <m/>
    <m/>
    <n v="0"/>
    <m/>
    <m/>
    <n v="0"/>
    <n v="13"/>
    <n v="57105"/>
    <n v="607403.04300000006"/>
    <m/>
    <m/>
    <n v="0"/>
  </r>
  <r>
    <x v="13"/>
    <s v="Ranger College "/>
    <m/>
    <n v="227687"/>
    <x v="8"/>
    <n v="1"/>
    <n v="45381"/>
    <n v="45381"/>
    <n v="2"/>
    <n v="41731"/>
    <n v="83462"/>
    <n v="5"/>
    <n v="36087.4"/>
    <n v="180437"/>
    <n v="4"/>
    <n v="35065"/>
    <n v="140260"/>
    <n v="9"/>
    <n v="27255.333333333332"/>
    <n v="245298"/>
    <n v="3"/>
    <n v="29203"/>
    <n v="87609"/>
    <n v="4"/>
    <n v="31046.5"/>
    <n v="124186"/>
    <n v="6"/>
    <n v="19443.5"/>
    <n v="116661"/>
    <m/>
    <m/>
    <n v="0"/>
    <m/>
    <m/>
    <n v="0"/>
    <m/>
    <m/>
    <n v="0"/>
    <m/>
    <m/>
    <n v="0"/>
    <m/>
    <m/>
    <n v="0"/>
    <m/>
    <m/>
    <n v="0"/>
    <m/>
    <m/>
    <n v="0"/>
    <m/>
    <m/>
    <n v="0"/>
    <n v="4"/>
    <n v="26750"/>
    <n v="87547.400000000009"/>
    <n v="5"/>
    <n v="34240"/>
    <n v="140075.84"/>
    <n v="10"/>
    <n v="33700"/>
    <n v="275733.40000000002"/>
    <n v="15"/>
    <n v="37586.666666666664"/>
    <n v="461301.16000000003"/>
    <m/>
    <m/>
    <n v="0"/>
    <m/>
    <m/>
    <n v="0"/>
    <m/>
    <m/>
    <n v="0"/>
    <m/>
    <m/>
    <n v="0"/>
  </r>
  <r>
    <x v="13"/>
    <s v="Southwest Collegiate Institute for the Deaf (HCJCD)"/>
    <m/>
    <n v="382911"/>
    <x v="8"/>
    <m/>
    <m/>
    <n v="0"/>
    <m/>
    <m/>
    <n v="0"/>
    <m/>
    <m/>
    <n v="0"/>
    <m/>
    <m/>
    <n v="0"/>
    <m/>
    <m/>
    <n v="0"/>
    <m/>
    <m/>
    <n v="0"/>
    <m/>
    <m/>
    <n v="0"/>
    <m/>
    <m/>
    <n v="0"/>
    <m/>
    <m/>
    <n v="0"/>
    <m/>
    <m/>
    <n v="0"/>
    <m/>
    <m/>
    <n v="0"/>
    <m/>
    <m/>
    <n v="0"/>
    <m/>
    <m/>
    <n v="0"/>
    <m/>
    <m/>
    <n v="0"/>
    <m/>
    <m/>
    <n v="0"/>
    <m/>
    <m/>
    <n v="0"/>
    <m/>
    <m/>
    <n v="0"/>
    <m/>
    <m/>
    <n v="0"/>
    <m/>
    <m/>
    <n v="0"/>
    <m/>
    <m/>
    <n v="0"/>
    <m/>
    <m/>
    <n v="0"/>
    <m/>
    <m/>
    <n v="0"/>
    <m/>
    <m/>
    <n v="0"/>
    <m/>
    <m/>
    <n v="0"/>
  </r>
  <r>
    <x v="13"/>
    <s v="Texas State Technical College-Marshall"/>
    <m/>
    <n v="408394"/>
    <x v="8"/>
    <m/>
    <m/>
    <n v="0"/>
    <m/>
    <m/>
    <n v="0"/>
    <m/>
    <m/>
    <n v="0"/>
    <m/>
    <m/>
    <n v="0"/>
    <m/>
    <m/>
    <n v="0"/>
    <m/>
    <m/>
    <n v="0"/>
    <m/>
    <m/>
    <n v="0"/>
    <m/>
    <m/>
    <n v="0"/>
    <m/>
    <m/>
    <n v="0"/>
    <m/>
    <m/>
    <n v="0"/>
    <m/>
    <m/>
    <n v="0"/>
    <m/>
    <m/>
    <n v="0"/>
    <m/>
    <m/>
    <n v="0"/>
    <m/>
    <m/>
    <n v="0"/>
    <n v="1"/>
    <n v="55464"/>
    <n v="45380.644800000002"/>
    <n v="1"/>
    <n v="55464"/>
    <n v="45380.644800000002"/>
    <m/>
    <m/>
    <n v="0"/>
    <m/>
    <m/>
    <n v="0"/>
    <n v="36"/>
    <n v="45517"/>
    <n v="1340712.3384"/>
    <n v="39"/>
    <n v="44653.538461538461"/>
    <n v="1424885.4816000001"/>
    <m/>
    <m/>
    <n v="0"/>
    <m/>
    <m/>
    <n v="0"/>
    <m/>
    <m/>
    <n v="0"/>
    <m/>
    <m/>
    <n v="0"/>
  </r>
  <r>
    <x v="13"/>
    <s v="Texas State Technical College-West Texas"/>
    <m/>
    <n v="229328"/>
    <x v="8"/>
    <m/>
    <m/>
    <n v="0"/>
    <m/>
    <m/>
    <n v="0"/>
    <m/>
    <m/>
    <n v="0"/>
    <m/>
    <m/>
    <n v="0"/>
    <m/>
    <m/>
    <n v="0"/>
    <m/>
    <m/>
    <n v="0"/>
    <m/>
    <m/>
    <n v="0"/>
    <m/>
    <m/>
    <n v="0"/>
    <m/>
    <m/>
    <n v="0"/>
    <m/>
    <m/>
    <n v="0"/>
    <m/>
    <m/>
    <n v="0"/>
    <m/>
    <m/>
    <n v="0"/>
    <m/>
    <m/>
    <n v="0"/>
    <m/>
    <m/>
    <n v="0"/>
    <n v="2"/>
    <n v="53778"/>
    <n v="88002.319199999998"/>
    <n v="2"/>
    <n v="50328"/>
    <n v="82356.739200000011"/>
    <m/>
    <m/>
    <n v="0"/>
    <m/>
    <m/>
    <n v="0"/>
    <n v="87"/>
    <n v="45049.264367816089"/>
    <n v="3206759.8052000003"/>
    <n v="86"/>
    <n v="43418.255813953489"/>
    <n v="3055134.2540000002"/>
    <m/>
    <m/>
    <n v="0"/>
    <m/>
    <m/>
    <n v="0"/>
    <m/>
    <m/>
    <n v="0"/>
    <m/>
    <m/>
    <n v="0"/>
  </r>
  <r>
    <x v="13"/>
    <s v="Western Texas College "/>
    <m/>
    <n v="229832"/>
    <x v="8"/>
    <n v="1"/>
    <n v="65832"/>
    <n v="65832"/>
    <n v="1"/>
    <n v="66729"/>
    <n v="66729"/>
    <n v="2"/>
    <n v="58761.5"/>
    <n v="117523"/>
    <n v="1"/>
    <n v="61832"/>
    <n v="61832"/>
    <n v="9"/>
    <n v="50271.555555555555"/>
    <n v="452444"/>
    <n v="10"/>
    <n v="51646.3"/>
    <n v="516463"/>
    <n v="21"/>
    <n v="43258.619047619046"/>
    <n v="908431"/>
    <n v="20"/>
    <n v="44891.85"/>
    <n v="897837"/>
    <m/>
    <m/>
    <n v="0"/>
    <m/>
    <m/>
    <n v="0"/>
    <m/>
    <m/>
    <n v="0"/>
    <m/>
    <m/>
    <n v="0"/>
    <m/>
    <m/>
    <n v="0"/>
    <m/>
    <m/>
    <n v="0"/>
    <n v="2"/>
    <n v="67880.5"/>
    <n v="111079.6502"/>
    <n v="1"/>
    <n v="67771"/>
    <n v="55450.232200000006"/>
    <n v="1"/>
    <n v="61936"/>
    <n v="50676.035200000006"/>
    <n v="2"/>
    <n v="66400.5"/>
    <n v="108657.7782"/>
    <n v="9"/>
    <n v="56382.777777777781"/>
    <n v="415191.49900000001"/>
    <n v="11"/>
    <n v="55211.272727272728"/>
    <n v="496912.49680000002"/>
    <m/>
    <m/>
    <n v="0"/>
    <m/>
    <m/>
    <n v="0"/>
    <m/>
    <m/>
    <n v="0"/>
    <m/>
    <m/>
    <n v="0"/>
  </r>
  <r>
    <x v="13"/>
    <s v="Texas A &amp; M University - Central Texas"/>
    <s v="New fall 2009. Met the criteria for Four-Year 4 in 2010-11."/>
    <m/>
    <x v="12"/>
    <m/>
    <m/>
    <n v="0"/>
    <m/>
    <m/>
    <n v="0"/>
    <m/>
    <m/>
    <n v="0"/>
    <m/>
    <m/>
    <n v="0"/>
    <m/>
    <m/>
    <n v="0"/>
    <m/>
    <m/>
    <n v="0"/>
    <m/>
    <m/>
    <n v="0"/>
    <m/>
    <m/>
    <n v="0"/>
    <m/>
    <m/>
    <n v="0"/>
    <m/>
    <m/>
    <n v="0"/>
    <m/>
    <m/>
    <n v="0"/>
    <m/>
    <m/>
    <n v="0"/>
    <m/>
    <m/>
    <n v="0"/>
    <m/>
    <m/>
    <n v="0"/>
    <m/>
    <m/>
    <n v="0"/>
    <m/>
    <m/>
    <n v="0"/>
    <m/>
    <m/>
    <n v="0"/>
    <m/>
    <m/>
    <n v="0"/>
    <m/>
    <m/>
    <n v="0"/>
    <m/>
    <m/>
    <n v="0"/>
    <m/>
    <m/>
    <n v="0"/>
    <m/>
    <m/>
    <n v="0"/>
    <m/>
    <m/>
    <n v="0"/>
    <m/>
    <m/>
    <n v="0"/>
  </r>
  <r>
    <x v="13"/>
    <s v="Texas A &amp; M University - San Antonio"/>
    <s v="New fall 2009. Met the criteria for Four-Year 5 in 2010-11."/>
    <n v="870501"/>
    <x v="12"/>
    <m/>
    <m/>
    <n v="0"/>
    <m/>
    <m/>
    <n v="0"/>
    <m/>
    <m/>
    <n v="0"/>
    <m/>
    <m/>
    <n v="0"/>
    <m/>
    <m/>
    <n v="0"/>
    <m/>
    <m/>
    <n v="0"/>
    <m/>
    <m/>
    <n v="0"/>
    <m/>
    <m/>
    <n v="0"/>
    <m/>
    <m/>
    <n v="0"/>
    <m/>
    <m/>
    <n v="0"/>
    <m/>
    <m/>
    <n v="0"/>
    <m/>
    <m/>
    <n v="0"/>
    <m/>
    <m/>
    <n v="0"/>
    <m/>
    <m/>
    <n v="0"/>
    <m/>
    <m/>
    <n v="0"/>
    <m/>
    <m/>
    <n v="0"/>
    <m/>
    <m/>
    <n v="0"/>
    <m/>
    <m/>
    <n v="0"/>
    <m/>
    <m/>
    <n v="0"/>
    <m/>
    <m/>
    <n v="0"/>
    <m/>
    <m/>
    <n v="0"/>
    <m/>
    <m/>
    <n v="0"/>
    <m/>
    <m/>
    <n v="0"/>
    <m/>
    <m/>
    <n v="0"/>
  </r>
  <r>
    <x v="13"/>
    <s v="University of North Texas at Dallas"/>
    <s v="New fall 2009. No degrees yet granted."/>
    <m/>
    <x v="12"/>
    <m/>
    <m/>
    <n v="0"/>
    <n v="186"/>
    <n v="134854.75806451612"/>
    <n v="25082985"/>
    <m/>
    <m/>
    <n v="0"/>
    <n v="116"/>
    <n v="105920.1724137931"/>
    <n v="12286740"/>
    <m/>
    <m/>
    <n v="0"/>
    <n v="101"/>
    <n v="92433.415841584152"/>
    <n v="9335775"/>
    <m/>
    <m/>
    <n v="0"/>
    <m/>
    <m/>
    <n v="0"/>
    <m/>
    <m/>
    <n v="0"/>
    <n v="177"/>
    <n v="63568.310734463274"/>
    <n v="11251591"/>
    <m/>
    <m/>
    <n v="0"/>
    <n v="8"/>
    <n v="84603.875"/>
    <n v="676831"/>
    <m/>
    <m/>
    <n v="0"/>
    <m/>
    <m/>
    <n v="0"/>
    <m/>
    <m/>
    <n v="0"/>
    <m/>
    <m/>
    <n v="0"/>
    <m/>
    <m/>
    <n v="0"/>
    <m/>
    <m/>
    <n v="0"/>
    <m/>
    <m/>
    <n v="0"/>
    <m/>
    <m/>
    <n v="0"/>
    <m/>
    <m/>
    <n v="0"/>
    <m/>
    <m/>
    <n v="0"/>
    <m/>
    <m/>
    <n v="0"/>
    <m/>
    <m/>
    <n v="0"/>
  </r>
  <r>
    <x v="14"/>
    <s v="George Mason University "/>
    <m/>
    <n v="232186"/>
    <x v="0"/>
    <n v="299"/>
    <n v="125238"/>
    <n v="37446162"/>
    <n v="309"/>
    <n v="125447"/>
    <n v="38763123"/>
    <n v="342"/>
    <n v="82933"/>
    <n v="28363086"/>
    <n v="358"/>
    <n v="83567"/>
    <n v="29916986"/>
    <n v="368"/>
    <n v="69676"/>
    <n v="25640768"/>
    <n v="347"/>
    <n v="68864"/>
    <n v="23895808"/>
    <n v="60"/>
    <n v="55208"/>
    <n v="3312480"/>
    <n v="62"/>
    <n v="55340"/>
    <n v="3431080"/>
    <m/>
    <m/>
    <n v="0"/>
    <m/>
    <m/>
    <n v="0"/>
    <m/>
    <m/>
    <n v="0"/>
    <m/>
    <m/>
    <n v="0"/>
    <n v="25"/>
    <n v="171607"/>
    <n v="3510221.1850000001"/>
    <n v="29"/>
    <n v="179882"/>
    <n v="4268204.1195999999"/>
    <n v="20"/>
    <n v="89696"/>
    <n v="1467785.344"/>
    <n v="15"/>
    <n v="89427"/>
    <n v="1097537.571"/>
    <n v="17"/>
    <n v="82489"/>
    <n v="1147372.4966"/>
    <n v="17"/>
    <n v="75638"/>
    <n v="1052079.1972000001"/>
    <n v="7"/>
    <n v="74191"/>
    <n v="424921.53340000001"/>
    <n v="7"/>
    <n v="73718"/>
    <n v="422212.47320000001"/>
    <m/>
    <m/>
    <n v="0"/>
    <m/>
    <m/>
    <n v="0"/>
    <m/>
    <m/>
    <n v="0"/>
    <m/>
    <m/>
    <n v="0"/>
  </r>
  <r>
    <x v="14"/>
    <s v="Old Dominion University "/>
    <m/>
    <n v="232982"/>
    <x v="0"/>
    <n v="131"/>
    <n v="102921"/>
    <n v="13482651"/>
    <n v="140"/>
    <n v="101918"/>
    <n v="14268520"/>
    <n v="172"/>
    <n v="72758"/>
    <n v="12514376"/>
    <n v="178"/>
    <n v="73358"/>
    <n v="13057724"/>
    <n v="138"/>
    <n v="64446"/>
    <n v="8893548"/>
    <n v="144"/>
    <n v="66590"/>
    <n v="9588960"/>
    <n v="31"/>
    <n v="43945"/>
    <n v="1362295"/>
    <n v="33"/>
    <n v="44726"/>
    <n v="1475958"/>
    <n v="120"/>
    <n v="50025"/>
    <n v="6003000"/>
    <n v="125"/>
    <n v="49694"/>
    <n v="6211750"/>
    <m/>
    <m/>
    <n v="0"/>
    <m/>
    <m/>
    <n v="0"/>
    <n v="57"/>
    <n v="124829"/>
    <n v="5821700.0046000006"/>
    <n v="60"/>
    <n v="133719"/>
    <n v="6564533.148"/>
    <n v="22"/>
    <n v="93692"/>
    <n v="1686493.4768000001"/>
    <n v="21"/>
    <n v="94967"/>
    <n v="1631741.9874"/>
    <n v="5"/>
    <n v="69014"/>
    <n v="282336.27400000003"/>
    <n v="5"/>
    <n v="82736"/>
    <n v="338472.97600000002"/>
    <n v="1"/>
    <n v="63654"/>
    <n v="52081.702799999999"/>
    <n v="1"/>
    <n v="63654"/>
    <n v="52081.702799999999"/>
    <n v="19"/>
    <n v="55856"/>
    <n v="868326.20480000007"/>
    <n v="16"/>
    <n v="50957"/>
    <n v="667088.27840000007"/>
    <m/>
    <m/>
    <n v="0"/>
    <m/>
    <m/>
    <n v="0"/>
  </r>
  <r>
    <x v="14"/>
    <s v="University of Virginia"/>
    <m/>
    <n v="234076"/>
    <x v="0"/>
    <n v="391"/>
    <n v="135241"/>
    <n v="52879231"/>
    <n v="404"/>
    <n v="138189"/>
    <n v="55828356"/>
    <n v="250"/>
    <n v="95315"/>
    <n v="23828750"/>
    <n v="246"/>
    <n v="95237"/>
    <n v="23428302"/>
    <n v="209"/>
    <n v="75147"/>
    <n v="15705723"/>
    <n v="194"/>
    <n v="76759"/>
    <n v="14891246"/>
    <n v="9"/>
    <n v="53778"/>
    <n v="484002"/>
    <n v="5"/>
    <n v="51160"/>
    <n v="255800"/>
    <n v="60"/>
    <n v="52263"/>
    <n v="3135780"/>
    <n v="57"/>
    <n v="52928"/>
    <n v="3016896"/>
    <m/>
    <m/>
    <n v="0"/>
    <m/>
    <m/>
    <n v="0"/>
    <n v="123"/>
    <n v="167649"/>
    <n v="16871960.6514"/>
    <n v="118"/>
    <n v="163611"/>
    <n v="15796249.3836"/>
    <n v="65"/>
    <n v="104723"/>
    <n v="5569483.3090000004"/>
    <n v="65"/>
    <n v="100620"/>
    <n v="5351273.46"/>
    <n v="48"/>
    <n v="93931"/>
    <n v="3689008.5216000001"/>
    <n v="38"/>
    <n v="93032"/>
    <n v="2892513.7312000003"/>
    <n v="1"/>
    <n v="60000"/>
    <n v="49092"/>
    <n v="1"/>
    <n v="60000"/>
    <n v="49092"/>
    <n v="27"/>
    <n v="66920"/>
    <n v="1478356.4880000001"/>
    <n v="24"/>
    <n v="66218"/>
    <n v="1300309.6224"/>
    <m/>
    <m/>
    <n v="0"/>
    <m/>
    <m/>
    <n v="0"/>
  </r>
  <r>
    <x v="14"/>
    <s v="Virginia Tech "/>
    <m/>
    <n v="233921"/>
    <x v="0"/>
    <n v="329"/>
    <n v="111492"/>
    <n v="36680868"/>
    <n v="299"/>
    <n v="112321"/>
    <n v="33583979"/>
    <n v="332"/>
    <n v="83094"/>
    <n v="27587208"/>
    <n v="347"/>
    <n v="82171"/>
    <n v="28513337"/>
    <n v="272"/>
    <n v="70186"/>
    <n v="19090592"/>
    <n v="244"/>
    <n v="70698"/>
    <n v="17250312"/>
    <n v="146"/>
    <n v="44852"/>
    <n v="6548392"/>
    <n v="169"/>
    <n v="44751"/>
    <n v="7562919"/>
    <n v="1"/>
    <n v="93142"/>
    <n v="93142"/>
    <m/>
    <m/>
    <n v="0"/>
    <m/>
    <m/>
    <n v="0"/>
    <m/>
    <m/>
    <n v="0"/>
    <n v="162"/>
    <n v="152490"/>
    <n v="20212305.516000003"/>
    <n v="143"/>
    <n v="154019"/>
    <n v="18020623.4494"/>
    <n v="75"/>
    <n v="99984"/>
    <n v="6135518.1600000001"/>
    <n v="64"/>
    <n v="99250"/>
    <n v="5197206.4000000004"/>
    <n v="22"/>
    <n v="89466"/>
    <n v="1610423.7864000001"/>
    <n v="22"/>
    <n v="89384"/>
    <n v="1608947.7536000002"/>
    <n v="21"/>
    <n v="59488"/>
    <n v="1022134.7136"/>
    <n v="14"/>
    <n v="58810"/>
    <n v="673656.78800000006"/>
    <n v="4"/>
    <n v="57363"/>
    <n v="187737.62640000001"/>
    <n v="4"/>
    <n v="58710"/>
    <n v="192146.08800000002"/>
    <m/>
    <m/>
    <n v="0"/>
    <m/>
    <m/>
    <n v="0"/>
  </r>
  <r>
    <x v="14"/>
    <s v="College of William &amp; Mary"/>
    <m/>
    <n v="231624"/>
    <x v="1"/>
    <n v="186"/>
    <n v="116252"/>
    <n v="21622872"/>
    <n v="194"/>
    <n v="114044"/>
    <n v="22124536"/>
    <n v="185"/>
    <n v="80429"/>
    <n v="14879365"/>
    <n v="179"/>
    <n v="81468"/>
    <n v="14582772"/>
    <n v="144"/>
    <n v="66500"/>
    <n v="9576000"/>
    <n v="146"/>
    <n v="66589"/>
    <n v="9721994"/>
    <n v="38"/>
    <n v="45676"/>
    <n v="1735688"/>
    <n v="39"/>
    <n v="42922"/>
    <n v="1673958"/>
    <n v="10"/>
    <n v="67950"/>
    <n v="679500"/>
    <n v="8"/>
    <n v="59388"/>
    <n v="475104"/>
    <m/>
    <m/>
    <n v="0"/>
    <m/>
    <m/>
    <n v="0"/>
    <n v="32"/>
    <n v="120259"/>
    <n v="3148669.2416000003"/>
    <n v="29"/>
    <n v="116893"/>
    <n v="2773613.7254000003"/>
    <n v="11"/>
    <n v="89464"/>
    <n v="805193.89280000003"/>
    <n v="10"/>
    <n v="91250"/>
    <n v="746607.5"/>
    <n v="7"/>
    <n v="69071"/>
    <n v="395597.24540000001"/>
    <n v="8"/>
    <n v="74863"/>
    <n v="490023.25280000002"/>
    <m/>
    <m/>
    <n v="0"/>
    <m/>
    <m/>
    <n v="0"/>
    <m/>
    <m/>
    <n v="0"/>
    <n v="1"/>
    <n v="100000"/>
    <n v="81820"/>
    <m/>
    <m/>
    <n v="0"/>
    <m/>
    <m/>
    <n v="0"/>
  </r>
  <r>
    <x v="14"/>
    <s v="Virginia Commonwealth University"/>
    <m/>
    <n v="234030"/>
    <x v="1"/>
    <n v="134"/>
    <n v="104813"/>
    <n v="14044942"/>
    <n v="131"/>
    <n v="107158"/>
    <n v="14037698"/>
    <n v="216"/>
    <n v="78177"/>
    <n v="16886232"/>
    <n v="225"/>
    <n v="77158"/>
    <n v="17360550"/>
    <n v="211"/>
    <n v="59468"/>
    <n v="12547748"/>
    <n v="223"/>
    <n v="58564"/>
    <n v="13059772"/>
    <n v="92"/>
    <n v="45946"/>
    <n v="4227032"/>
    <n v="126"/>
    <n v="46810"/>
    <n v="5898060"/>
    <m/>
    <m/>
    <n v="0"/>
    <m/>
    <m/>
    <n v="0"/>
    <m/>
    <m/>
    <n v="0"/>
    <m/>
    <m/>
    <n v="0"/>
    <n v="92"/>
    <n v="144093"/>
    <n v="10846514.119200001"/>
    <n v="82"/>
    <n v="140488"/>
    <n v="9425677.0911999997"/>
    <n v="90"/>
    <n v="101889"/>
    <n v="7502902.182"/>
    <n v="76"/>
    <n v="100657"/>
    <n v="6259174.3624"/>
    <n v="155"/>
    <n v="84544"/>
    <n v="10721954.624"/>
    <n v="134"/>
    <n v="84025"/>
    <n v="9212400.1699999999"/>
    <n v="106"/>
    <n v="60025"/>
    <n v="5205920.2300000004"/>
    <n v="109"/>
    <n v="59208"/>
    <n v="5280394.4304"/>
    <m/>
    <m/>
    <n v="0"/>
    <m/>
    <m/>
    <n v="0"/>
    <m/>
    <m/>
    <n v="0"/>
    <m/>
    <m/>
    <n v="0"/>
  </r>
  <r>
    <x v="14"/>
    <s v="James Madison University  "/>
    <m/>
    <n v="232423"/>
    <x v="2"/>
    <n v="214"/>
    <n v="86490"/>
    <n v="18508860"/>
    <n v="216"/>
    <n v="85434"/>
    <n v="18453744"/>
    <n v="207"/>
    <n v="67263"/>
    <n v="13923441"/>
    <n v="210"/>
    <n v="65451"/>
    <n v="13744710"/>
    <n v="279"/>
    <n v="57453"/>
    <n v="16029387"/>
    <n v="270"/>
    <n v="58095"/>
    <n v="15685650"/>
    <n v="103"/>
    <n v="50011"/>
    <n v="5151133"/>
    <n v="112"/>
    <n v="49969"/>
    <n v="5596528"/>
    <m/>
    <m/>
    <n v="0"/>
    <m/>
    <m/>
    <n v="0"/>
    <m/>
    <m/>
    <n v="0"/>
    <m/>
    <m/>
    <n v="0"/>
    <n v="55"/>
    <n v="113130"/>
    <n v="5090963.13"/>
    <n v="51"/>
    <n v="113423"/>
    <n v="4732937.6286000004"/>
    <n v="19"/>
    <n v="89873"/>
    <n v="1397147.6834"/>
    <n v="22"/>
    <n v="99196"/>
    <n v="1785567.6784000001"/>
    <n v="13"/>
    <n v="75527"/>
    <n v="803350.48820000002"/>
    <n v="11"/>
    <n v="79172"/>
    <n v="712563.83440000005"/>
    <n v="16"/>
    <n v="58818"/>
    <n v="769998.20160000003"/>
    <n v="14"/>
    <n v="61442"/>
    <n v="703805.82160000002"/>
    <m/>
    <m/>
    <n v="0"/>
    <m/>
    <m/>
    <n v="0"/>
    <m/>
    <m/>
    <n v="0"/>
    <m/>
    <m/>
    <n v="0"/>
  </r>
  <r>
    <x v="14"/>
    <s v="Norfolk State University "/>
    <m/>
    <n v="232937"/>
    <x v="2"/>
    <n v="61"/>
    <n v="80739"/>
    <n v="4925079"/>
    <n v="66"/>
    <n v="81225"/>
    <n v="5360850"/>
    <n v="51"/>
    <n v="68932"/>
    <n v="3515532"/>
    <n v="47"/>
    <n v="68730"/>
    <n v="3230310"/>
    <n v="76"/>
    <n v="57417"/>
    <n v="4363692"/>
    <n v="77"/>
    <n v="56547"/>
    <n v="4354119"/>
    <n v="46"/>
    <n v="50543"/>
    <n v="2324978"/>
    <n v="42"/>
    <n v="51349"/>
    <n v="2156658"/>
    <m/>
    <m/>
    <n v="0"/>
    <m/>
    <m/>
    <n v="0"/>
    <m/>
    <m/>
    <n v="0"/>
    <m/>
    <m/>
    <n v="0"/>
    <n v="17"/>
    <n v="93105"/>
    <n v="1295034.6870000002"/>
    <n v="13"/>
    <n v="96775"/>
    <n v="1029356.9650000001"/>
    <n v="9"/>
    <n v="88659"/>
    <n v="652867.14419999998"/>
    <n v="12"/>
    <n v="87421"/>
    <n v="858334.34640000004"/>
    <n v="5"/>
    <n v="70535"/>
    <n v="288558.685"/>
    <n v="5"/>
    <n v="69666"/>
    <n v="285003.60600000003"/>
    <n v="5"/>
    <n v="57956"/>
    <n v="237097.99600000001"/>
    <n v="7"/>
    <n v="55480"/>
    <n v="317756.152"/>
    <m/>
    <m/>
    <n v="0"/>
    <m/>
    <m/>
    <n v="0"/>
    <m/>
    <m/>
    <n v="0"/>
    <m/>
    <m/>
    <n v="0"/>
  </r>
  <r>
    <x v="14"/>
    <s v="Radford University"/>
    <m/>
    <n v="233277"/>
    <x v="3"/>
    <n v="113"/>
    <n v="77347"/>
    <n v="8740211"/>
    <n v="113"/>
    <n v="76721"/>
    <n v="8669473"/>
    <n v="87"/>
    <n v="63846"/>
    <n v="5554602"/>
    <n v="91"/>
    <n v="64429"/>
    <n v="5863039"/>
    <n v="132"/>
    <n v="57209"/>
    <n v="7551588"/>
    <n v="127"/>
    <n v="56543"/>
    <n v="7180961"/>
    <n v="50"/>
    <n v="49596"/>
    <n v="2479800"/>
    <n v="55"/>
    <n v="49254"/>
    <n v="2708970"/>
    <m/>
    <m/>
    <n v="0"/>
    <m/>
    <m/>
    <n v="0"/>
    <m/>
    <m/>
    <n v="0"/>
    <m/>
    <m/>
    <n v="0"/>
    <n v="2"/>
    <n v="85383"/>
    <n v="139720.74120000002"/>
    <n v="1"/>
    <n v="100000"/>
    <n v="81820"/>
    <n v="1"/>
    <n v="128000"/>
    <n v="104729.60000000001"/>
    <n v="2"/>
    <n v="106072"/>
    <n v="173576.22080000001"/>
    <m/>
    <m/>
    <n v="0"/>
    <n v="2"/>
    <n v="82750"/>
    <n v="135412.1"/>
    <n v="2"/>
    <n v="51698"/>
    <n v="84598.607199999999"/>
    <n v="2"/>
    <n v="51698"/>
    <n v="84598.607199999999"/>
    <m/>
    <m/>
    <n v="0"/>
    <m/>
    <m/>
    <n v="0"/>
    <m/>
    <m/>
    <n v="0"/>
    <m/>
    <m/>
    <n v="0"/>
  </r>
  <r>
    <x v="14"/>
    <s v="Virginia State University "/>
    <m/>
    <n v="234155"/>
    <x v="3"/>
    <n v="35"/>
    <n v="78026"/>
    <n v="2730910"/>
    <n v="29"/>
    <n v="73233"/>
    <n v="2123757"/>
    <n v="79"/>
    <n v="64746"/>
    <n v="5114934"/>
    <n v="74"/>
    <n v="63762"/>
    <n v="4718388"/>
    <n v="78"/>
    <n v="61543"/>
    <n v="4800354"/>
    <n v="73"/>
    <n v="62855"/>
    <n v="4588415"/>
    <n v="18"/>
    <n v="52012"/>
    <n v="936216"/>
    <n v="12"/>
    <n v="52517"/>
    <n v="630204"/>
    <m/>
    <m/>
    <n v="0"/>
    <m/>
    <m/>
    <n v="0"/>
    <m/>
    <m/>
    <n v="0"/>
    <m/>
    <m/>
    <n v="0"/>
    <n v="16"/>
    <n v="104812"/>
    <n v="1372114.8544000001"/>
    <n v="21"/>
    <n v="102453"/>
    <n v="1760367.9366000001"/>
    <n v="13"/>
    <n v="74331"/>
    <n v="790629.11460000009"/>
    <n v="19"/>
    <n v="81896"/>
    <n v="1273138.8368000002"/>
    <n v="6"/>
    <n v="71679"/>
    <n v="351886.54680000001"/>
    <n v="14"/>
    <n v="90713"/>
    <n v="1039099.2724"/>
    <n v="2"/>
    <n v="57560"/>
    <n v="94191.184000000008"/>
    <n v="4"/>
    <n v="52780"/>
    <n v="172738.38400000002"/>
    <m/>
    <m/>
    <n v="0"/>
    <n v="1"/>
    <n v="50529"/>
    <n v="41342.827799999999"/>
    <m/>
    <m/>
    <n v="0"/>
    <m/>
    <m/>
    <n v="0"/>
  </r>
  <r>
    <x v="14"/>
    <s v="Christopher Newport University"/>
    <m/>
    <n v="231712"/>
    <x v="4"/>
    <n v="40"/>
    <n v="97514"/>
    <n v="3900560"/>
    <n v="39"/>
    <n v="97432"/>
    <n v="3799848"/>
    <n v="71"/>
    <n v="74682"/>
    <n v="5302422"/>
    <n v="78"/>
    <n v="73087"/>
    <n v="5700786"/>
    <n v="86"/>
    <n v="57802"/>
    <n v="4970972"/>
    <n v="65"/>
    <n v="56727"/>
    <n v="3687255"/>
    <n v="39"/>
    <n v="48887"/>
    <n v="1906593"/>
    <n v="61"/>
    <n v="50135"/>
    <n v="3058235"/>
    <m/>
    <m/>
    <n v="0"/>
    <m/>
    <m/>
    <n v="0"/>
    <m/>
    <m/>
    <n v="0"/>
    <m/>
    <m/>
    <n v="0"/>
    <m/>
    <m/>
    <n v="0"/>
    <m/>
    <m/>
    <n v="0"/>
    <m/>
    <m/>
    <n v="0"/>
    <m/>
    <m/>
    <n v="0"/>
    <m/>
    <m/>
    <n v="0"/>
    <m/>
    <m/>
    <n v="0"/>
    <m/>
    <m/>
    <n v="0"/>
    <m/>
    <m/>
    <n v="0"/>
    <m/>
    <m/>
    <n v="0"/>
    <m/>
    <m/>
    <n v="0"/>
    <m/>
    <m/>
    <n v="0"/>
    <m/>
    <m/>
    <n v="0"/>
  </r>
  <r>
    <x v="14"/>
    <s v="Longwood University "/>
    <s v="Reclassified: met criteria for SREB Four-Year 4 in 2008-09, 2009-10 and 2010-11."/>
    <n v="232566"/>
    <x v="4"/>
    <n v="45"/>
    <n v="74310"/>
    <n v="3343950"/>
    <n v="45"/>
    <n v="77287"/>
    <n v="3477915"/>
    <n v="68"/>
    <n v="63104"/>
    <n v="4291072"/>
    <n v="70"/>
    <n v="62978"/>
    <n v="4408460"/>
    <n v="64"/>
    <n v="52504"/>
    <n v="3360256"/>
    <n v="68"/>
    <n v="53778"/>
    <n v="3656904"/>
    <n v="4"/>
    <n v="49045"/>
    <n v="196180"/>
    <n v="4"/>
    <n v="56383"/>
    <n v="225532"/>
    <n v="26"/>
    <n v="41639"/>
    <n v="1082614"/>
    <n v="27"/>
    <n v="42861"/>
    <n v="1157247"/>
    <m/>
    <m/>
    <n v="0"/>
    <m/>
    <m/>
    <n v="0"/>
    <m/>
    <m/>
    <n v="0"/>
    <n v="5"/>
    <n v="83308"/>
    <n v="340813.02799999999"/>
    <m/>
    <m/>
    <n v="0"/>
    <n v="11"/>
    <n v="71975"/>
    <n v="647789.39500000002"/>
    <m/>
    <m/>
    <n v="0"/>
    <m/>
    <m/>
    <n v="0"/>
    <m/>
    <m/>
    <n v="0"/>
    <m/>
    <m/>
    <n v="0"/>
    <m/>
    <m/>
    <n v="0"/>
    <m/>
    <m/>
    <n v="0"/>
    <m/>
    <m/>
    <n v="0"/>
    <m/>
    <m/>
    <n v="0"/>
  </r>
  <r>
    <x v="14"/>
    <s v="University of Mary Washington "/>
    <m/>
    <n v="232681"/>
    <x v="4"/>
    <n v="71"/>
    <n v="84438"/>
    <n v="5995098"/>
    <n v="72"/>
    <n v="83191"/>
    <n v="5989752"/>
    <n v="66"/>
    <n v="65102"/>
    <n v="4296732"/>
    <n v="69"/>
    <n v="63386"/>
    <n v="4373634"/>
    <n v="62"/>
    <n v="53209"/>
    <n v="3298958"/>
    <n v="58"/>
    <n v="53768"/>
    <n v="3118544"/>
    <n v="4"/>
    <n v="56135"/>
    <n v="224540"/>
    <n v="3"/>
    <n v="52667"/>
    <n v="158001"/>
    <n v="13"/>
    <n v="57602"/>
    <n v="748826"/>
    <n v="14"/>
    <n v="57386"/>
    <n v="803404"/>
    <m/>
    <m/>
    <n v="0"/>
    <m/>
    <m/>
    <n v="0"/>
    <n v="5"/>
    <n v="91922"/>
    <n v="376052.902"/>
    <n v="1"/>
    <n v="115000"/>
    <n v="94093"/>
    <n v="14"/>
    <n v="72357"/>
    <n v="828834.96360000002"/>
    <m/>
    <m/>
    <n v="0"/>
    <n v="4"/>
    <n v="71160"/>
    <n v="232892.448"/>
    <n v="5"/>
    <n v="67400"/>
    <n v="275733.40000000002"/>
    <n v="3"/>
    <n v="62831"/>
    <n v="154224.97260000001"/>
    <n v="2"/>
    <n v="64046"/>
    <n v="104804.8744"/>
    <m/>
    <m/>
    <n v="0"/>
    <m/>
    <m/>
    <n v="0"/>
    <m/>
    <m/>
    <n v="0"/>
    <m/>
    <m/>
    <n v="0"/>
  </r>
  <r>
    <x v="14"/>
    <s v="University of Virginia's College at Wise "/>
    <m/>
    <n v="233897"/>
    <x v="5"/>
    <n v="18"/>
    <n v="77478"/>
    <n v="1394604"/>
    <n v="18"/>
    <n v="73928"/>
    <n v="1330704"/>
    <n v="26"/>
    <n v="58292"/>
    <n v="1515592"/>
    <n v="29"/>
    <n v="60041"/>
    <n v="1741189"/>
    <n v="25"/>
    <n v="53792"/>
    <n v="1344800"/>
    <n v="20"/>
    <n v="55810"/>
    <n v="1116200"/>
    <n v="21"/>
    <n v="43310"/>
    <n v="909510"/>
    <n v="21"/>
    <n v="43300"/>
    <n v="909300"/>
    <n v="3"/>
    <n v="39033"/>
    <n v="117099"/>
    <n v="1"/>
    <n v="41100"/>
    <n v="41100"/>
    <m/>
    <m/>
    <n v="0"/>
    <m/>
    <m/>
    <n v="0"/>
    <m/>
    <m/>
    <n v="0"/>
    <m/>
    <m/>
    <n v="0"/>
    <m/>
    <m/>
    <n v="0"/>
    <m/>
    <m/>
    <n v="0"/>
    <m/>
    <m/>
    <n v="0"/>
    <m/>
    <m/>
    <n v="0"/>
    <m/>
    <m/>
    <n v="0"/>
    <n v="1"/>
    <n v="52300"/>
    <n v="42791.86"/>
    <m/>
    <m/>
    <n v="0"/>
    <m/>
    <m/>
    <n v="0"/>
    <m/>
    <m/>
    <n v="0"/>
    <m/>
    <m/>
    <n v="0"/>
  </r>
  <r>
    <x v="14"/>
    <s v="J.S. Reynolds Community College"/>
    <m/>
    <n v="232414"/>
    <x v="6"/>
    <m/>
    <m/>
    <n v="0"/>
    <m/>
    <m/>
    <n v="0"/>
    <m/>
    <m/>
    <n v="0"/>
    <m/>
    <m/>
    <n v="0"/>
    <m/>
    <m/>
    <n v="0"/>
    <m/>
    <m/>
    <n v="0"/>
    <m/>
    <m/>
    <n v="0"/>
    <m/>
    <m/>
    <n v="0"/>
    <m/>
    <m/>
    <n v="0"/>
    <m/>
    <m/>
    <n v="0"/>
    <m/>
    <m/>
    <n v="0"/>
    <m/>
    <m/>
    <n v="0"/>
    <m/>
    <m/>
    <n v="0"/>
    <m/>
    <m/>
    <n v="0"/>
    <m/>
    <m/>
    <n v="0"/>
    <m/>
    <m/>
    <n v="0"/>
    <m/>
    <m/>
    <n v="0"/>
    <m/>
    <m/>
    <n v="0"/>
    <m/>
    <m/>
    <n v="0"/>
    <m/>
    <m/>
    <n v="0"/>
    <m/>
    <m/>
    <n v="0"/>
    <m/>
    <m/>
    <n v="0"/>
    <m/>
    <m/>
    <n v="0"/>
    <m/>
    <m/>
    <n v="0"/>
  </r>
  <r>
    <x v="14"/>
    <s v="Northern Virginia Community College "/>
    <m/>
    <n v="232946"/>
    <x v="6"/>
    <m/>
    <m/>
    <n v="0"/>
    <m/>
    <m/>
    <n v="0"/>
    <m/>
    <m/>
    <n v="0"/>
    <m/>
    <m/>
    <n v="0"/>
    <m/>
    <m/>
    <n v="0"/>
    <m/>
    <m/>
    <n v="0"/>
    <m/>
    <m/>
    <n v="0"/>
    <m/>
    <m/>
    <n v="0"/>
    <m/>
    <m/>
    <n v="0"/>
    <m/>
    <m/>
    <n v="0"/>
    <m/>
    <m/>
    <n v="0"/>
    <m/>
    <m/>
    <n v="0"/>
    <m/>
    <m/>
    <n v="0"/>
    <m/>
    <m/>
    <n v="0"/>
    <m/>
    <m/>
    <n v="0"/>
    <m/>
    <m/>
    <n v="0"/>
    <m/>
    <m/>
    <n v="0"/>
    <m/>
    <m/>
    <n v="0"/>
    <m/>
    <m/>
    <n v="0"/>
    <m/>
    <m/>
    <n v="0"/>
    <m/>
    <m/>
    <n v="0"/>
    <m/>
    <m/>
    <n v="0"/>
    <m/>
    <m/>
    <n v="0"/>
    <m/>
    <m/>
    <n v="0"/>
  </r>
  <r>
    <x v="14"/>
    <s v="Thomas Nelson Community College "/>
    <m/>
    <n v="233754"/>
    <x v="6"/>
    <m/>
    <m/>
    <n v="0"/>
    <m/>
    <m/>
    <n v="0"/>
    <m/>
    <m/>
    <n v="0"/>
    <m/>
    <m/>
    <n v="0"/>
    <m/>
    <m/>
    <n v="0"/>
    <m/>
    <m/>
    <n v="0"/>
    <m/>
    <m/>
    <n v="0"/>
    <m/>
    <m/>
    <n v="0"/>
    <m/>
    <m/>
    <n v="0"/>
    <m/>
    <m/>
    <n v="0"/>
    <m/>
    <m/>
    <n v="0"/>
    <m/>
    <m/>
    <n v="0"/>
    <m/>
    <m/>
    <n v="0"/>
    <m/>
    <m/>
    <n v="0"/>
    <m/>
    <m/>
    <n v="0"/>
    <m/>
    <m/>
    <n v="0"/>
    <m/>
    <m/>
    <n v="0"/>
    <m/>
    <m/>
    <n v="0"/>
    <m/>
    <m/>
    <n v="0"/>
    <m/>
    <m/>
    <n v="0"/>
    <m/>
    <m/>
    <n v="0"/>
    <m/>
    <m/>
    <n v="0"/>
    <m/>
    <m/>
    <n v="0"/>
    <m/>
    <m/>
    <n v="0"/>
  </r>
  <r>
    <x v="14"/>
    <s v="Tidewater Community College "/>
    <m/>
    <n v="233772"/>
    <x v="6"/>
    <m/>
    <m/>
    <n v="0"/>
    <m/>
    <m/>
    <n v="0"/>
    <m/>
    <m/>
    <n v="0"/>
    <m/>
    <m/>
    <n v="0"/>
    <m/>
    <m/>
    <n v="0"/>
    <m/>
    <m/>
    <n v="0"/>
    <m/>
    <m/>
    <n v="0"/>
    <m/>
    <m/>
    <n v="0"/>
    <m/>
    <m/>
    <n v="0"/>
    <m/>
    <m/>
    <n v="0"/>
    <m/>
    <m/>
    <n v="0"/>
    <m/>
    <m/>
    <n v="0"/>
    <m/>
    <m/>
    <n v="0"/>
    <m/>
    <m/>
    <n v="0"/>
    <m/>
    <m/>
    <n v="0"/>
    <m/>
    <m/>
    <n v="0"/>
    <m/>
    <m/>
    <n v="0"/>
    <m/>
    <m/>
    <n v="0"/>
    <m/>
    <m/>
    <n v="0"/>
    <m/>
    <m/>
    <n v="0"/>
    <m/>
    <m/>
    <n v="0"/>
    <m/>
    <m/>
    <n v="0"/>
    <m/>
    <m/>
    <n v="0"/>
    <m/>
    <m/>
    <n v="0"/>
  </r>
  <r>
    <x v="14"/>
    <s v="Blue Ridge Community College "/>
    <m/>
    <n v="231536"/>
    <x v="7"/>
    <m/>
    <m/>
    <n v="0"/>
    <m/>
    <m/>
    <n v="0"/>
    <m/>
    <m/>
    <n v="0"/>
    <m/>
    <m/>
    <n v="0"/>
    <m/>
    <m/>
    <n v="0"/>
    <m/>
    <m/>
    <n v="0"/>
    <m/>
    <m/>
    <n v="0"/>
    <m/>
    <m/>
    <n v="0"/>
    <m/>
    <m/>
    <n v="0"/>
    <m/>
    <m/>
    <n v="0"/>
    <m/>
    <m/>
    <n v="0"/>
    <m/>
    <m/>
    <n v="0"/>
    <m/>
    <m/>
    <n v="0"/>
    <m/>
    <m/>
    <n v="0"/>
    <m/>
    <m/>
    <n v="0"/>
    <m/>
    <m/>
    <n v="0"/>
    <m/>
    <m/>
    <n v="0"/>
    <m/>
    <m/>
    <n v="0"/>
    <m/>
    <m/>
    <n v="0"/>
    <m/>
    <m/>
    <n v="0"/>
    <m/>
    <m/>
    <n v="0"/>
    <m/>
    <m/>
    <n v="0"/>
    <m/>
    <m/>
    <n v="0"/>
    <m/>
    <m/>
    <n v="0"/>
  </r>
  <r>
    <x v="14"/>
    <s v="Central Virginia Community College "/>
    <m/>
    <n v="231697"/>
    <x v="7"/>
    <m/>
    <m/>
    <n v="0"/>
    <m/>
    <m/>
    <n v="0"/>
    <m/>
    <m/>
    <n v="0"/>
    <m/>
    <m/>
    <n v="0"/>
    <m/>
    <m/>
    <n v="0"/>
    <m/>
    <m/>
    <n v="0"/>
    <m/>
    <m/>
    <n v="0"/>
    <m/>
    <m/>
    <n v="0"/>
    <m/>
    <m/>
    <n v="0"/>
    <m/>
    <m/>
    <n v="0"/>
    <m/>
    <m/>
    <n v="0"/>
    <m/>
    <m/>
    <n v="0"/>
    <m/>
    <m/>
    <n v="0"/>
    <m/>
    <m/>
    <n v="0"/>
    <m/>
    <m/>
    <n v="0"/>
    <m/>
    <m/>
    <n v="0"/>
    <m/>
    <m/>
    <n v="0"/>
    <m/>
    <m/>
    <n v="0"/>
    <m/>
    <m/>
    <n v="0"/>
    <m/>
    <m/>
    <n v="0"/>
    <m/>
    <m/>
    <n v="0"/>
    <m/>
    <m/>
    <n v="0"/>
    <m/>
    <m/>
    <n v="0"/>
    <m/>
    <m/>
    <n v="0"/>
  </r>
  <r>
    <x v="14"/>
    <s v="Danville Community College "/>
    <m/>
    <n v="231882"/>
    <x v="7"/>
    <m/>
    <m/>
    <n v="0"/>
    <m/>
    <m/>
    <n v="0"/>
    <m/>
    <m/>
    <n v="0"/>
    <m/>
    <m/>
    <n v="0"/>
    <m/>
    <m/>
    <n v="0"/>
    <m/>
    <m/>
    <n v="0"/>
    <m/>
    <m/>
    <n v="0"/>
    <m/>
    <m/>
    <n v="0"/>
    <m/>
    <m/>
    <n v="0"/>
    <m/>
    <m/>
    <n v="0"/>
    <m/>
    <m/>
    <n v="0"/>
    <m/>
    <m/>
    <n v="0"/>
    <m/>
    <m/>
    <n v="0"/>
    <m/>
    <m/>
    <n v="0"/>
    <m/>
    <m/>
    <n v="0"/>
    <m/>
    <m/>
    <n v="0"/>
    <m/>
    <m/>
    <n v="0"/>
    <m/>
    <m/>
    <n v="0"/>
    <m/>
    <m/>
    <n v="0"/>
    <m/>
    <m/>
    <n v="0"/>
    <m/>
    <m/>
    <n v="0"/>
    <m/>
    <m/>
    <n v="0"/>
    <m/>
    <m/>
    <n v="0"/>
    <m/>
    <m/>
    <n v="0"/>
  </r>
  <r>
    <x v="14"/>
    <s v="Germanna Community College"/>
    <m/>
    <n v="232195"/>
    <x v="7"/>
    <m/>
    <m/>
    <n v="0"/>
    <m/>
    <m/>
    <n v="0"/>
    <m/>
    <m/>
    <n v="0"/>
    <m/>
    <m/>
    <n v="0"/>
    <m/>
    <m/>
    <n v="0"/>
    <m/>
    <m/>
    <n v="0"/>
    <m/>
    <m/>
    <n v="0"/>
    <m/>
    <m/>
    <n v="0"/>
    <m/>
    <m/>
    <n v="0"/>
    <m/>
    <m/>
    <n v="0"/>
    <m/>
    <m/>
    <n v="0"/>
    <m/>
    <m/>
    <n v="0"/>
    <m/>
    <m/>
    <n v="0"/>
    <m/>
    <m/>
    <n v="0"/>
    <m/>
    <m/>
    <n v="0"/>
    <m/>
    <m/>
    <n v="0"/>
    <m/>
    <m/>
    <n v="0"/>
    <m/>
    <m/>
    <n v="0"/>
    <m/>
    <m/>
    <n v="0"/>
    <m/>
    <m/>
    <n v="0"/>
    <m/>
    <m/>
    <n v="0"/>
    <m/>
    <m/>
    <n v="0"/>
    <m/>
    <m/>
    <n v="0"/>
    <m/>
    <m/>
    <n v="0"/>
  </r>
  <r>
    <x v="14"/>
    <s v="John Tyler Community College"/>
    <m/>
    <n v="232450"/>
    <x v="7"/>
    <m/>
    <m/>
    <n v="0"/>
    <m/>
    <m/>
    <n v="0"/>
    <m/>
    <m/>
    <n v="0"/>
    <m/>
    <m/>
    <n v="0"/>
    <m/>
    <m/>
    <n v="0"/>
    <m/>
    <m/>
    <n v="0"/>
    <m/>
    <m/>
    <n v="0"/>
    <m/>
    <m/>
    <n v="0"/>
    <m/>
    <m/>
    <n v="0"/>
    <m/>
    <m/>
    <n v="0"/>
    <m/>
    <m/>
    <n v="0"/>
    <m/>
    <m/>
    <n v="0"/>
    <m/>
    <m/>
    <n v="0"/>
    <m/>
    <m/>
    <n v="0"/>
    <m/>
    <m/>
    <n v="0"/>
    <m/>
    <m/>
    <n v="0"/>
    <m/>
    <m/>
    <n v="0"/>
    <m/>
    <m/>
    <n v="0"/>
    <m/>
    <m/>
    <n v="0"/>
    <m/>
    <m/>
    <n v="0"/>
    <m/>
    <m/>
    <n v="0"/>
    <m/>
    <m/>
    <n v="0"/>
    <m/>
    <m/>
    <n v="0"/>
    <m/>
    <m/>
    <n v="0"/>
  </r>
  <r>
    <x v="14"/>
    <s v="Lord Fairfax Community College  "/>
    <m/>
    <n v="232575"/>
    <x v="7"/>
    <m/>
    <m/>
    <n v="0"/>
    <m/>
    <m/>
    <n v="0"/>
    <m/>
    <m/>
    <n v="0"/>
    <m/>
    <m/>
    <n v="0"/>
    <m/>
    <m/>
    <n v="0"/>
    <m/>
    <m/>
    <n v="0"/>
    <m/>
    <m/>
    <n v="0"/>
    <m/>
    <m/>
    <n v="0"/>
    <m/>
    <m/>
    <n v="0"/>
    <m/>
    <m/>
    <n v="0"/>
    <m/>
    <m/>
    <n v="0"/>
    <m/>
    <m/>
    <n v="0"/>
    <m/>
    <m/>
    <n v="0"/>
    <m/>
    <m/>
    <n v="0"/>
    <m/>
    <m/>
    <n v="0"/>
    <m/>
    <m/>
    <n v="0"/>
    <m/>
    <m/>
    <n v="0"/>
    <m/>
    <m/>
    <n v="0"/>
    <m/>
    <m/>
    <n v="0"/>
    <m/>
    <m/>
    <n v="0"/>
    <m/>
    <m/>
    <n v="0"/>
    <m/>
    <m/>
    <n v="0"/>
    <m/>
    <m/>
    <n v="0"/>
    <m/>
    <m/>
    <n v="0"/>
  </r>
  <r>
    <x v="14"/>
    <s v="New River Community College "/>
    <m/>
    <n v="232867"/>
    <x v="7"/>
    <m/>
    <m/>
    <n v="0"/>
    <m/>
    <m/>
    <n v="0"/>
    <m/>
    <m/>
    <n v="0"/>
    <m/>
    <m/>
    <n v="0"/>
    <m/>
    <m/>
    <n v="0"/>
    <m/>
    <m/>
    <n v="0"/>
    <m/>
    <m/>
    <n v="0"/>
    <m/>
    <m/>
    <n v="0"/>
    <m/>
    <m/>
    <n v="0"/>
    <m/>
    <m/>
    <n v="0"/>
    <m/>
    <m/>
    <n v="0"/>
    <m/>
    <m/>
    <n v="0"/>
    <m/>
    <m/>
    <n v="0"/>
    <m/>
    <m/>
    <n v="0"/>
    <m/>
    <m/>
    <n v="0"/>
    <m/>
    <m/>
    <n v="0"/>
    <m/>
    <m/>
    <n v="0"/>
    <m/>
    <m/>
    <n v="0"/>
    <m/>
    <m/>
    <n v="0"/>
    <m/>
    <m/>
    <n v="0"/>
    <m/>
    <m/>
    <n v="0"/>
    <m/>
    <m/>
    <n v="0"/>
    <m/>
    <m/>
    <n v="0"/>
    <m/>
    <m/>
    <n v="0"/>
  </r>
  <r>
    <x v="14"/>
    <s v="Piedmont Virginia Community College "/>
    <m/>
    <n v="233116"/>
    <x v="7"/>
    <m/>
    <m/>
    <n v="0"/>
    <m/>
    <m/>
    <n v="0"/>
    <m/>
    <m/>
    <n v="0"/>
    <m/>
    <m/>
    <n v="0"/>
    <m/>
    <m/>
    <n v="0"/>
    <m/>
    <m/>
    <n v="0"/>
    <m/>
    <m/>
    <n v="0"/>
    <m/>
    <m/>
    <n v="0"/>
    <m/>
    <m/>
    <n v="0"/>
    <m/>
    <m/>
    <n v="0"/>
    <m/>
    <m/>
    <n v="0"/>
    <m/>
    <m/>
    <n v="0"/>
    <m/>
    <m/>
    <n v="0"/>
    <m/>
    <m/>
    <n v="0"/>
    <m/>
    <m/>
    <n v="0"/>
    <m/>
    <m/>
    <n v="0"/>
    <m/>
    <m/>
    <n v="0"/>
    <m/>
    <m/>
    <n v="0"/>
    <m/>
    <m/>
    <n v="0"/>
    <m/>
    <m/>
    <n v="0"/>
    <m/>
    <m/>
    <n v="0"/>
    <m/>
    <m/>
    <n v="0"/>
    <m/>
    <m/>
    <n v="0"/>
    <m/>
    <m/>
    <n v="0"/>
  </r>
  <r>
    <x v="14"/>
    <s v="Southside Virginia Community College  "/>
    <m/>
    <n v="233639"/>
    <x v="7"/>
    <m/>
    <m/>
    <n v="0"/>
    <m/>
    <m/>
    <n v="0"/>
    <m/>
    <m/>
    <n v="0"/>
    <m/>
    <m/>
    <n v="0"/>
    <m/>
    <m/>
    <n v="0"/>
    <m/>
    <m/>
    <n v="0"/>
    <m/>
    <m/>
    <n v="0"/>
    <m/>
    <m/>
    <n v="0"/>
    <m/>
    <m/>
    <n v="0"/>
    <m/>
    <m/>
    <n v="0"/>
    <m/>
    <m/>
    <n v="0"/>
    <m/>
    <m/>
    <n v="0"/>
    <m/>
    <m/>
    <n v="0"/>
    <m/>
    <m/>
    <n v="0"/>
    <m/>
    <m/>
    <n v="0"/>
    <m/>
    <m/>
    <n v="0"/>
    <m/>
    <m/>
    <n v="0"/>
    <m/>
    <m/>
    <n v="0"/>
    <m/>
    <m/>
    <n v="0"/>
    <m/>
    <m/>
    <n v="0"/>
    <m/>
    <m/>
    <n v="0"/>
    <m/>
    <m/>
    <n v="0"/>
    <m/>
    <m/>
    <n v="0"/>
    <m/>
    <m/>
    <n v="0"/>
  </r>
  <r>
    <x v="14"/>
    <s v="Southwest Virginia Community College "/>
    <m/>
    <n v="233648"/>
    <x v="7"/>
    <m/>
    <m/>
    <n v="0"/>
    <m/>
    <m/>
    <n v="0"/>
    <m/>
    <m/>
    <n v="0"/>
    <m/>
    <m/>
    <n v="0"/>
    <m/>
    <m/>
    <n v="0"/>
    <m/>
    <m/>
    <n v="0"/>
    <m/>
    <m/>
    <n v="0"/>
    <m/>
    <m/>
    <n v="0"/>
    <m/>
    <m/>
    <n v="0"/>
    <m/>
    <m/>
    <n v="0"/>
    <m/>
    <m/>
    <n v="0"/>
    <m/>
    <m/>
    <n v="0"/>
    <m/>
    <m/>
    <n v="0"/>
    <m/>
    <m/>
    <n v="0"/>
    <m/>
    <m/>
    <n v="0"/>
    <m/>
    <m/>
    <n v="0"/>
    <m/>
    <m/>
    <n v="0"/>
    <m/>
    <m/>
    <n v="0"/>
    <m/>
    <m/>
    <n v="0"/>
    <m/>
    <m/>
    <n v="0"/>
    <m/>
    <m/>
    <n v="0"/>
    <m/>
    <m/>
    <n v="0"/>
    <m/>
    <m/>
    <n v="0"/>
    <m/>
    <m/>
    <n v="0"/>
  </r>
  <r>
    <x v="14"/>
    <s v="Virginia Western Community College "/>
    <s v="Met the criteria for Two-Year 1 in 2010-11."/>
    <n v="233949"/>
    <x v="7"/>
    <m/>
    <m/>
    <n v="0"/>
    <m/>
    <m/>
    <n v="0"/>
    <m/>
    <m/>
    <n v="0"/>
    <m/>
    <m/>
    <n v="0"/>
    <m/>
    <m/>
    <n v="0"/>
    <m/>
    <m/>
    <n v="0"/>
    <m/>
    <m/>
    <n v="0"/>
    <m/>
    <m/>
    <n v="0"/>
    <m/>
    <m/>
    <n v="0"/>
    <m/>
    <m/>
    <n v="0"/>
    <m/>
    <m/>
    <n v="0"/>
    <m/>
    <m/>
    <n v="0"/>
    <m/>
    <m/>
    <n v="0"/>
    <m/>
    <m/>
    <n v="0"/>
    <m/>
    <m/>
    <n v="0"/>
    <m/>
    <m/>
    <n v="0"/>
    <m/>
    <m/>
    <n v="0"/>
    <m/>
    <m/>
    <n v="0"/>
    <m/>
    <m/>
    <n v="0"/>
    <m/>
    <m/>
    <n v="0"/>
    <m/>
    <m/>
    <n v="0"/>
    <m/>
    <m/>
    <n v="0"/>
    <m/>
    <m/>
    <n v="0"/>
    <m/>
    <m/>
    <n v="0"/>
  </r>
  <r>
    <x v="14"/>
    <s v="D.S. Lancaster Community College "/>
    <m/>
    <n v="231873"/>
    <x v="8"/>
    <m/>
    <m/>
    <n v="0"/>
    <m/>
    <m/>
    <n v="0"/>
    <m/>
    <m/>
    <n v="0"/>
    <m/>
    <m/>
    <n v="0"/>
    <m/>
    <m/>
    <n v="0"/>
    <m/>
    <m/>
    <n v="0"/>
    <m/>
    <m/>
    <n v="0"/>
    <m/>
    <m/>
    <n v="0"/>
    <m/>
    <m/>
    <n v="0"/>
    <m/>
    <m/>
    <n v="0"/>
    <m/>
    <m/>
    <n v="0"/>
    <m/>
    <m/>
    <n v="0"/>
    <m/>
    <m/>
    <n v="0"/>
    <m/>
    <m/>
    <n v="0"/>
    <m/>
    <m/>
    <n v="0"/>
    <m/>
    <m/>
    <n v="0"/>
    <m/>
    <m/>
    <n v="0"/>
    <m/>
    <m/>
    <n v="0"/>
    <m/>
    <m/>
    <n v="0"/>
    <m/>
    <m/>
    <n v="0"/>
    <m/>
    <m/>
    <n v="0"/>
    <m/>
    <m/>
    <n v="0"/>
    <m/>
    <m/>
    <n v="0"/>
    <m/>
    <m/>
    <n v="0"/>
  </r>
  <r>
    <x v="14"/>
    <s v="Eastern Shore Community College  "/>
    <m/>
    <n v="232052"/>
    <x v="8"/>
    <m/>
    <m/>
    <n v="0"/>
    <m/>
    <m/>
    <n v="0"/>
    <m/>
    <m/>
    <n v="0"/>
    <m/>
    <m/>
    <n v="0"/>
    <m/>
    <m/>
    <n v="0"/>
    <m/>
    <m/>
    <n v="0"/>
    <m/>
    <m/>
    <n v="0"/>
    <m/>
    <m/>
    <n v="0"/>
    <m/>
    <m/>
    <n v="0"/>
    <m/>
    <m/>
    <n v="0"/>
    <m/>
    <m/>
    <n v="0"/>
    <m/>
    <m/>
    <n v="0"/>
    <m/>
    <m/>
    <n v="0"/>
    <m/>
    <m/>
    <n v="0"/>
    <m/>
    <m/>
    <n v="0"/>
    <m/>
    <m/>
    <n v="0"/>
    <m/>
    <m/>
    <n v="0"/>
    <m/>
    <m/>
    <n v="0"/>
    <m/>
    <m/>
    <n v="0"/>
    <m/>
    <m/>
    <n v="0"/>
    <m/>
    <m/>
    <n v="0"/>
    <m/>
    <m/>
    <n v="0"/>
    <m/>
    <m/>
    <n v="0"/>
    <m/>
    <m/>
    <n v="0"/>
  </r>
  <r>
    <x v="14"/>
    <s v="Mountain Empire Community College"/>
    <s v="Met the criteria for Two-Year 2 in 2010-11."/>
    <n v="232788"/>
    <x v="8"/>
    <m/>
    <m/>
    <n v="0"/>
    <m/>
    <m/>
    <n v="0"/>
    <m/>
    <m/>
    <n v="0"/>
    <m/>
    <m/>
    <n v="0"/>
    <m/>
    <m/>
    <n v="0"/>
    <m/>
    <m/>
    <n v="0"/>
    <m/>
    <m/>
    <n v="0"/>
    <m/>
    <m/>
    <n v="0"/>
    <m/>
    <m/>
    <n v="0"/>
    <m/>
    <m/>
    <n v="0"/>
    <m/>
    <m/>
    <n v="0"/>
    <m/>
    <m/>
    <n v="0"/>
    <m/>
    <m/>
    <n v="0"/>
    <m/>
    <m/>
    <n v="0"/>
    <m/>
    <m/>
    <n v="0"/>
    <m/>
    <m/>
    <n v="0"/>
    <m/>
    <m/>
    <n v="0"/>
    <m/>
    <m/>
    <n v="0"/>
    <m/>
    <m/>
    <n v="0"/>
    <m/>
    <m/>
    <n v="0"/>
    <m/>
    <m/>
    <n v="0"/>
    <m/>
    <m/>
    <n v="0"/>
    <m/>
    <m/>
    <n v="0"/>
    <m/>
    <m/>
    <n v="0"/>
  </r>
  <r>
    <x v="14"/>
    <s v="Patrick Henry Community College "/>
    <s v="Met the criteria for Two-Year 2 in 2009-10 and 2010-11."/>
    <n v="233019"/>
    <x v="8"/>
    <m/>
    <m/>
    <n v="0"/>
    <m/>
    <m/>
    <n v="0"/>
    <m/>
    <m/>
    <n v="0"/>
    <m/>
    <m/>
    <n v="0"/>
    <m/>
    <m/>
    <n v="0"/>
    <m/>
    <m/>
    <n v="0"/>
    <m/>
    <m/>
    <n v="0"/>
    <m/>
    <m/>
    <n v="0"/>
    <m/>
    <m/>
    <n v="0"/>
    <m/>
    <m/>
    <n v="0"/>
    <m/>
    <m/>
    <n v="0"/>
    <m/>
    <m/>
    <n v="0"/>
    <m/>
    <m/>
    <n v="0"/>
    <m/>
    <m/>
    <n v="0"/>
    <m/>
    <m/>
    <n v="0"/>
    <m/>
    <m/>
    <n v="0"/>
    <m/>
    <m/>
    <n v="0"/>
    <m/>
    <m/>
    <n v="0"/>
    <m/>
    <m/>
    <n v="0"/>
    <m/>
    <m/>
    <n v="0"/>
    <m/>
    <m/>
    <n v="0"/>
    <m/>
    <m/>
    <n v="0"/>
    <m/>
    <m/>
    <n v="0"/>
    <m/>
    <m/>
    <n v="0"/>
  </r>
  <r>
    <x v="14"/>
    <s v="Paul D. Camp Community College  "/>
    <m/>
    <n v="233037"/>
    <x v="8"/>
    <m/>
    <m/>
    <n v="0"/>
    <m/>
    <m/>
    <n v="0"/>
    <m/>
    <m/>
    <n v="0"/>
    <m/>
    <m/>
    <n v="0"/>
    <m/>
    <m/>
    <n v="0"/>
    <m/>
    <m/>
    <n v="0"/>
    <m/>
    <m/>
    <n v="0"/>
    <m/>
    <m/>
    <n v="0"/>
    <m/>
    <m/>
    <n v="0"/>
    <m/>
    <m/>
    <n v="0"/>
    <m/>
    <m/>
    <n v="0"/>
    <m/>
    <m/>
    <n v="0"/>
    <m/>
    <m/>
    <n v="0"/>
    <m/>
    <m/>
    <n v="0"/>
    <m/>
    <m/>
    <n v="0"/>
    <m/>
    <m/>
    <n v="0"/>
    <m/>
    <m/>
    <n v="0"/>
    <m/>
    <m/>
    <n v="0"/>
    <m/>
    <m/>
    <n v="0"/>
    <m/>
    <m/>
    <n v="0"/>
    <m/>
    <m/>
    <n v="0"/>
    <m/>
    <m/>
    <n v="0"/>
    <m/>
    <m/>
    <n v="0"/>
    <m/>
    <m/>
    <n v="0"/>
  </r>
  <r>
    <x v="14"/>
    <s v="Rappahannock Community College  "/>
    <m/>
    <n v="233310"/>
    <x v="8"/>
    <m/>
    <m/>
    <n v="0"/>
    <m/>
    <m/>
    <n v="0"/>
    <m/>
    <m/>
    <n v="0"/>
    <m/>
    <m/>
    <n v="0"/>
    <m/>
    <m/>
    <n v="0"/>
    <m/>
    <m/>
    <n v="0"/>
    <m/>
    <m/>
    <n v="0"/>
    <m/>
    <m/>
    <n v="0"/>
    <m/>
    <m/>
    <n v="0"/>
    <m/>
    <m/>
    <n v="0"/>
    <m/>
    <m/>
    <n v="0"/>
    <m/>
    <m/>
    <n v="0"/>
    <m/>
    <m/>
    <n v="0"/>
    <m/>
    <m/>
    <n v="0"/>
    <m/>
    <m/>
    <n v="0"/>
    <m/>
    <m/>
    <n v="0"/>
    <m/>
    <m/>
    <n v="0"/>
    <m/>
    <m/>
    <n v="0"/>
    <m/>
    <m/>
    <n v="0"/>
    <m/>
    <m/>
    <n v="0"/>
    <m/>
    <m/>
    <n v="0"/>
    <m/>
    <m/>
    <n v="0"/>
    <m/>
    <m/>
    <n v="0"/>
    <m/>
    <m/>
    <n v="0"/>
  </r>
  <r>
    <x v="14"/>
    <s v="Virginia Highlands Community College "/>
    <m/>
    <n v="233903"/>
    <x v="8"/>
    <m/>
    <m/>
    <n v="0"/>
    <m/>
    <m/>
    <n v="0"/>
    <m/>
    <m/>
    <n v="0"/>
    <m/>
    <m/>
    <n v="0"/>
    <m/>
    <m/>
    <n v="0"/>
    <m/>
    <m/>
    <n v="0"/>
    <m/>
    <m/>
    <n v="0"/>
    <m/>
    <m/>
    <n v="0"/>
    <m/>
    <m/>
    <n v="0"/>
    <m/>
    <m/>
    <n v="0"/>
    <m/>
    <m/>
    <n v="0"/>
    <m/>
    <m/>
    <n v="0"/>
    <m/>
    <m/>
    <n v="0"/>
    <m/>
    <m/>
    <n v="0"/>
    <m/>
    <m/>
    <n v="0"/>
    <m/>
    <m/>
    <n v="0"/>
    <m/>
    <m/>
    <n v="0"/>
    <m/>
    <m/>
    <n v="0"/>
    <m/>
    <m/>
    <n v="0"/>
    <m/>
    <m/>
    <n v="0"/>
    <m/>
    <m/>
    <n v="0"/>
    <m/>
    <m/>
    <n v="0"/>
    <m/>
    <m/>
    <n v="0"/>
    <m/>
    <m/>
    <n v="0"/>
  </r>
  <r>
    <x v="14"/>
    <s v="Wytheville Community College "/>
    <s v="Met the criteria for Two-Year 2 in 2009-10 and 2010-11."/>
    <n v="234377"/>
    <x v="8"/>
    <m/>
    <m/>
    <n v="0"/>
    <m/>
    <m/>
    <n v="0"/>
    <m/>
    <m/>
    <n v="0"/>
    <m/>
    <m/>
    <n v="0"/>
    <m/>
    <m/>
    <n v="0"/>
    <m/>
    <m/>
    <n v="0"/>
    <m/>
    <m/>
    <n v="0"/>
    <m/>
    <m/>
    <n v="0"/>
    <m/>
    <m/>
    <n v="0"/>
    <m/>
    <m/>
    <n v="0"/>
    <m/>
    <m/>
    <n v="0"/>
    <m/>
    <m/>
    <n v="0"/>
    <m/>
    <m/>
    <n v="0"/>
    <m/>
    <m/>
    <n v="0"/>
    <m/>
    <m/>
    <n v="0"/>
    <m/>
    <m/>
    <n v="0"/>
    <m/>
    <m/>
    <n v="0"/>
    <m/>
    <m/>
    <n v="0"/>
    <m/>
    <m/>
    <n v="0"/>
    <m/>
    <m/>
    <n v="0"/>
    <m/>
    <m/>
    <n v="0"/>
    <m/>
    <m/>
    <n v="0"/>
    <m/>
    <m/>
    <n v="0"/>
    <m/>
    <m/>
    <n v="0"/>
  </r>
  <r>
    <x v="14"/>
    <s v="Richard Bland College "/>
    <m/>
    <n v="233338"/>
    <x v="8"/>
    <n v="9"/>
    <n v="67735"/>
    <n v="609615"/>
    <n v="9"/>
    <n v="68644"/>
    <n v="617796"/>
    <n v="16"/>
    <n v="52755"/>
    <n v="844080"/>
    <n v="13"/>
    <n v="52611"/>
    <n v="683943"/>
    <n v="8"/>
    <n v="46917"/>
    <n v="375336"/>
    <n v="11"/>
    <n v="44964"/>
    <n v="494604"/>
    <m/>
    <m/>
    <n v="0"/>
    <m/>
    <m/>
    <n v="0"/>
    <m/>
    <m/>
    <n v="0"/>
    <m/>
    <m/>
    <n v="0"/>
    <m/>
    <m/>
    <n v="0"/>
    <m/>
    <m/>
    <n v="0"/>
    <m/>
    <m/>
    <n v="0"/>
    <m/>
    <m/>
    <n v="0"/>
    <m/>
    <m/>
    <n v="0"/>
    <m/>
    <m/>
    <n v="0"/>
    <m/>
    <m/>
    <n v="0"/>
    <m/>
    <m/>
    <n v="0"/>
    <m/>
    <m/>
    <n v="0"/>
    <m/>
    <m/>
    <n v="0"/>
    <m/>
    <m/>
    <n v="0"/>
    <m/>
    <m/>
    <n v="0"/>
    <m/>
    <m/>
    <n v="0"/>
    <m/>
    <m/>
    <n v="0"/>
  </r>
  <r>
    <x v="14"/>
    <s v="All Community Colleges except R.Bland"/>
    <m/>
    <s v="All CC x Bland"/>
    <x v="14"/>
    <n v="406"/>
    <n v="67351"/>
    <n v="27344506"/>
    <n v="417"/>
    <n v="66796"/>
    <n v="27853932"/>
    <n v="581"/>
    <n v="60479"/>
    <n v="35138299"/>
    <n v="612"/>
    <n v="59915"/>
    <n v="36667980"/>
    <n v="623"/>
    <n v="54016"/>
    <n v="33651968"/>
    <n v="634"/>
    <n v="53959"/>
    <n v="34210006"/>
    <n v="362"/>
    <n v="47880"/>
    <n v="17332560"/>
    <n v="380"/>
    <n v="47970"/>
    <n v="18228600"/>
    <m/>
    <m/>
    <n v="0"/>
    <m/>
    <m/>
    <n v="0"/>
    <m/>
    <m/>
    <n v="0"/>
    <m/>
    <m/>
    <n v="0"/>
    <n v="35"/>
    <n v="77858"/>
    <n v="2229619.5460000001"/>
    <n v="27"/>
    <n v="78248"/>
    <n v="1728607.8672"/>
    <n v="66"/>
    <n v="66440"/>
    <n v="3587839.7280000001"/>
    <n v="55"/>
    <n v="69234"/>
    <n v="3115599.2340000002"/>
    <n v="56"/>
    <n v="62673"/>
    <n v="2871626.7216000003"/>
    <n v="49"/>
    <n v="62329"/>
    <n v="2498881.8022000003"/>
    <n v="42"/>
    <n v="59723"/>
    <n v="2052345.0612000001"/>
    <n v="51"/>
    <n v="60754"/>
    <n v="2535155.0628"/>
    <m/>
    <m/>
    <n v="0"/>
    <n v="1"/>
    <n v="88025"/>
    <n v="72022.055000000008"/>
    <m/>
    <m/>
    <n v="0"/>
    <m/>
    <m/>
    <n v="0"/>
  </r>
  <r>
    <x v="15"/>
    <s v="West Virginia University"/>
    <m/>
    <n v="238032"/>
    <x v="0"/>
    <n v="216"/>
    <n v="102012"/>
    <n v="22034592"/>
    <n v="216"/>
    <n v="101758"/>
    <n v="21979728"/>
    <n v="209"/>
    <n v="72897"/>
    <n v="15235473"/>
    <n v="210"/>
    <n v="73711"/>
    <n v="15479310"/>
    <n v="315"/>
    <n v="59059"/>
    <n v="18603585"/>
    <n v="313"/>
    <n v="59289"/>
    <n v="18557457"/>
    <n v="40"/>
    <n v="43357"/>
    <n v="1734280"/>
    <n v="43"/>
    <n v="40520"/>
    <n v="1742360"/>
    <n v="16"/>
    <n v="47867"/>
    <n v="765872"/>
    <n v="17"/>
    <n v="49073"/>
    <n v="834241"/>
    <m/>
    <m/>
    <n v="0"/>
    <m/>
    <m/>
    <n v="0"/>
    <n v="73"/>
    <n v="130994"/>
    <n v="7824088.2284000004"/>
    <n v="77"/>
    <n v="129442"/>
    <n v="8155027.2188000008"/>
    <n v="37"/>
    <n v="100103"/>
    <n v="3030458.1602000003"/>
    <n v="37"/>
    <n v="100167"/>
    <n v="3032395.6578000002"/>
    <n v="29"/>
    <n v="83438"/>
    <n v="1979800.1764"/>
    <n v="39"/>
    <n v="85752"/>
    <n v="2736329.1696000001"/>
    <n v="9"/>
    <n v="54914"/>
    <n v="404375.7132"/>
    <n v="8"/>
    <n v="48554"/>
    <n v="317815.0624"/>
    <n v="3"/>
    <n v="59276"/>
    <n v="145498.86960000001"/>
    <n v="4"/>
    <n v="58602"/>
    <n v="191792.6256"/>
    <m/>
    <m/>
    <n v="0"/>
    <m/>
    <m/>
    <n v="0"/>
  </r>
  <r>
    <x v="15"/>
    <s v="Marshall University "/>
    <m/>
    <n v="237525"/>
    <x v="2"/>
    <n v="179"/>
    <n v="72740"/>
    <n v="13020460"/>
    <n v="179"/>
    <n v="72969"/>
    <n v="13061451"/>
    <n v="122"/>
    <n v="59844"/>
    <n v="7300968"/>
    <n v="116"/>
    <n v="60006"/>
    <n v="6960696"/>
    <n v="115"/>
    <n v="48926"/>
    <n v="5626490"/>
    <n v="114"/>
    <n v="51708"/>
    <n v="5894712"/>
    <n v="28"/>
    <n v="30326"/>
    <n v="849128"/>
    <n v="42"/>
    <n v="34784"/>
    <n v="1460928"/>
    <m/>
    <m/>
    <n v="0"/>
    <m/>
    <m/>
    <n v="0"/>
    <m/>
    <m/>
    <n v="0"/>
    <m/>
    <m/>
    <n v="0"/>
    <n v="17"/>
    <n v="99021"/>
    <n v="1377322.6974000002"/>
    <n v="20"/>
    <n v="100885"/>
    <n v="1650882.1400000001"/>
    <n v="4"/>
    <n v="79161"/>
    <n v="259078.1208"/>
    <n v="2"/>
    <n v="79081"/>
    <n v="129408.14840000001"/>
    <n v="4"/>
    <n v="63512"/>
    <n v="207862.0736"/>
    <n v="5"/>
    <n v="60037"/>
    <n v="245611.367"/>
    <m/>
    <m/>
    <n v="0"/>
    <m/>
    <m/>
    <n v="0"/>
    <m/>
    <m/>
    <n v="0"/>
    <m/>
    <m/>
    <n v="0"/>
    <m/>
    <m/>
    <n v="0"/>
    <m/>
    <m/>
    <n v="0"/>
  </r>
  <r>
    <x v="15"/>
    <s v="Fairmont State University"/>
    <m/>
    <n v="237367"/>
    <x v="4"/>
    <n v="45"/>
    <n v="71134"/>
    <n v="3201030"/>
    <n v="45"/>
    <n v="71493"/>
    <n v="3217185"/>
    <n v="36"/>
    <n v="59069"/>
    <n v="2126484"/>
    <n v="38"/>
    <n v="59881"/>
    <n v="2275478"/>
    <n v="59"/>
    <n v="50396"/>
    <n v="2973364"/>
    <n v="54"/>
    <n v="49639"/>
    <n v="2680506"/>
    <n v="7"/>
    <n v="46012"/>
    <n v="322084"/>
    <n v="9"/>
    <n v="42749"/>
    <n v="384741"/>
    <n v="2"/>
    <n v="36654"/>
    <n v="73308"/>
    <m/>
    <m/>
    <n v="0"/>
    <m/>
    <m/>
    <n v="0"/>
    <m/>
    <m/>
    <n v="0"/>
    <n v="6"/>
    <n v="115874"/>
    <n v="568848.64080000005"/>
    <n v="6"/>
    <n v="115621"/>
    <n v="567606.61320000002"/>
    <n v="2"/>
    <n v="91504"/>
    <n v="149737.14560000002"/>
    <n v="1"/>
    <n v="77884"/>
    <n v="63724.688800000004"/>
    <n v="5"/>
    <n v="53164"/>
    <n v="217493.924"/>
    <n v="4"/>
    <n v="54861"/>
    <n v="179549.0808"/>
    <n v="6"/>
    <n v="43377"/>
    <n v="212946.36840000001"/>
    <n v="6"/>
    <n v="45149"/>
    <n v="221645.47080000001"/>
    <m/>
    <m/>
    <n v="0"/>
    <m/>
    <m/>
    <n v="0"/>
    <m/>
    <m/>
    <n v="0"/>
    <m/>
    <m/>
    <n v="0"/>
  </r>
  <r>
    <x v="15"/>
    <s v="Shepherd University "/>
    <s v="Reclassified: met the criteria for Four-Year 5 in 2008-09, 2009-10 and 2010-11."/>
    <n v="237792"/>
    <x v="4"/>
    <n v="28"/>
    <n v="72192"/>
    <n v="2021376"/>
    <n v="26"/>
    <n v="73437"/>
    <n v="1909362"/>
    <n v="32"/>
    <n v="60848"/>
    <n v="1947136"/>
    <n v="37"/>
    <n v="62217"/>
    <n v="2302029"/>
    <n v="48"/>
    <n v="52372"/>
    <n v="2513856"/>
    <n v="45"/>
    <n v="53109"/>
    <n v="2389905"/>
    <n v="1"/>
    <n v="39000"/>
    <n v="39000"/>
    <m/>
    <m/>
    <n v="0"/>
    <n v="11"/>
    <n v="48577"/>
    <n v="534347"/>
    <n v="13"/>
    <n v="48551"/>
    <n v="631163"/>
    <m/>
    <m/>
    <n v="0"/>
    <m/>
    <m/>
    <n v="0"/>
    <n v="2"/>
    <n v="93342"/>
    <n v="152744.84880000001"/>
    <n v="2"/>
    <n v="95952"/>
    <n v="157015.85279999999"/>
    <n v="1"/>
    <n v="70612"/>
    <n v="57774.738400000002"/>
    <n v="1"/>
    <n v="71874"/>
    <n v="58807.306800000006"/>
    <m/>
    <m/>
    <n v="0"/>
    <m/>
    <m/>
    <n v="0"/>
    <m/>
    <m/>
    <n v="0"/>
    <m/>
    <m/>
    <n v="0"/>
    <n v="1"/>
    <n v="50180"/>
    <n v="41057.276000000005"/>
    <n v="1"/>
    <n v="51102"/>
    <n v="41811.6564"/>
    <m/>
    <m/>
    <n v="0"/>
    <m/>
    <m/>
    <n v="0"/>
  </r>
  <r>
    <x v="15"/>
    <s v="Bluefield State College "/>
    <m/>
    <n v="237215"/>
    <x v="5"/>
    <n v="25"/>
    <n v="66415"/>
    <n v="1660375"/>
    <n v="23"/>
    <n v="67627"/>
    <n v="1555421"/>
    <n v="15"/>
    <n v="58044"/>
    <n v="870660"/>
    <n v="16"/>
    <n v="57152"/>
    <n v="914432"/>
    <n v="28"/>
    <n v="49246"/>
    <n v="1378888"/>
    <n v="28"/>
    <n v="51091"/>
    <n v="1430548"/>
    <n v="2"/>
    <n v="39060"/>
    <n v="78120"/>
    <n v="3"/>
    <n v="41900"/>
    <n v="125700"/>
    <n v="1"/>
    <n v="37644"/>
    <n v="37644"/>
    <n v="1"/>
    <n v="39504"/>
    <n v="39504"/>
    <m/>
    <m/>
    <n v="0"/>
    <m/>
    <m/>
    <n v="0"/>
    <n v="3"/>
    <n v="85743"/>
    <n v="210464.7678"/>
    <n v="3"/>
    <n v="76840"/>
    <n v="188611.46400000001"/>
    <n v="1"/>
    <n v="50244"/>
    <n v="41109.640800000001"/>
    <n v="1"/>
    <n v="52164"/>
    <n v="42680.584800000004"/>
    <n v="1"/>
    <n v="71872"/>
    <n v="58805.670400000003"/>
    <n v="1"/>
    <n v="53004"/>
    <n v="43367.872800000005"/>
    <m/>
    <m/>
    <n v="0"/>
    <m/>
    <m/>
    <n v="0"/>
    <m/>
    <m/>
    <n v="0"/>
    <m/>
    <m/>
    <n v="0"/>
    <m/>
    <m/>
    <n v="0"/>
    <m/>
    <m/>
    <n v="0"/>
  </r>
  <r>
    <x v="15"/>
    <s v="Concord University "/>
    <m/>
    <n v="237330"/>
    <x v="5"/>
    <n v="19"/>
    <n v="66109"/>
    <n v="1256071"/>
    <n v="25"/>
    <n v="68598"/>
    <n v="1714950"/>
    <n v="28"/>
    <n v="57418"/>
    <n v="1607704"/>
    <n v="26"/>
    <n v="57437"/>
    <n v="1493362"/>
    <n v="42"/>
    <n v="48914"/>
    <n v="2054388"/>
    <n v="41"/>
    <n v="48591"/>
    <n v="1992231"/>
    <n v="16"/>
    <n v="38452"/>
    <n v="615232"/>
    <n v="15"/>
    <n v="41403"/>
    <n v="621045"/>
    <m/>
    <m/>
    <n v="0"/>
    <m/>
    <m/>
    <n v="0"/>
    <m/>
    <m/>
    <n v="0"/>
    <m/>
    <m/>
    <n v="0"/>
    <n v="3"/>
    <n v="87045"/>
    <n v="213660.65700000001"/>
    <n v="4"/>
    <n v="88190"/>
    <n v="288628.23200000002"/>
    <n v="1"/>
    <n v="67687"/>
    <n v="55381.503400000001"/>
    <m/>
    <m/>
    <n v="0"/>
    <m/>
    <m/>
    <n v="0"/>
    <m/>
    <m/>
    <n v="0"/>
    <m/>
    <m/>
    <n v="0"/>
    <n v="1"/>
    <n v="38500"/>
    <n v="31500.7"/>
    <m/>
    <m/>
    <n v="0"/>
    <m/>
    <m/>
    <n v="0"/>
    <m/>
    <m/>
    <n v="0"/>
    <m/>
    <m/>
    <n v="0"/>
  </r>
  <r>
    <x v="15"/>
    <s v="Glenville State College "/>
    <m/>
    <n v="237385"/>
    <x v="5"/>
    <n v="8"/>
    <n v="65753"/>
    <n v="526024"/>
    <n v="9"/>
    <n v="66117"/>
    <n v="595053"/>
    <n v="12"/>
    <n v="58944"/>
    <n v="707328"/>
    <n v="11"/>
    <n v="60644"/>
    <n v="667084"/>
    <n v="21"/>
    <n v="45229"/>
    <n v="949809"/>
    <n v="24"/>
    <n v="46426"/>
    <n v="1114224"/>
    <n v="15"/>
    <n v="37096"/>
    <n v="556440"/>
    <n v="19"/>
    <n v="37939"/>
    <n v="720841"/>
    <n v="1"/>
    <n v="32604"/>
    <n v="32604"/>
    <m/>
    <m/>
    <n v="0"/>
    <m/>
    <m/>
    <n v="0"/>
    <m/>
    <m/>
    <n v="0"/>
    <m/>
    <m/>
    <n v="0"/>
    <m/>
    <m/>
    <n v="0"/>
    <n v="2"/>
    <n v="70566"/>
    <n v="115474.20240000001"/>
    <n v="2"/>
    <n v="71898"/>
    <n v="117653.88720000001"/>
    <m/>
    <m/>
    <n v="0"/>
    <m/>
    <m/>
    <n v="0"/>
    <m/>
    <m/>
    <n v="0"/>
    <n v="1"/>
    <n v="32760"/>
    <n v="26804.232"/>
    <n v="1"/>
    <n v="41700"/>
    <n v="34118.94"/>
    <n v="1"/>
    <n v="42816"/>
    <n v="35032.051200000002"/>
    <m/>
    <m/>
    <n v="0"/>
    <m/>
    <m/>
    <n v="0"/>
  </r>
  <r>
    <x v="15"/>
    <s v="West Liberty University"/>
    <m/>
    <n v="237932"/>
    <x v="5"/>
    <n v="14"/>
    <n v="64408"/>
    <n v="901712"/>
    <n v="15"/>
    <n v="67650"/>
    <n v="1014750"/>
    <n v="33"/>
    <n v="55079"/>
    <n v="1817607"/>
    <n v="30"/>
    <n v="57070"/>
    <n v="1712100"/>
    <n v="30"/>
    <n v="47087"/>
    <n v="1412610"/>
    <n v="35"/>
    <n v="50316"/>
    <n v="1761060"/>
    <n v="27"/>
    <n v="42283"/>
    <n v="1141641"/>
    <n v="26"/>
    <n v="43529"/>
    <n v="1131754"/>
    <n v="3"/>
    <n v="44003"/>
    <n v="132009"/>
    <n v="3"/>
    <n v="37457"/>
    <n v="112371"/>
    <m/>
    <m/>
    <n v="0"/>
    <m/>
    <m/>
    <n v="0"/>
    <n v="1"/>
    <n v="60315"/>
    <n v="49349.733"/>
    <n v="1"/>
    <n v="61750"/>
    <n v="50523.850000000006"/>
    <n v="3"/>
    <n v="58892"/>
    <n v="144556.30319999999"/>
    <n v="2"/>
    <n v="57583"/>
    <n v="94228.821200000006"/>
    <n v="2"/>
    <n v="88777"/>
    <n v="145274.68280000001"/>
    <n v="2"/>
    <n v="88837"/>
    <n v="145372.86680000002"/>
    <n v="4"/>
    <n v="48069"/>
    <n v="157320.22320000001"/>
    <n v="4"/>
    <n v="48729"/>
    <n v="159480.27120000002"/>
    <m/>
    <m/>
    <n v="0"/>
    <m/>
    <m/>
    <n v="0"/>
    <m/>
    <m/>
    <n v="0"/>
    <m/>
    <m/>
    <n v="0"/>
  </r>
  <r>
    <x v="15"/>
    <s v="West Virginia State University "/>
    <m/>
    <n v="237899"/>
    <x v="5"/>
    <n v="22"/>
    <n v="62291"/>
    <n v="1370402"/>
    <n v="19"/>
    <n v="62118"/>
    <n v="1180242"/>
    <n v="34"/>
    <n v="57591"/>
    <n v="1958094"/>
    <n v="35"/>
    <n v="57950"/>
    <n v="2028250"/>
    <n v="50"/>
    <n v="47635"/>
    <n v="2381750"/>
    <n v="52"/>
    <n v="48101"/>
    <n v="2501252"/>
    <n v="12"/>
    <n v="38600"/>
    <n v="463200"/>
    <n v="11"/>
    <n v="37433"/>
    <n v="411763"/>
    <n v="1"/>
    <n v="55000"/>
    <n v="55000"/>
    <n v="1"/>
    <n v="65000"/>
    <n v="65000"/>
    <m/>
    <m/>
    <n v="0"/>
    <m/>
    <m/>
    <n v="0"/>
    <m/>
    <m/>
    <n v="0"/>
    <m/>
    <m/>
    <n v="0"/>
    <n v="1"/>
    <n v="69570"/>
    <n v="56922.173999999999"/>
    <n v="1"/>
    <n v="74753"/>
    <n v="61162.904600000002"/>
    <n v="1"/>
    <n v="51894"/>
    <n v="42459.6708"/>
    <n v="1"/>
    <n v="51954"/>
    <n v="42508.762800000004"/>
    <m/>
    <m/>
    <n v="0"/>
    <m/>
    <m/>
    <n v="0"/>
    <m/>
    <m/>
    <n v="0"/>
    <m/>
    <m/>
    <n v="0"/>
    <m/>
    <m/>
    <n v="0"/>
    <m/>
    <m/>
    <n v="0"/>
  </r>
  <r>
    <x v="15"/>
    <s v="West Virginia University Institute of Technology"/>
    <m/>
    <n v="237950"/>
    <x v="5"/>
    <n v="29"/>
    <n v="73463"/>
    <n v="2130427"/>
    <n v="28"/>
    <n v="73632"/>
    <n v="2061696"/>
    <n v="17"/>
    <n v="55249"/>
    <n v="939233"/>
    <n v="19"/>
    <n v="56662"/>
    <n v="1076578"/>
    <n v="23"/>
    <n v="50337"/>
    <n v="1157751"/>
    <n v="26"/>
    <n v="51214"/>
    <n v="1331564"/>
    <n v="6"/>
    <n v="45351"/>
    <n v="272106"/>
    <n v="2"/>
    <n v="39960"/>
    <n v="79920"/>
    <n v="5"/>
    <n v="44063"/>
    <n v="220315"/>
    <n v="9"/>
    <n v="46680"/>
    <n v="420120"/>
    <m/>
    <m/>
    <n v="0"/>
    <m/>
    <m/>
    <n v="0"/>
    <m/>
    <m/>
    <n v="0"/>
    <m/>
    <m/>
    <n v="0"/>
    <n v="3"/>
    <n v="63713"/>
    <n v="156389.92980000001"/>
    <n v="3"/>
    <n v="63773"/>
    <n v="156537.2058"/>
    <n v="3"/>
    <n v="58064"/>
    <n v="142523.89440000002"/>
    <n v="3"/>
    <n v="56097"/>
    <n v="137695.69620000001"/>
    <m/>
    <m/>
    <n v="0"/>
    <m/>
    <m/>
    <n v="0"/>
    <n v="1"/>
    <n v="45080"/>
    <n v="36884.455999999998"/>
    <m/>
    <m/>
    <n v="0"/>
    <m/>
    <m/>
    <n v="0"/>
    <m/>
    <m/>
    <n v="0"/>
  </r>
  <r>
    <x v="15"/>
    <s v="Potomac State College of West Virginia University"/>
    <m/>
    <n v="237701"/>
    <x v="11"/>
    <n v="13"/>
    <n v="65025"/>
    <n v="845325"/>
    <n v="13"/>
    <n v="66239"/>
    <n v="861107"/>
    <n v="3"/>
    <n v="42987"/>
    <n v="128961"/>
    <n v="4"/>
    <n v="48469"/>
    <n v="193876"/>
    <n v="9"/>
    <n v="41762"/>
    <n v="375858"/>
    <n v="11"/>
    <n v="42574"/>
    <n v="468314"/>
    <n v="16"/>
    <n v="37625"/>
    <n v="602000"/>
    <n v="13"/>
    <n v="38090"/>
    <n v="495170"/>
    <m/>
    <m/>
    <n v="0"/>
    <m/>
    <m/>
    <n v="0"/>
    <m/>
    <m/>
    <n v="0"/>
    <m/>
    <m/>
    <n v="0"/>
    <m/>
    <m/>
    <n v="0"/>
    <m/>
    <m/>
    <n v="0"/>
    <m/>
    <m/>
    <n v="0"/>
    <m/>
    <m/>
    <n v="0"/>
    <m/>
    <m/>
    <n v="0"/>
    <m/>
    <m/>
    <n v="0"/>
    <m/>
    <m/>
    <n v="0"/>
    <m/>
    <m/>
    <n v="0"/>
    <m/>
    <m/>
    <n v="0"/>
    <m/>
    <m/>
    <n v="0"/>
    <m/>
    <m/>
    <n v="0"/>
    <m/>
    <m/>
    <n v="0"/>
  </r>
  <r>
    <x v="15"/>
    <s v="West Virginia University at Parkersburg"/>
    <m/>
    <n v="237686"/>
    <x v="11"/>
    <n v="28"/>
    <n v="55312"/>
    <n v="1548736"/>
    <n v="28"/>
    <n v="55679"/>
    <n v="1559012"/>
    <n v="12"/>
    <n v="52333"/>
    <n v="627996"/>
    <n v="9"/>
    <n v="52504"/>
    <n v="472536"/>
    <n v="11"/>
    <n v="43178"/>
    <n v="474958"/>
    <n v="11"/>
    <n v="43689"/>
    <n v="480579"/>
    <n v="29"/>
    <n v="36988"/>
    <n v="1072652"/>
    <n v="33"/>
    <n v="36833"/>
    <n v="1215489"/>
    <m/>
    <m/>
    <n v="0"/>
    <n v="4"/>
    <n v="36070"/>
    <n v="144280"/>
    <m/>
    <m/>
    <n v="0"/>
    <m/>
    <m/>
    <n v="0"/>
    <n v="2"/>
    <n v="69371"/>
    <n v="113518.7044"/>
    <n v="2"/>
    <n v="69431"/>
    <n v="113616.88840000001"/>
    <n v="1"/>
    <n v="71021"/>
    <n v="58109.3822"/>
    <n v="1"/>
    <n v="71081"/>
    <n v="58158.474200000004"/>
    <n v="2"/>
    <n v="59197"/>
    <n v="96869.97080000001"/>
    <n v="2"/>
    <n v="59257"/>
    <n v="96968.154800000004"/>
    <m/>
    <m/>
    <n v="0"/>
    <m/>
    <m/>
    <n v="0"/>
    <n v="1"/>
    <n v="48096"/>
    <n v="39352.147199999999"/>
    <n v="2"/>
    <n v="47348"/>
    <n v="77480.267200000002"/>
    <m/>
    <m/>
    <n v="0"/>
    <m/>
    <m/>
    <n v="0"/>
  </r>
  <r>
    <x v="15"/>
    <s v="Blue Ridge Community &amp; Technical College"/>
    <m/>
    <n v="446774"/>
    <x v="8"/>
    <m/>
    <m/>
    <n v="0"/>
    <m/>
    <m/>
    <n v="0"/>
    <n v="3"/>
    <n v="61490"/>
    <n v="184470"/>
    <n v="3"/>
    <n v="61550"/>
    <n v="184650"/>
    <n v="2"/>
    <n v="53853"/>
    <n v="107706"/>
    <n v="7"/>
    <n v="47243"/>
    <n v="330701"/>
    <n v="3"/>
    <n v="42553"/>
    <n v="127659"/>
    <n v="6"/>
    <n v="40363"/>
    <n v="242178"/>
    <n v="11"/>
    <n v="39185"/>
    <n v="431035"/>
    <n v="7"/>
    <n v="36975"/>
    <n v="258825"/>
    <m/>
    <m/>
    <n v="0"/>
    <m/>
    <m/>
    <n v="0"/>
    <m/>
    <m/>
    <n v="0"/>
    <m/>
    <m/>
    <n v="0"/>
    <m/>
    <m/>
    <n v="0"/>
    <n v="1"/>
    <n v="84670"/>
    <n v="69276.994000000006"/>
    <n v="1"/>
    <n v="48504"/>
    <n v="39685.972800000003"/>
    <n v="2"/>
    <n v="55944"/>
    <n v="91546.761599999998"/>
    <n v="6"/>
    <n v="53272"/>
    <n v="261522.90240000002"/>
    <n v="9"/>
    <n v="46606"/>
    <n v="343197.26280000003"/>
    <n v="9"/>
    <n v="43718"/>
    <n v="321930.60840000003"/>
    <n v="6"/>
    <n v="41610"/>
    <n v="204271.81200000001"/>
    <m/>
    <m/>
    <n v="0"/>
    <m/>
    <m/>
    <n v="0"/>
  </r>
  <r>
    <x v="15"/>
    <s v="Bridgemont Community &amp; Technical College"/>
    <m/>
    <n v="445674"/>
    <x v="8"/>
    <n v="6"/>
    <n v="65707"/>
    <n v="394242"/>
    <n v="5"/>
    <n v="77867"/>
    <n v="389335"/>
    <n v="5"/>
    <n v="53982"/>
    <n v="269910"/>
    <n v="5"/>
    <n v="62327"/>
    <n v="311635"/>
    <n v="5"/>
    <n v="41278"/>
    <n v="206390"/>
    <n v="8"/>
    <n v="52798"/>
    <n v="422384"/>
    <n v="9"/>
    <n v="37483"/>
    <n v="337347"/>
    <n v="9"/>
    <n v="41928"/>
    <n v="377352"/>
    <m/>
    <m/>
    <n v="0"/>
    <m/>
    <m/>
    <n v="0"/>
    <m/>
    <m/>
    <n v="0"/>
    <m/>
    <m/>
    <n v="0"/>
    <n v="3"/>
    <n v="77893"/>
    <n v="191196.15780000002"/>
    <n v="4"/>
    <n v="78735"/>
    <n v="257683.90800000002"/>
    <m/>
    <m/>
    <n v="0"/>
    <m/>
    <m/>
    <n v="0"/>
    <n v="1"/>
    <n v="65533"/>
    <n v="53619.100600000005"/>
    <n v="1"/>
    <n v="66135"/>
    <n v="54111.656999999999"/>
    <n v="3"/>
    <n v="51728"/>
    <n v="126971.5488"/>
    <n v="3"/>
    <n v="54884"/>
    <n v="134718.26639999999"/>
    <m/>
    <m/>
    <n v="0"/>
    <m/>
    <m/>
    <n v="0"/>
    <m/>
    <m/>
    <n v="0"/>
    <m/>
    <m/>
    <n v="0"/>
  </r>
  <r>
    <x v="15"/>
    <s v="Eastern West Virginia Community &amp; Technical College"/>
    <m/>
    <n v="438708"/>
    <x v="8"/>
    <m/>
    <m/>
    <n v="0"/>
    <m/>
    <m/>
    <n v="0"/>
    <m/>
    <m/>
    <n v="0"/>
    <m/>
    <m/>
    <n v="0"/>
    <m/>
    <m/>
    <n v="0"/>
    <m/>
    <m/>
    <n v="0"/>
    <m/>
    <m/>
    <n v="0"/>
    <m/>
    <m/>
    <n v="0"/>
    <m/>
    <m/>
    <n v="0"/>
    <m/>
    <m/>
    <n v="0"/>
    <m/>
    <m/>
    <n v="0"/>
    <m/>
    <m/>
    <n v="0"/>
    <m/>
    <m/>
    <n v="0"/>
    <m/>
    <m/>
    <n v="0"/>
    <m/>
    <m/>
    <n v="0"/>
    <m/>
    <m/>
    <n v="0"/>
    <m/>
    <m/>
    <n v="0"/>
    <m/>
    <m/>
    <n v="0"/>
    <m/>
    <m/>
    <n v="0"/>
    <m/>
    <m/>
    <n v="0"/>
    <m/>
    <m/>
    <n v="0"/>
    <n v="5"/>
    <n v="45497"/>
    <n v="186128.22700000001"/>
    <m/>
    <m/>
    <n v="0"/>
    <m/>
    <m/>
    <n v="0"/>
  </r>
  <r>
    <x v="15"/>
    <s v="Kanawha Valley Community &amp; Technical College"/>
    <m/>
    <n v="445018"/>
    <x v="8"/>
    <n v="4"/>
    <n v="66012"/>
    <n v="264048"/>
    <n v="2"/>
    <n v="62865"/>
    <n v="125730"/>
    <n v="5"/>
    <n v="56645"/>
    <n v="283225"/>
    <n v="3"/>
    <n v="62516"/>
    <n v="187548"/>
    <n v="9"/>
    <n v="48003"/>
    <n v="432027"/>
    <n v="8"/>
    <n v="54709"/>
    <n v="437672"/>
    <n v="13"/>
    <n v="41580"/>
    <n v="540540"/>
    <n v="12"/>
    <n v="45465"/>
    <n v="545580"/>
    <m/>
    <m/>
    <n v="0"/>
    <n v="11"/>
    <n v="43521"/>
    <n v="478731"/>
    <m/>
    <m/>
    <n v="0"/>
    <m/>
    <m/>
    <n v="0"/>
    <m/>
    <m/>
    <n v="0"/>
    <m/>
    <m/>
    <n v="0"/>
    <n v="2"/>
    <n v="63802"/>
    <n v="104405.5928"/>
    <n v="1"/>
    <n v="63538"/>
    <n v="51986.791600000004"/>
    <n v="1"/>
    <n v="51207"/>
    <n v="41897.5674"/>
    <n v="1"/>
    <n v="53828"/>
    <n v="44042.069600000003"/>
    <n v="6"/>
    <n v="54992"/>
    <n v="269966.72639999999"/>
    <n v="6"/>
    <n v="53679"/>
    <n v="263520.94680000003"/>
    <m/>
    <m/>
    <n v="0"/>
    <m/>
    <m/>
    <n v="0"/>
    <m/>
    <m/>
    <n v="0"/>
    <m/>
    <m/>
    <n v="0"/>
  </r>
  <r>
    <x v="15"/>
    <s v="Mountwest Community &amp; Technical College"/>
    <s v="Formerly Marshall Community &amp; Technical College"/>
    <n v="444954"/>
    <x v="8"/>
    <n v="11"/>
    <n v="64537"/>
    <n v="709907"/>
    <n v="11"/>
    <n v="63055"/>
    <n v="693605"/>
    <n v="7"/>
    <n v="57959"/>
    <n v="405713"/>
    <n v="10"/>
    <n v="55605"/>
    <n v="556050"/>
    <n v="21"/>
    <n v="42181"/>
    <n v="885801"/>
    <n v="19"/>
    <n v="42584"/>
    <n v="809096"/>
    <n v="9"/>
    <n v="41533"/>
    <n v="373797"/>
    <n v="8"/>
    <n v="38894"/>
    <n v="311152"/>
    <m/>
    <m/>
    <n v="0"/>
    <m/>
    <m/>
    <n v="0"/>
    <m/>
    <m/>
    <n v="0"/>
    <m/>
    <m/>
    <n v="0"/>
    <m/>
    <m/>
    <n v="0"/>
    <m/>
    <m/>
    <n v="0"/>
    <m/>
    <m/>
    <n v="0"/>
    <m/>
    <m/>
    <n v="0"/>
    <n v="3"/>
    <n v="48017"/>
    <n v="117862.5282"/>
    <n v="2"/>
    <n v="50465"/>
    <n v="82580.926000000007"/>
    <n v="4"/>
    <n v="44900"/>
    <n v="146948.72"/>
    <n v="3"/>
    <n v="43285"/>
    <n v="106247.361"/>
    <m/>
    <m/>
    <n v="0"/>
    <m/>
    <m/>
    <n v="0"/>
    <m/>
    <m/>
    <n v="0"/>
    <m/>
    <m/>
    <n v="0"/>
  </r>
  <r>
    <x v="15"/>
    <s v="New River Community &amp; Technical College"/>
    <s v="Met criteria for Two-Year 2 in 2010-11."/>
    <n v="447582"/>
    <x v="8"/>
    <n v="4"/>
    <n v="63971"/>
    <n v="255884"/>
    <n v="7"/>
    <n v="64179"/>
    <n v="449253"/>
    <n v="8"/>
    <n v="53276"/>
    <n v="426208"/>
    <n v="5"/>
    <n v="55255"/>
    <n v="276275"/>
    <n v="6"/>
    <n v="42624"/>
    <n v="255744"/>
    <n v="7"/>
    <n v="45132"/>
    <n v="315924"/>
    <n v="15"/>
    <n v="38160"/>
    <n v="572400"/>
    <n v="15"/>
    <n v="39267"/>
    <n v="589005"/>
    <m/>
    <m/>
    <n v="0"/>
    <m/>
    <m/>
    <n v="0"/>
    <m/>
    <m/>
    <n v="0"/>
    <m/>
    <m/>
    <n v="0"/>
    <m/>
    <m/>
    <n v="0"/>
    <m/>
    <m/>
    <n v="0"/>
    <n v="1"/>
    <n v="66120"/>
    <n v="54099.384000000005"/>
    <n v="1"/>
    <n v="67380"/>
    <n v="55130.316000000006"/>
    <m/>
    <m/>
    <n v="0"/>
    <m/>
    <m/>
    <n v="0"/>
    <n v="5"/>
    <n v="49063"/>
    <n v="200716.73300000001"/>
    <n v="9"/>
    <n v="47189"/>
    <n v="347490.35820000002"/>
    <m/>
    <m/>
    <n v="0"/>
    <m/>
    <m/>
    <n v="0"/>
    <m/>
    <m/>
    <n v="0"/>
    <m/>
    <m/>
    <n v="0"/>
  </r>
  <r>
    <x v="15"/>
    <s v="Pierpont Community &amp; Technical College"/>
    <s v="Met criteria for Two-Year 2 in 2010-11."/>
    <n v="443492"/>
    <x v="8"/>
    <n v="4"/>
    <n v="69988"/>
    <n v="279952"/>
    <n v="4"/>
    <n v="70135"/>
    <n v="280540"/>
    <n v="4"/>
    <n v="64240"/>
    <n v="256960"/>
    <n v="4"/>
    <n v="54143"/>
    <n v="216572"/>
    <n v="23"/>
    <n v="48957"/>
    <n v="1126011"/>
    <n v="29"/>
    <n v="48554"/>
    <n v="1408066"/>
    <n v="8"/>
    <n v="45568"/>
    <n v="364544"/>
    <n v="12"/>
    <n v="45014"/>
    <n v="540168"/>
    <n v="8"/>
    <n v="47588"/>
    <n v="380704"/>
    <m/>
    <m/>
    <n v="0"/>
    <m/>
    <m/>
    <n v="0"/>
    <m/>
    <m/>
    <n v="0"/>
    <n v="4"/>
    <n v="96087"/>
    <n v="314473.53360000002"/>
    <n v="4"/>
    <n v="98217"/>
    <n v="321444.59760000004"/>
    <n v="1"/>
    <n v="76082"/>
    <n v="62250.292400000006"/>
    <m/>
    <m/>
    <n v="0"/>
    <n v="4"/>
    <n v="59043"/>
    <n v="193235.93040000001"/>
    <n v="3"/>
    <n v="58671"/>
    <n v="144013.83660000001"/>
    <n v="2"/>
    <n v="58248"/>
    <n v="95317.027200000011"/>
    <n v="6"/>
    <n v="53942"/>
    <n v="264812.06640000001"/>
    <n v="4"/>
    <n v="50504"/>
    <n v="165289.49120000002"/>
    <m/>
    <m/>
    <n v="0"/>
    <m/>
    <m/>
    <n v="0"/>
    <m/>
    <m/>
    <n v="0"/>
  </r>
  <r>
    <x v="15"/>
    <s v="Southern West Virginia Community &amp; Technical College "/>
    <m/>
    <n v="237817"/>
    <x v="8"/>
    <n v="20"/>
    <n v="58683"/>
    <n v="1173660"/>
    <n v="18"/>
    <n v="60295"/>
    <n v="1085310"/>
    <n v="11"/>
    <n v="47535"/>
    <n v="522885"/>
    <n v="11"/>
    <n v="48425"/>
    <n v="532675"/>
    <n v="21"/>
    <n v="39558"/>
    <n v="830718"/>
    <n v="19"/>
    <n v="40668"/>
    <n v="772692"/>
    <n v="28"/>
    <n v="34519"/>
    <n v="966532"/>
    <n v="27"/>
    <n v="33769"/>
    <n v="911763"/>
    <m/>
    <m/>
    <n v="0"/>
    <m/>
    <m/>
    <n v="0"/>
    <m/>
    <m/>
    <n v="0"/>
    <m/>
    <m/>
    <n v="0"/>
    <m/>
    <m/>
    <n v="0"/>
    <m/>
    <m/>
    <n v="0"/>
    <m/>
    <m/>
    <n v="0"/>
    <m/>
    <m/>
    <n v="0"/>
    <m/>
    <m/>
    <n v="0"/>
    <m/>
    <m/>
    <n v="0"/>
    <m/>
    <m/>
    <n v="0"/>
    <n v="1"/>
    <n v="39408"/>
    <n v="32243.625600000003"/>
    <m/>
    <m/>
    <n v="0"/>
    <m/>
    <m/>
    <n v="0"/>
    <m/>
    <m/>
    <n v="0"/>
    <m/>
    <m/>
    <n v="0"/>
  </r>
  <r>
    <x v="15"/>
    <s v="West Virginia Northern Community College"/>
    <s v="Met the critieria for Two-Year 2 in 2009-10 and 2010-11."/>
    <n v="238014"/>
    <x v="8"/>
    <n v="23"/>
    <n v="55814"/>
    <n v="1283722"/>
    <n v="23"/>
    <n v="56966"/>
    <n v="1310218"/>
    <n v="10"/>
    <n v="44351"/>
    <n v="443510"/>
    <n v="10"/>
    <n v="45621"/>
    <n v="456210"/>
    <n v="9"/>
    <n v="38321"/>
    <n v="344889"/>
    <n v="8"/>
    <n v="39465"/>
    <n v="315720"/>
    <n v="20"/>
    <n v="32373"/>
    <n v="647460"/>
    <n v="20"/>
    <n v="33318"/>
    <n v="666360"/>
    <m/>
    <m/>
    <n v="0"/>
    <m/>
    <m/>
    <n v="0"/>
    <m/>
    <m/>
    <n v="0"/>
    <m/>
    <m/>
    <n v="0"/>
    <m/>
    <m/>
    <n v="0"/>
    <m/>
    <m/>
    <n v="0"/>
    <m/>
    <m/>
    <n v="0"/>
    <m/>
    <m/>
    <n v="0"/>
    <m/>
    <m/>
    <n v="0"/>
    <m/>
    <m/>
    <n v="0"/>
    <m/>
    <m/>
    <n v="0"/>
    <n v="1"/>
    <n v="31500"/>
    <n v="25773.300000000003"/>
    <m/>
    <m/>
    <n v="0"/>
    <m/>
    <m/>
    <n v="0"/>
    <m/>
    <m/>
    <n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 dataOnRows="1" applyNumberFormats="0" applyBorderFormats="0" applyFontFormats="0" applyPatternFormats="0" applyAlignmentFormats="0" applyWidthHeightFormats="1" dataCaption="Data" updatedVersion="3" minRefreshableVersion="3" asteriskTotals="1" showMemberPropertyTips="0" preserveFormatting="0" colGrandTotals="0" itemPrintTitles="1" createdVersion="3" indent="0" compact="0" compactData="0" gridDropZones="1">
  <location ref="A3:S362" firstHeaderRow="1" firstDataRow="3" firstDataCol="2"/>
  <pivotFields count="11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sortType="ascending">
      <items count="18">
        <item x="0"/>
        <item x="1"/>
        <item x="2"/>
        <item x="3"/>
        <item x="4"/>
        <item x="5"/>
        <item x="11"/>
        <item x="6"/>
        <item x="7"/>
        <item x="8"/>
        <item m="1" x="16"/>
        <item x="9"/>
        <item x="10"/>
        <item x="13"/>
        <item m="1" x="15"/>
        <item x="12"/>
        <item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7">
        <item n="Four-Year" x="0"/>
        <item n="Two-Year" x="5"/>
        <item x="4"/>
        <item n="Technical Institutes" x="2"/>
        <item h="1" x="1"/>
        <item h="1" x="3"/>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includeNewItemsInFilter="1" defaultSubtotal="0"/>
  </pivotFields>
  <rowFields count="2">
    <field x="0"/>
    <field x="-2"/>
  </rowFields>
  <rowItems count="357">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rowItems>
  <colFields count="2">
    <field x="101"/>
    <field x="4"/>
  </colFields>
  <colItems count="17">
    <i>
      <x/>
      <x/>
    </i>
    <i r="1">
      <x v="1"/>
    </i>
    <i r="1">
      <x v="2"/>
    </i>
    <i r="1">
      <x v="3"/>
    </i>
    <i r="1">
      <x v="4"/>
    </i>
    <i r="1">
      <x v="5"/>
    </i>
    <i t="default">
      <x/>
    </i>
    <i>
      <x v="1"/>
      <x v="6"/>
    </i>
    <i r="1">
      <x v="7"/>
    </i>
    <i r="1">
      <x v="8"/>
    </i>
    <i r="1">
      <x v="9"/>
    </i>
    <i r="1">
      <x v="16"/>
    </i>
    <i t="default">
      <x v="1"/>
    </i>
    <i>
      <x v="3"/>
      <x v="11"/>
    </i>
    <i r="1">
      <x v="12"/>
    </i>
    <i r="1">
      <x v="13"/>
    </i>
    <i t="default">
      <x v="3"/>
    </i>
  </colItems>
  <dataFields count="21">
    <dataField name=" Old Prof avg" fld="79" baseField="0" baseItem="0" numFmtId="3"/>
    <dataField name=" New Prof avg" fld="78" baseField="0" baseItem="0" numFmtId="3"/>
    <dataField name=" % change Prof" fld="94" baseField="0" baseItem="0" numFmtId="164"/>
    <dataField name=" Old Asc. avg" fld="80" baseField="0" baseItem="0" numFmtId="164"/>
    <dataField name=" New Asc. avg" fld="81" baseField="0" baseItem="0" numFmtId="164"/>
    <dataField name=" % change Asc. Prof" fld="95" baseField="0" baseItem="0" numFmtId="164"/>
    <dataField name=" Old Ast. avg" fld="82" baseField="0" baseItem="0" numFmtId="164"/>
    <dataField name=" New Ast. avg" fld="83" baseField="0" baseItem="0" numFmtId="164"/>
    <dataField name=" % change Ast. Prof" fld="96" baseField="0" baseItem="0" numFmtId="164"/>
    <dataField name=" Old Inst. avg" fld="84" baseField="0" baseItem="0" numFmtId="164"/>
    <dataField name=" New Inst. avg" fld="85" baseField="0" baseItem="0" numFmtId="164"/>
    <dataField name=" % change Instr avg" fld="97" baseField="0" baseItem="0" numFmtId="164"/>
    <dataField name=" Old Undesg. avg" fld="86" baseField="0" baseItem="0" numFmtId="164"/>
    <dataField name=" New Undesg. avg" fld="87" baseField="0" baseItem="0" numFmtId="164"/>
    <dataField name=" % change Undesg avg" fld="98" baseField="0" baseItem="0" numFmtId="164"/>
    <dataField name=" Old Single Rnk avg" fld="88" baseField="0" baseItem="0" numFmtId="164"/>
    <dataField name=" New Single Rnk avg" fld="89" baseField="0" baseItem="0" numFmtId="164"/>
    <dataField name=" % change Single Rnk avg" fld="99" baseField="0" baseItem="0" numFmtId="164"/>
    <dataField name=" Old All Ranks avg" fld="91" baseField="0" baseItem="0" numFmtId="164"/>
    <dataField name=" New All Ranks avg" fld="93" baseField="0" baseItem="0" numFmtId="3"/>
    <dataField name=" % change All Ranks avg" fld="100"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7"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V124" firstHeaderRow="1" firstDataRow="3" firstDataCol="2"/>
  <pivotFields count="11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8">
        <item x="0"/>
        <item x="1"/>
        <item x="2"/>
        <item x="3"/>
        <item x="4"/>
        <item x="5"/>
        <item x="11"/>
        <item x="6"/>
        <item x="7"/>
        <item x="8"/>
        <item m="1" x="16"/>
        <item x="9"/>
        <item x="10"/>
        <item m="1" x="15"/>
        <item x="13"/>
        <item x="12"/>
        <item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7">
        <item n="Four-Year" x="0"/>
        <item x="5"/>
        <item x="4"/>
        <item n="Technical Institutes" x="2"/>
        <item x="1"/>
        <item x="3"/>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101"/>
    <field x="4"/>
  </colFields>
  <colItems count="20">
    <i>
      <x/>
      <x/>
    </i>
    <i r="1">
      <x v="1"/>
    </i>
    <i r="1">
      <x v="2"/>
    </i>
    <i r="1">
      <x v="3"/>
    </i>
    <i r="1">
      <x v="4"/>
    </i>
    <i r="1">
      <x v="5"/>
    </i>
    <i t="default">
      <x/>
    </i>
    <i>
      <x v="1"/>
      <x v="6"/>
    </i>
    <i r="1">
      <x v="7"/>
    </i>
    <i r="1">
      <x v="8"/>
    </i>
    <i r="1">
      <x v="9"/>
    </i>
    <i r="1">
      <x v="16"/>
    </i>
    <i t="default">
      <x v="1"/>
    </i>
    <i>
      <x v="3"/>
      <x v="11"/>
    </i>
    <i r="1">
      <x v="12"/>
    </i>
    <i r="1">
      <x v="14"/>
    </i>
    <i t="default">
      <x v="3"/>
    </i>
    <i>
      <x v="5"/>
      <x v="15"/>
    </i>
    <i t="default">
      <x v="5"/>
    </i>
    <i t="grand">
      <x/>
    </i>
  </colItems>
  <dataFields count="7">
    <dataField name=" Total # Prof New" fld="107" baseField="0" baseItem="0" numFmtId="3"/>
    <dataField name=" Tot # Asc. Prof New" fld="106" baseField="0" baseItem="0" numFmtId="164"/>
    <dataField name=" Tot # Ast. Prof New" fld="105" baseField="0" baseItem="0" numFmtId="164"/>
    <dataField name=" Tot # Instr. New" fld="104" baseField="0" baseItem="0" numFmtId="164"/>
    <dataField name=" Tot # Undes. New" fld="103" baseField="0" baseItem="0" numFmtId="164"/>
    <dataField name=" Tot # Single Rnk New" fld="102" baseField="0" baseItem="0" numFmtId="164"/>
    <dataField name=" All Ranks # New" fld="114" baseField="0" baseItem="0" numFmtId="164"/>
  </dataFields>
  <formats count="27">
    <format dxfId="209">
      <pivotArea type="origin" dataOnly="0" labelOnly="1" outline="0" fieldPosition="0"/>
    </format>
    <format dxfId="208">
      <pivotArea field="0" type="button" dataOnly="0" labelOnly="1" outline="0" axis="axisRow" fieldPosition="0"/>
    </format>
    <format dxfId="207">
      <pivotArea dataOnly="0" labelOnly="1" outline="0" fieldPosition="0">
        <references count="1">
          <reference field="0" count="0"/>
        </references>
      </pivotArea>
    </format>
    <format dxfId="206">
      <pivotArea type="all" dataOnly="0" outline="0" fieldPosition="0"/>
    </format>
    <format dxfId="205">
      <pivotArea type="all" dataOnly="0" outline="0" fieldPosition="0"/>
    </format>
    <format dxfId="204">
      <pivotArea outline="0" fieldPosition="0">
        <references count="1">
          <reference field="101" count="1" selected="0" defaultSubtotal="1">
            <x v="4"/>
          </reference>
        </references>
      </pivotArea>
    </format>
    <format dxfId="203">
      <pivotArea grandCol="1" outline="0" fieldPosition="0"/>
    </format>
    <format dxfId="202">
      <pivotArea type="topRight" dataOnly="0" labelOnly="1" outline="0" offset="Q1" fieldPosition="0"/>
    </format>
    <format dxfId="201">
      <pivotArea outline="0" fieldPosition="0">
        <references count="1">
          <reference field="4294967294" count="1">
            <x v="0"/>
          </reference>
        </references>
      </pivotArea>
    </format>
    <format dxfId="200">
      <pivotArea outline="0" collapsedLevelsAreSubtotals="1" fieldPosition="0">
        <references count="4">
          <reference field="4294967294" count="1" selected="0">
            <x v="1"/>
          </reference>
          <reference field="0" count="1" selected="0">
            <x v="0"/>
          </reference>
          <reference field="4" count="1" selected="0">
            <x v="4"/>
          </reference>
          <reference field="101" count="1" selected="0">
            <x v="0"/>
          </reference>
        </references>
      </pivotArea>
    </format>
    <format dxfId="199">
      <pivotArea outline="0" collapsedLevelsAreSubtotals="1" fieldPosition="0">
        <references count="4">
          <reference field="4294967294" count="1" selected="0">
            <x v="2"/>
          </reference>
          <reference field="0" count="1" selected="0">
            <x v="0"/>
          </reference>
          <reference field="4" count="1" selected="0">
            <x v="4"/>
          </reference>
          <reference field="101" count="1" selected="0">
            <x v="0"/>
          </reference>
        </references>
      </pivotArea>
    </format>
    <format dxfId="198">
      <pivotArea outline="0" collapsedLevelsAreSubtotals="1" fieldPosition="0">
        <references count="4">
          <reference field="4294967294" count="1" selected="0">
            <x v="3"/>
          </reference>
          <reference field="0" count="1" selected="0">
            <x v="0"/>
          </reference>
          <reference field="4" count="1" selected="0">
            <x v="4"/>
          </reference>
          <reference field="101" count="1" selected="0">
            <x v="0"/>
          </reference>
        </references>
      </pivotArea>
    </format>
    <format dxfId="197">
      <pivotArea outline="0" collapsedLevelsAreSubtotals="1" fieldPosition="0">
        <references count="4">
          <reference field="4294967294" count="1" selected="0">
            <x v="4"/>
          </reference>
          <reference field="0" count="1" selected="0">
            <x v="0"/>
          </reference>
          <reference field="4" count="1" selected="0">
            <x v="4"/>
          </reference>
          <reference field="101" count="1" selected="0">
            <x v="0"/>
          </reference>
        </references>
      </pivotArea>
    </format>
    <format dxfId="196">
      <pivotArea outline="0" collapsedLevelsAreSubtotals="1" fieldPosition="0">
        <references count="4">
          <reference field="4294967294" count="1" selected="0">
            <x v="5"/>
          </reference>
          <reference field="0" count="1" selected="0">
            <x v="0"/>
          </reference>
          <reference field="4" count="1" selected="0">
            <x v="4"/>
          </reference>
          <reference field="101" count="1" selected="0">
            <x v="0"/>
          </reference>
        </references>
      </pivotArea>
    </format>
    <format dxfId="195">
      <pivotArea outline="0" collapsedLevelsAreSubtotals="1" fieldPosition="0">
        <references count="4">
          <reference field="4294967294" count="1" selected="0">
            <x v="1"/>
          </reference>
          <reference field="0" count="1" selected="0">
            <x v="0"/>
          </reference>
          <reference field="4" count="1" selected="0">
            <x v="0"/>
          </reference>
          <reference field="101" count="1" selected="0">
            <x v="0"/>
          </reference>
        </references>
      </pivotArea>
    </format>
    <format dxfId="194">
      <pivotArea outline="0" collapsedLevelsAreSubtotals="1" fieldPosition="0">
        <references count="4">
          <reference field="4294967294" count="1" selected="0">
            <x v="2"/>
          </reference>
          <reference field="0" count="1" selected="0">
            <x v="0"/>
          </reference>
          <reference field="4" count="1" selected="0">
            <x v="0"/>
          </reference>
          <reference field="101" count="1" selected="0">
            <x v="0"/>
          </reference>
        </references>
      </pivotArea>
    </format>
    <format dxfId="193">
      <pivotArea outline="0" collapsedLevelsAreSubtotals="1" fieldPosition="0">
        <references count="4">
          <reference field="4294967294" count="1" selected="0">
            <x v="3"/>
          </reference>
          <reference field="0" count="1" selected="0">
            <x v="0"/>
          </reference>
          <reference field="4" count="1" selected="0">
            <x v="0"/>
          </reference>
          <reference field="101" count="1" selected="0">
            <x v="0"/>
          </reference>
        </references>
      </pivotArea>
    </format>
    <format dxfId="192">
      <pivotArea outline="0" collapsedLevelsAreSubtotals="1" fieldPosition="0">
        <references count="4">
          <reference field="4294967294" count="1" selected="0">
            <x v="4"/>
          </reference>
          <reference field="0" count="1" selected="0">
            <x v="0"/>
          </reference>
          <reference field="4" count="1" selected="0">
            <x v="0"/>
          </reference>
          <reference field="101" count="1" selected="0">
            <x v="0"/>
          </reference>
        </references>
      </pivotArea>
    </format>
    <format dxfId="191">
      <pivotArea outline="0" collapsedLevelsAreSubtotals="1" fieldPosition="0">
        <references count="4">
          <reference field="4294967294" count="1" selected="0">
            <x v="5"/>
          </reference>
          <reference field="0" count="1" selected="0">
            <x v="0"/>
          </reference>
          <reference field="4" count="1" selected="0">
            <x v="0"/>
          </reference>
          <reference field="101" count="1" selected="0">
            <x v="0"/>
          </reference>
        </references>
      </pivotArea>
    </format>
    <format dxfId="190">
      <pivotArea field="0" dataOnly="0" labelOnly="1" grandRow="1" outline="0" axis="axisRow" fieldPosition="0">
        <references count="1">
          <reference field="4294967294" count="1" selected="0">
            <x v="0"/>
          </reference>
        </references>
      </pivotArea>
    </format>
    <format dxfId="189">
      <pivotArea field="0" dataOnly="0" labelOnly="1" grandRow="1" outline="0" axis="axisRow" fieldPosition="0">
        <references count="1">
          <reference field="4294967294" count="1" selected="0">
            <x v="1"/>
          </reference>
        </references>
      </pivotArea>
    </format>
    <format dxfId="188">
      <pivotArea field="0" dataOnly="0" labelOnly="1" grandRow="1" outline="0" axis="axisRow" fieldPosition="0">
        <references count="1">
          <reference field="4294967294" count="1" selected="0">
            <x v="2"/>
          </reference>
        </references>
      </pivotArea>
    </format>
    <format dxfId="187">
      <pivotArea field="0" dataOnly="0" labelOnly="1" grandRow="1" outline="0" axis="axisRow" fieldPosition="0">
        <references count="1">
          <reference field="4294967294" count="1" selected="0">
            <x v="3"/>
          </reference>
        </references>
      </pivotArea>
    </format>
    <format dxfId="186">
      <pivotArea field="0" dataOnly="0" labelOnly="1" grandRow="1" outline="0" axis="axisRow" fieldPosition="0">
        <references count="1">
          <reference field="4294967294" count="1" selected="0">
            <x v="4"/>
          </reference>
        </references>
      </pivotArea>
    </format>
    <format dxfId="185">
      <pivotArea field="0" dataOnly="0" labelOnly="1" grandRow="1" outline="0" axis="axisRow" fieldPosition="0">
        <references count="1">
          <reference field="4294967294" count="1" selected="0">
            <x v="5"/>
          </reference>
        </references>
      </pivotArea>
    </format>
    <format dxfId="184">
      <pivotArea dataOnly="0" outline="0" fieldPosition="0">
        <references count="1">
          <reference field="4" count="1">
            <x v="16"/>
          </reference>
        </references>
      </pivotArea>
    </format>
    <format dxfId="183">
      <pivotArea dataOnly="0" labelOnly="1" outline="0" offset="IV256" fieldPosition="0">
        <references count="1">
          <reference field="101" count="1">
            <x v="3"/>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7"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T124" firstHeaderRow="1" firstDataRow="3" firstDataCol="2"/>
  <pivotFields count="11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8">
        <item x="0"/>
        <item x="1"/>
        <item x="2"/>
        <item x="3"/>
        <item x="4"/>
        <item x="5"/>
        <item x="11"/>
        <item x="6"/>
        <item x="7"/>
        <item x="8"/>
        <item m="1" x="16"/>
        <item x="9"/>
        <item x="10"/>
        <item m="1" x="15"/>
        <item x="13"/>
        <item x="12"/>
        <item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subtotalCaption="Sub-total" compact="0" outline="0" subtotalTop="0" showAll="0" includeNewItemsInFilter="1">
      <items count="7">
        <item n="Four-Year" x="0"/>
        <item x="5"/>
        <item x="4"/>
        <item n="Technical Institutes" x="2"/>
        <item x="1"/>
        <item h="1" x="3"/>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101"/>
    <field x="4"/>
  </colFields>
  <colItems count="18">
    <i>
      <x/>
      <x/>
    </i>
    <i r="1">
      <x v="1"/>
    </i>
    <i r="1">
      <x v="2"/>
    </i>
    <i r="1">
      <x v="3"/>
    </i>
    <i r="1">
      <x v="4"/>
    </i>
    <i r="1">
      <x v="5"/>
    </i>
    <i t="default">
      <x/>
    </i>
    <i>
      <x v="1"/>
      <x v="6"/>
    </i>
    <i r="1">
      <x v="7"/>
    </i>
    <i r="1">
      <x v="8"/>
    </i>
    <i r="1">
      <x v="9"/>
    </i>
    <i r="1">
      <x v="16"/>
    </i>
    <i t="default">
      <x v="1"/>
    </i>
    <i>
      <x v="3"/>
      <x v="11"/>
    </i>
    <i r="1">
      <x v="12"/>
    </i>
    <i r="1">
      <x v="14"/>
    </i>
    <i t="default">
      <x v="3"/>
    </i>
    <i t="grand">
      <x/>
    </i>
  </colItems>
  <dataFields count="7">
    <dataField name=" Total # Prof Old" fld="113" baseField="0" baseItem="0" numFmtId="164"/>
    <dataField name=" Tot # Asc. Prof Old" fld="112" baseField="0" baseItem="0" numFmtId="164"/>
    <dataField name=" Tot # Ast. Prof Old" fld="111" baseField="0" baseItem="0" numFmtId="164"/>
    <dataField name=" Tot # Instr. Old" fld="110" baseField="0" baseItem="0" numFmtId="164"/>
    <dataField name=" Tot # Undes. Old" fld="109" baseField="0" baseItem="0" numFmtId="164"/>
    <dataField name=" Tot # Single Rnk Old" fld="108" baseField="0" baseItem="0" numFmtId="164"/>
    <dataField name=" All Ranks # Old" fld="77" baseField="0" baseItem="0" numFmtId="164"/>
  </dataFields>
  <formats count="9">
    <format dxfId="182">
      <pivotArea type="origin" dataOnly="0" labelOnly="1" outline="0" fieldPosition="0"/>
    </format>
    <format dxfId="181">
      <pivotArea field="0" type="button" dataOnly="0" labelOnly="1" outline="0" axis="axisRow" fieldPosition="0"/>
    </format>
    <format dxfId="180">
      <pivotArea dataOnly="0" labelOnly="1" outline="0" fieldPosition="0">
        <references count="1">
          <reference field="0" count="0"/>
        </references>
      </pivotArea>
    </format>
    <format dxfId="179">
      <pivotArea type="all" dataOnly="0" outline="0" fieldPosition="0"/>
    </format>
    <format dxfId="178">
      <pivotArea type="all" dataOnly="0" outline="0" fieldPosition="0"/>
    </format>
    <format dxfId="177">
      <pivotArea outline="0" fieldPosition="0">
        <references count="1">
          <reference field="101" count="1" selected="0" defaultSubtotal="1">
            <x v="4"/>
          </reference>
        </references>
      </pivotArea>
    </format>
    <format dxfId="176">
      <pivotArea grandCol="1" outline="0" fieldPosition="0"/>
    </format>
    <format dxfId="175">
      <pivotArea type="topRight" dataOnly="0" labelOnly="1" outline="0" offset="Q1" fieldPosition="0"/>
    </format>
    <format dxfId="174">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sheetPr codeName="Sheet1" enableFormatConditionsCalculation="0">
    <tabColor indexed="16"/>
  </sheetPr>
  <dimension ref="A1:H27"/>
  <sheetViews>
    <sheetView showGridLines="0" showZeros="0" tabSelected="1" view="pageBreakPreview" zoomScaleNormal="70" zoomScaleSheetLayoutView="100" workbookViewId="0">
      <selection activeCell="B24" sqref="B24"/>
    </sheetView>
  </sheetViews>
  <sheetFormatPr defaultColWidth="9" defaultRowHeight="15"/>
  <cols>
    <col min="1" max="1" width="33.375" style="27" customWidth="1"/>
    <col min="2" max="2" width="9" style="27"/>
    <col min="3" max="3" width="11.125" style="27" customWidth="1"/>
    <col min="4" max="4" width="10.625" style="165" customWidth="1"/>
    <col min="5" max="5" width="10.125" style="165" customWidth="1"/>
    <col min="6" max="6" width="13.25" style="165" customWidth="1"/>
    <col min="7" max="7" width="8.625" style="165" customWidth="1"/>
    <col min="8" max="8" width="9.125" style="27" customWidth="1"/>
    <col min="9" max="16384" width="9" style="27"/>
  </cols>
  <sheetData>
    <row r="1" spans="1:8" ht="18">
      <c r="A1" s="618" t="s">
        <v>1167</v>
      </c>
      <c r="B1" s="618"/>
      <c r="C1" s="618"/>
      <c r="D1" s="618"/>
      <c r="E1" s="618"/>
      <c r="F1" s="618"/>
      <c r="G1" s="618"/>
      <c r="H1" s="618"/>
    </row>
    <row r="2" spans="1:8" ht="15.75" customHeight="1">
      <c r="A2" s="2"/>
      <c r="B2" s="3"/>
      <c r="C2" s="3"/>
      <c r="D2" s="158"/>
      <c r="E2" s="158"/>
      <c r="F2" s="158"/>
      <c r="G2" s="158"/>
      <c r="H2" s="3"/>
    </row>
    <row r="3" spans="1:8" ht="15.75">
      <c r="A3" s="619" t="s">
        <v>422</v>
      </c>
      <c r="B3" s="619"/>
      <c r="C3" s="619"/>
      <c r="D3" s="619"/>
      <c r="E3" s="619"/>
      <c r="F3" s="619"/>
      <c r="G3" s="619"/>
      <c r="H3" s="619"/>
    </row>
    <row r="4" spans="1:8" ht="15.75">
      <c r="A4" s="619" t="s">
        <v>1162</v>
      </c>
      <c r="B4" s="619"/>
      <c r="C4" s="619"/>
      <c r="D4" s="619"/>
      <c r="E4" s="619"/>
      <c r="F4" s="619"/>
      <c r="G4" s="619"/>
      <c r="H4" s="619"/>
    </row>
    <row r="5" spans="1:8" ht="15.75" customHeight="1">
      <c r="A5" s="5"/>
      <c r="B5" s="5"/>
      <c r="C5" s="5"/>
      <c r="D5" s="159"/>
      <c r="E5" s="159"/>
      <c r="F5" s="159"/>
      <c r="G5" s="159"/>
      <c r="H5" s="5"/>
    </row>
    <row r="6" spans="1:8" ht="15.75" customHeight="1">
      <c r="A6" s="42"/>
      <c r="B6" s="43"/>
      <c r="C6" s="43" t="s">
        <v>423</v>
      </c>
      <c r="D6" s="160" t="s">
        <v>424</v>
      </c>
      <c r="E6" s="160"/>
      <c r="F6" s="160" t="s">
        <v>321</v>
      </c>
      <c r="G6" s="160" t="s">
        <v>425</v>
      </c>
      <c r="H6" s="43" t="s">
        <v>426</v>
      </c>
    </row>
    <row r="7" spans="1:8" ht="15.75" customHeight="1">
      <c r="A7" s="44"/>
      <c r="B7" s="45" t="s">
        <v>332</v>
      </c>
      <c r="C7" s="45" t="s">
        <v>332</v>
      </c>
      <c r="D7" s="161" t="s">
        <v>332</v>
      </c>
      <c r="E7" s="161" t="s">
        <v>335</v>
      </c>
      <c r="F7" s="161" t="s">
        <v>315</v>
      </c>
      <c r="G7" s="161" t="s">
        <v>427</v>
      </c>
      <c r="H7" s="45" t="s">
        <v>428</v>
      </c>
    </row>
    <row r="8" spans="1:8" ht="15" customHeight="1">
      <c r="A8" s="8" t="s">
        <v>429</v>
      </c>
      <c r="B8" s="123">
        <f>+GETPIVOTDATA(" New Prof avg",'Averages Pivot Table'!$A$3,"Category",1,"Category2","Four-Year")</f>
        <v>116739.7840645887</v>
      </c>
      <c r="C8" s="123">
        <f>+GETPIVOTDATA(" New Asc. avg",'Averages Pivot Table'!$A$3,"Category",1,"Category2","Four-Year")</f>
        <v>80044.915100683895</v>
      </c>
      <c r="D8" s="162">
        <f>+GETPIVOTDATA(" New Ast. avg",'Averages Pivot Table'!$A$3,"Category",1,"Category2","Four-Year")</f>
        <v>69202.177042910625</v>
      </c>
      <c r="E8" s="162">
        <f>+GETPIVOTDATA(" New Inst. avg",'Averages Pivot Table'!$A$3,"Category",1,"Category2","Four-Year")</f>
        <v>45800.465433144709</v>
      </c>
      <c r="F8" s="162">
        <f>+GETPIVOTDATA(" New Undesg. avg",'Averages Pivot Table'!$A$3,"Category",1,"Category2","Four-Year")</f>
        <v>52438.836260749929</v>
      </c>
      <c r="G8" s="162">
        <f>+GETPIVOTDATA(" New Single Rnk avg",'Averages Pivot Table'!$A$3,"Category",1,"Category2","Four-Year")</f>
        <v>63809.16850872818</v>
      </c>
      <c r="H8" s="123">
        <f>+GETPIVOTDATA(" New All Ranks avg",'Averages Pivot Table'!$A$3,"Category",1,"Category2","Four-Year")</f>
        <v>84691.302308609505</v>
      </c>
    </row>
    <row r="9" spans="1:8" ht="15" customHeight="1">
      <c r="A9" s="8" t="s">
        <v>430</v>
      </c>
      <c r="B9" s="121">
        <f>+GETPIVOTDATA(" New Prof avg",'Averages Pivot Table'!$A$3,"Category",2,"Category2","Four-Year")</f>
        <v>109561.62957280544</v>
      </c>
      <c r="C9" s="121">
        <f>+GETPIVOTDATA(" New Asc. avg",'Averages Pivot Table'!$A$3,"Category",2,"Category2","Four-Year")</f>
        <v>77783.855881979762</v>
      </c>
      <c r="D9" s="163">
        <f>+GETPIVOTDATA(" New Ast. avg",'Averages Pivot Table'!$A$3,"Category",2,"Category2","Four-Year")</f>
        <v>65777.184668638336</v>
      </c>
      <c r="E9" s="163">
        <f>+GETPIVOTDATA(" New Inst. avg",'Averages Pivot Table'!$A$3,"Category",2,"Category2","Four-Year")</f>
        <v>44934.379973666983</v>
      </c>
      <c r="F9" s="163">
        <f>+GETPIVOTDATA(" New Undesg. avg",'Averages Pivot Table'!$A$3,"Category",2,"Category2","Four-Year")</f>
        <v>45254.311606261857</v>
      </c>
      <c r="G9" s="163">
        <f>+GETPIVOTDATA(" New Single Rnk avg",'Averages Pivot Table'!$A$3,"Category",2,"Category2","Four-Year")</f>
        <v>58538.320512820515</v>
      </c>
      <c r="H9" s="121">
        <f>+GETPIVOTDATA(" New All Ranks avg",'Averages Pivot Table'!$A$3,"Category",2,"Category2","Four-Year")</f>
        <v>75916.652892789236</v>
      </c>
    </row>
    <row r="10" spans="1:8" ht="15" customHeight="1">
      <c r="A10" s="8" t="s">
        <v>431</v>
      </c>
      <c r="B10" s="121">
        <f>+GETPIVOTDATA(" New Prof avg",'Averages Pivot Table'!$A$3,"Category",3,"Category2","Four-Year")</f>
        <v>83348.281568398976</v>
      </c>
      <c r="C10" s="121">
        <f>+GETPIVOTDATA(" New Asc. avg",'Averages Pivot Table'!$A$3,"Category",3,"Category2","Four-Year")</f>
        <v>67540.451726907631</v>
      </c>
      <c r="D10" s="163">
        <f>+GETPIVOTDATA(" New Ast. avg",'Averages Pivot Table'!$A$3,"Category",3,"Category2","Four-Year")</f>
        <v>57528.879977825083</v>
      </c>
      <c r="E10" s="163">
        <f>+GETPIVOTDATA(" New Inst. avg",'Averages Pivot Table'!$A$3,"Category",3,"Category2","Four-Year")</f>
        <v>43204.425828846805</v>
      </c>
      <c r="F10" s="163">
        <f>+GETPIVOTDATA(" New Undesg. avg",'Averages Pivot Table'!$A$3,"Category",3,"Category2","Four-Year")</f>
        <v>46688.635641272303</v>
      </c>
      <c r="G10" s="163">
        <f>+GETPIVOTDATA(" New Single Rnk avg",'Averages Pivot Table'!$A$3,"Category",3,"Category2","Four-Year")</f>
        <v>52013.500569387754</v>
      </c>
      <c r="H10" s="121">
        <f>+GETPIVOTDATA(" New All Ranks avg",'Averages Pivot Table'!$A$3,"Category",3,"Category2","Four-Year")</f>
        <v>63725.108062828323</v>
      </c>
    </row>
    <row r="11" spans="1:8" ht="15" customHeight="1">
      <c r="A11" s="8" t="s">
        <v>432</v>
      </c>
      <c r="B11" s="121">
        <f>+GETPIVOTDATA(" New Prof avg",'Averages Pivot Table'!$A$3,"Category",4,"Category2","Four-Year")</f>
        <v>80292.974757357413</v>
      </c>
      <c r="C11" s="121">
        <f>+GETPIVOTDATA(" New Asc. avg",'Averages Pivot Table'!$A$3,"Category",4,"Category2","Four-Year")</f>
        <v>65620.11907238909</v>
      </c>
      <c r="D11" s="163">
        <f>+GETPIVOTDATA(" New Ast. avg",'Averages Pivot Table'!$A$3,"Category",4,"Category2","Four-Year")</f>
        <v>56350.431820000653</v>
      </c>
      <c r="E11" s="163">
        <f>+GETPIVOTDATA(" New Inst. avg",'Averages Pivot Table'!$A$3,"Category",4,"Category2","Four-Year")</f>
        <v>43857.669274432672</v>
      </c>
      <c r="F11" s="163">
        <f>+GETPIVOTDATA(" New Undesg. avg",'Averages Pivot Table'!$A$3,"Category",4,"Category2","Four-Year")</f>
        <v>45528.999442803826</v>
      </c>
      <c r="G11" s="163">
        <f>+GETPIVOTDATA(" New Single Rnk avg",'Averages Pivot Table'!$A$3,"Category",4,"Category2","Four-Year")</f>
        <v>53840.047619047618</v>
      </c>
      <c r="H11" s="121">
        <f>+GETPIVOTDATA(" New All Ranks avg",'Averages Pivot Table'!$A$3,"Category",4,"Category2","Four-Year")</f>
        <v>62091.455053801983</v>
      </c>
    </row>
    <row r="12" spans="1:8" ht="15" customHeight="1">
      <c r="A12" s="8" t="s">
        <v>433</v>
      </c>
      <c r="B12" s="121">
        <f>+GETPIVOTDATA(" New Prof avg",'Averages Pivot Table'!$A$3,"Category",5,"Category2","Four-Year")</f>
        <v>76109.332569749342</v>
      </c>
      <c r="C12" s="121">
        <f>+GETPIVOTDATA(" New Asc. avg",'Averages Pivot Table'!$A$3,"Category",5,"Category2","Four-Year")</f>
        <v>63567.47224352332</v>
      </c>
      <c r="D12" s="163">
        <f>+GETPIVOTDATA(" New Ast. avg",'Averages Pivot Table'!$A$3,"Category",5,"Category2","Four-Year")</f>
        <v>53958.495616539687</v>
      </c>
      <c r="E12" s="163">
        <f>+GETPIVOTDATA(" New Inst. avg",'Averages Pivot Table'!$A$3,"Category",5,"Category2","Four-Year")</f>
        <v>44676.68949229701</v>
      </c>
      <c r="F12" s="163">
        <f>+GETPIVOTDATA(" New Undesg. avg",'Averages Pivot Table'!$A$3,"Category",5,"Category2","Four-Year")</f>
        <v>44199.5726645631</v>
      </c>
      <c r="G12" s="163">
        <f>+GETPIVOTDATA(" New Single Rnk avg",'Averages Pivot Table'!$A$3,"Category",5,"Category2","Four-Year")</f>
        <v>57923.333333333336</v>
      </c>
      <c r="H12" s="121">
        <f>+GETPIVOTDATA(" New All Ranks avg",'Averages Pivot Table'!$A$3,"Category",5,"Category2","Four-Year")</f>
        <v>59024.507887206564</v>
      </c>
    </row>
    <row r="13" spans="1:8" ht="15" customHeight="1">
      <c r="A13" s="8" t="s">
        <v>434</v>
      </c>
      <c r="B13" s="121">
        <f>+GETPIVOTDATA(" New Prof avg",'Averages Pivot Table'!$A$3,"Category",6,"Category2","Four-Year")</f>
        <v>76381.745625174837</v>
      </c>
      <c r="C13" s="121">
        <f>+GETPIVOTDATA(" New Asc. avg",'Averages Pivot Table'!$A$3,"Category",6,"Category2","Four-Year")</f>
        <v>61304.266855503978</v>
      </c>
      <c r="D13" s="163">
        <f>+GETPIVOTDATA(" New Ast. avg",'Averages Pivot Table'!$A$3,"Category",6,"Category2","Four-Year")</f>
        <v>52229.091262563074</v>
      </c>
      <c r="E13" s="163">
        <f>+GETPIVOTDATA(" New Inst. avg",'Averages Pivot Table'!$A$3,"Category",6,"Category2","Four-Year")</f>
        <v>41315.096178403757</v>
      </c>
      <c r="F13" s="163">
        <f>+GETPIVOTDATA(" New Undesg. avg",'Averages Pivot Table'!$A$3,"Category",6,"Category2","Four-Year")</f>
        <v>49646.830909374992</v>
      </c>
      <c r="G13" s="163">
        <f>+GETPIVOTDATA(" New Single Rnk avg",'Averages Pivot Table'!$A$3,"Category",6,"Category2","Four-Year")</f>
        <v>0</v>
      </c>
      <c r="H13" s="121">
        <f>+GETPIVOTDATA(" New All Ranks avg",'Averages Pivot Table'!$A$3,"Category",6,"Category2","Four-Year")</f>
        <v>57514.557974258933</v>
      </c>
    </row>
    <row r="14" spans="1:8" ht="15" customHeight="1">
      <c r="A14" s="188" t="s">
        <v>435</v>
      </c>
      <c r="B14" s="121">
        <f>+GETPIVOTDATA(" New Prof avg",'Averages Pivot Table'!$A$3,"Category2","Four-Year")</f>
        <v>103212.32795590247</v>
      </c>
      <c r="C14" s="121">
        <f>+GETPIVOTDATA(" New Asc. avg",'Averages Pivot Table'!$A$3,"Category2","Four-Year")</f>
        <v>73898.324697466276</v>
      </c>
      <c r="D14" s="163">
        <f>+GETPIVOTDATA(" New Ast. avg",'Averages Pivot Table'!$A$3,"Category2","Four-Year")</f>
        <v>62423.735593316022</v>
      </c>
      <c r="E14" s="163">
        <f>+GETPIVOTDATA(" New Inst. avg",'Averages Pivot Table'!$A$3,"Category2","Four-Year")</f>
        <v>44395.283326791636</v>
      </c>
      <c r="F14" s="163">
        <f>+GETPIVOTDATA(" New Undesg. avg",'Averages Pivot Table'!$A$3,"Category2","Four-Year")</f>
        <v>48961.219357781454</v>
      </c>
      <c r="G14" s="163">
        <f>+GETPIVOTDATA(" New Single Rnk avg",'Averages Pivot Table'!$A$3,"Category2","Four-Year")</f>
        <v>59471.330374968071</v>
      </c>
      <c r="H14" s="121">
        <f>+GETPIVOTDATA(" New All Ranks avg",'Averages Pivot Table'!$A$3,"Category2","Four-Year")</f>
        <v>73954.52597053448</v>
      </c>
    </row>
    <row r="15" spans="1:8" ht="15" customHeight="1">
      <c r="A15" s="8"/>
      <c r="B15" s="121"/>
      <c r="C15" s="121"/>
      <c r="D15" s="163"/>
      <c r="E15" s="163"/>
      <c r="F15" s="163"/>
      <c r="G15" s="163"/>
      <c r="H15" s="121"/>
    </row>
    <row r="16" spans="1:8" ht="15" customHeight="1">
      <c r="A16" s="8" t="s">
        <v>305</v>
      </c>
      <c r="B16" s="121">
        <f>+GETPIVOTDATA(" New Prof avg",'Averages Pivot Table'!$A$3,"Category",7,"Category2","Two-Year")</f>
        <v>64603.005077720212</v>
      </c>
      <c r="C16" s="121">
        <f>+GETPIVOTDATA(" New Asc. avg",'Averages Pivot Table'!$A$3,"Category",7,"Category2","Two-Year")</f>
        <v>53279.468589573466</v>
      </c>
      <c r="D16" s="163">
        <f>+GETPIVOTDATA(" New Ast. avg",'Averages Pivot Table'!$A$3,"Category",7,"Category2","Two-Year")</f>
        <v>45995.663736601302</v>
      </c>
      <c r="E16" s="163">
        <f>+GETPIVOTDATA(" New Inst. avg",'Averages Pivot Table'!$A$3,"Category",7,"Category2","Two-Year")</f>
        <v>48780.156261658842</v>
      </c>
      <c r="F16" s="163">
        <f>+GETPIVOTDATA(" New Undesg. avg",'Averages Pivot Table'!$A$3,"Category",7,"Category2","Two-Year")</f>
        <v>36948.160200000006</v>
      </c>
      <c r="G16" s="163">
        <f>+GETPIVOTDATA(" New Single Rnk avg",'Averages Pivot Table'!$A$3,"Category",7,"Category2","Two-Year")</f>
        <v>58219.442157218626</v>
      </c>
      <c r="H16" s="121">
        <f>+GETPIVOTDATA(" New All Ranks avg",'Averages Pivot Table'!$A$3,"Category",7,"Category2","Two-Year")</f>
        <v>54861.800102206347</v>
      </c>
    </row>
    <row r="17" spans="1:8" ht="15" customHeight="1">
      <c r="A17" s="8" t="s">
        <v>436</v>
      </c>
      <c r="B17" s="121">
        <f>+GETPIVOTDATA(" New Prof avg",'Averages Pivot Table'!$A$3,"Category",8,"Category2","Two-Year")</f>
        <v>69222.330849274789</v>
      </c>
      <c r="C17" s="121">
        <f>+GETPIVOTDATA(" New Asc. avg",'Averages Pivot Table'!$A$3,"Category",8,"Category2","Two-Year")</f>
        <v>56004.983480884439</v>
      </c>
      <c r="D17" s="163">
        <f>+GETPIVOTDATA(" New Ast. avg",'Averages Pivot Table'!$A$3,"Category",8,"Category2","Two-Year")</f>
        <v>52108.448705444454</v>
      </c>
      <c r="E17" s="163">
        <f>+GETPIVOTDATA(" New Inst. avg",'Averages Pivot Table'!$A$3,"Category",8,"Category2","Two-Year")</f>
        <v>49855.801100293342</v>
      </c>
      <c r="F17" s="163">
        <f>+GETPIVOTDATA(" New Undesg. avg",'Averages Pivot Table'!$A$3,"Category",8,"Category2","Two-Year")</f>
        <v>45428.333761957525</v>
      </c>
      <c r="G17" s="163">
        <f>+GETPIVOTDATA(" New Single Rnk avg",'Averages Pivot Table'!$A$3,"Category",8,"Category2","Two-Year")</f>
        <v>51745.544434401854</v>
      </c>
      <c r="H17" s="121">
        <f>+GETPIVOTDATA(" New All Ranks avg",'Averages Pivot Table'!$A$3,"Category",8,"Category2","Two-Year")</f>
        <v>54093.048684692287</v>
      </c>
    </row>
    <row r="18" spans="1:8" ht="15" customHeight="1">
      <c r="A18" s="8" t="s">
        <v>437</v>
      </c>
      <c r="B18" s="121">
        <f>+GETPIVOTDATA(" New Prof avg",'Averages Pivot Table'!$A$3,"Category",9,"Category2","Two-Year")</f>
        <v>58472.768040577801</v>
      </c>
      <c r="C18" s="121">
        <f>+GETPIVOTDATA(" New Asc. avg",'Averages Pivot Table'!$A$3,"Category",9,"Category2","Two-Year")</f>
        <v>50862.858032781951</v>
      </c>
      <c r="D18" s="163">
        <f>+GETPIVOTDATA(" New Ast. avg",'Averages Pivot Table'!$A$3,"Category",9,"Category2","Two-Year")</f>
        <v>46398.559733686867</v>
      </c>
      <c r="E18" s="163">
        <f>+GETPIVOTDATA(" New Inst. avg",'Averages Pivot Table'!$A$3,"Category",9,"Category2","Two-Year")</f>
        <v>41978.554474396064</v>
      </c>
      <c r="F18" s="163">
        <f>+GETPIVOTDATA(" New Undesg. avg",'Averages Pivot Table'!$A$3,"Category",9,"Category2","Two-Year")</f>
        <v>45395.296667572809</v>
      </c>
      <c r="G18" s="163">
        <f>+GETPIVOTDATA(" New Single Rnk avg",'Averages Pivot Table'!$A$3,"Category",9,"Category2","Two-Year")</f>
        <v>50012.753366450357</v>
      </c>
      <c r="H18" s="121">
        <f>+GETPIVOTDATA(" New All Ranks avg",'Averages Pivot Table'!$A$3,"Category",9,"Category2","Two-Year")</f>
        <v>49168.777607690652</v>
      </c>
    </row>
    <row r="19" spans="1:8" ht="15" customHeight="1">
      <c r="A19" s="8" t="s">
        <v>306</v>
      </c>
      <c r="B19" s="121">
        <f>+GETPIVOTDATA(" New Prof avg",'Averages Pivot Table'!$A$3,"Category",10,"Category2","Two-Year")</f>
        <v>60300.113744657538</v>
      </c>
      <c r="C19" s="121">
        <f>+GETPIVOTDATA(" New Asc. avg",'Averages Pivot Table'!$A$3,"Category",10,"Category2","Two-Year")</f>
        <v>51929.230337804875</v>
      </c>
      <c r="D19" s="163">
        <f>+GETPIVOTDATA(" New Ast. avg",'Averages Pivot Table'!$A$3,"Category",10,"Category2","Two-Year")</f>
        <v>45430.005362790704</v>
      </c>
      <c r="E19" s="163">
        <f>+GETPIVOTDATA(" New Inst. avg",'Averages Pivot Table'!$A$3,"Category",10,"Category2","Two-Year")</f>
        <v>39395.313046469251</v>
      </c>
      <c r="F19" s="163">
        <f>+GETPIVOTDATA(" New Undesg. avg",'Averages Pivot Table'!$A$3,"Category",10,"Category2","Two-Year")</f>
        <v>40209.629288235294</v>
      </c>
      <c r="G19" s="163">
        <f>+GETPIVOTDATA(" New Single Rnk avg",'Averages Pivot Table'!$A$3,"Category",10,"Category2","Two-Year")</f>
        <v>45990.012924820032</v>
      </c>
      <c r="H19" s="121">
        <f>+GETPIVOTDATA(" New All Ranks avg",'Averages Pivot Table'!$A$3,"Category",10,"Category2","Two-Year")</f>
        <v>46014.70414731004</v>
      </c>
    </row>
    <row r="20" spans="1:8" ht="15" customHeight="1">
      <c r="A20" s="188" t="s">
        <v>307</v>
      </c>
      <c r="B20" s="121">
        <f>+GETPIVOTDATA(" New Prof avg",'Averages Pivot Table'!$A$3,"Category2","Two-Year")</f>
        <v>65304.070443449651</v>
      </c>
      <c r="C20" s="121">
        <f>+GETPIVOTDATA(" New Asc. avg",'Averages Pivot Table'!$A$3,"Category2","Two-Year")</f>
        <v>54723.268040640585</v>
      </c>
      <c r="D20" s="163">
        <f>+GETPIVOTDATA(" New Ast. avg",'Averages Pivot Table'!$A$3,"Category2","Two-Year")</f>
        <v>49705.314623734834</v>
      </c>
      <c r="E20" s="163">
        <f>+GETPIVOTDATA(" New Inst. avg",'Averages Pivot Table'!$A$3,"Category2","Two-Year")</f>
        <v>45984.889247175321</v>
      </c>
      <c r="F20" s="163">
        <f>+GETPIVOTDATA(" New Undesg. avg",'Averages Pivot Table'!$A$3,"Category2","Two-Year")</f>
        <v>44911.135272844833</v>
      </c>
      <c r="G20" s="163">
        <f>+GETPIVOTDATA(" New Single Rnk avg",'Averages Pivot Table'!$A$3,"Category2","Two-Year")</f>
        <v>50859.765392008449</v>
      </c>
      <c r="H20" s="121">
        <f>+GETPIVOTDATA(" New All Ranks avg",'Averages Pivot Table'!$A$3,"Category2","Two-Year")</f>
        <v>51830.606228565914</v>
      </c>
    </row>
    <row r="21" spans="1:8" ht="15" customHeight="1">
      <c r="A21" s="8"/>
      <c r="B21" s="121"/>
      <c r="C21" s="121"/>
      <c r="D21" s="163"/>
      <c r="E21" s="163"/>
      <c r="F21" s="163"/>
      <c r="G21" s="163"/>
      <c r="H21" s="121"/>
    </row>
    <row r="22" spans="1:8" ht="15" customHeight="1">
      <c r="A22" s="8" t="s">
        <v>239</v>
      </c>
      <c r="B22" s="121">
        <f>+GETPIVOTDATA(" New Prof avg",'Averages Pivot Table'!$A$3,"Category",12,"Category2","Technical Institutes")</f>
        <v>61578.059739999997</v>
      </c>
      <c r="C22" s="121">
        <f>+GETPIVOTDATA(" New Asc. avg",'Averages Pivot Table'!$A$3,"Category",12,"Category2","Technical Institutes")</f>
        <v>49410.908539999997</v>
      </c>
      <c r="D22" s="163">
        <f>+GETPIVOTDATA(" New Ast. avg",'Averages Pivot Table'!$A$3,"Category",12,"Category2","Technical Institutes")</f>
        <v>44244.25603783784</v>
      </c>
      <c r="E22" s="163">
        <f>+GETPIVOTDATA(" New Inst. avg",'Averages Pivot Table'!$A$3,"Category",12,"Category2","Technical Institutes")</f>
        <v>39667.732794160584</v>
      </c>
      <c r="F22" s="163">
        <f>+GETPIVOTDATA(" New Undesg. avg",'Averages Pivot Table'!$A$3,"Category",12,"Category2","Technical Institutes")</f>
        <v>0</v>
      </c>
      <c r="G22" s="163">
        <f>+GETPIVOTDATA(" New Single Rnk avg",'Averages Pivot Table'!$A$3,"Category",12,"Category2","Technical Institutes")</f>
        <v>46085.950839939258</v>
      </c>
      <c r="H22" s="121">
        <f>+GETPIVOTDATA(" New All Ranks avg",'Averages Pivot Table'!$A$3,"Category",12,"Category2","Technical Institutes")</f>
        <v>45855.188354653605</v>
      </c>
    </row>
    <row r="23" spans="1:8" ht="15" customHeight="1">
      <c r="A23" s="8" t="s">
        <v>240</v>
      </c>
      <c r="B23" s="121">
        <f>+GETPIVOTDATA(" New Prof avg",'Averages Pivot Table'!$A$3,"Category",13,"Category2","Technical Institutes")</f>
        <v>0</v>
      </c>
      <c r="C23" s="121">
        <f>+GETPIVOTDATA(" New Asc. avg",'Averages Pivot Table'!$A$3,"Category",13,"Category2","Technical Institutes")</f>
        <v>0</v>
      </c>
      <c r="D23" s="163">
        <f>+GETPIVOTDATA(" New Ast. avg",'Averages Pivot Table'!$A$3,"Category",13,"Category2","Technical Institutes")</f>
        <v>53078.270400000001</v>
      </c>
      <c r="E23" s="163">
        <f>+GETPIVOTDATA(" New Inst. avg",'Averages Pivot Table'!$A$3,"Category",13,"Category2","Technical Institutes")</f>
        <v>37556.669825531921</v>
      </c>
      <c r="F23" s="163">
        <f>+GETPIVOTDATA(" New Undesg. avg",'Averages Pivot Table'!$A$3,"Category",13,"Category2","Technical Institutes")</f>
        <v>26200</v>
      </c>
      <c r="G23" s="163">
        <f>+GETPIVOTDATA(" New Single Rnk avg",'Averages Pivot Table'!$A$3,"Category",13,"Category2","Technical Institutes")</f>
        <v>44057.2800546328</v>
      </c>
      <c r="H23" s="121">
        <f>+GETPIVOTDATA(" New All Ranks avg",'Averages Pivot Table'!$A$3,"Category",13,"Category2","Technical Institutes")</f>
        <v>43801.787279337739</v>
      </c>
    </row>
    <row r="24" spans="1:8" ht="15" customHeight="1">
      <c r="A24" s="8" t="s">
        <v>241</v>
      </c>
      <c r="B24" s="121">
        <f>+GETPIVOTDATA(" New Prof avg",'Averages Pivot Table'!$A$3,"Category",14,"Category2","Technical Institutes")</f>
        <v>44248.624475510202</v>
      </c>
      <c r="C24" s="121">
        <f>+GETPIVOTDATA(" New Asc. avg",'Averages Pivot Table'!$A$3,"Category",14,"Category2","Technical Institutes")</f>
        <v>39281.461257142859</v>
      </c>
      <c r="D24" s="163">
        <f>+GETPIVOTDATA(" New Ast. avg",'Averages Pivot Table'!$A$3,"Category",14,"Category2","Technical Institutes")</f>
        <v>41960.064063157901</v>
      </c>
      <c r="E24" s="163">
        <f>+GETPIVOTDATA(" New Inst. avg",'Averages Pivot Table'!$A$3,"Category",14,"Category2","Technical Institutes")</f>
        <v>38647.608942334096</v>
      </c>
      <c r="F24" s="163">
        <f>+GETPIVOTDATA(" New Undesg. avg",'Averages Pivot Table'!$A$3,"Category",14,"Category2","Technical Institutes")</f>
        <v>0</v>
      </c>
      <c r="G24" s="163">
        <f>+GETPIVOTDATA(" New Single Rnk avg",'Averages Pivot Table'!$A$3,"Category",14,"Category2","Technical Institutes")</f>
        <v>40268.537788679248</v>
      </c>
      <c r="H24" s="121">
        <f>+GETPIVOTDATA(" New All Ranks avg",'Averages Pivot Table'!$A$3,"Category",14,"Category2","Technical Institutes")</f>
        <v>40024.100049110319</v>
      </c>
    </row>
    <row r="25" spans="1:8" ht="15" customHeight="1">
      <c r="A25" s="189" t="s">
        <v>242</v>
      </c>
      <c r="B25" s="122">
        <f>+GETPIVOTDATA(" New Prof avg",'Averages Pivot Table'!$A$3,"Category2","Technical Institutes")</f>
        <v>45853.201814814813</v>
      </c>
      <c r="C25" s="122">
        <f>+GETPIVOTDATA(" New Asc. avg",'Averages Pivot Table'!$A$3,"Category2","Technical Institutes")</f>
        <v>45923.7217704918</v>
      </c>
      <c r="D25" s="164">
        <f>+GETPIVOTDATA(" New Ast. avg",'Averages Pivot Table'!$A$3,"Category2","Technical Institutes")</f>
        <v>43218.397081578943</v>
      </c>
      <c r="E25" s="164">
        <f>+GETPIVOTDATA(" New Inst. avg",'Averages Pivot Table'!$A$3,"Category2","Technical Institutes")</f>
        <v>38790.093369404196</v>
      </c>
      <c r="F25" s="164">
        <f>+GETPIVOTDATA(" New Undesg. avg",'Averages Pivot Table'!$A$3,"Category2","Technical Institutes")</f>
        <v>26200</v>
      </c>
      <c r="G25" s="164">
        <f>+GETPIVOTDATA(" New Single Rnk avg",'Averages Pivot Table'!$A$3,"Category2","Technical Institutes")</f>
        <v>44779.090365721706</v>
      </c>
      <c r="H25" s="122">
        <f>+GETPIVOTDATA(" New All Ranks avg",'Averages Pivot Table'!$A$3,"Category2","Technical Institutes")</f>
        <v>44097.216963692648</v>
      </c>
    </row>
    <row r="26" spans="1:8" ht="29.25" customHeight="1">
      <c r="A26" s="616" t="s">
        <v>323</v>
      </c>
      <c r="B26" s="617"/>
      <c r="C26" s="617"/>
      <c r="D26" s="617"/>
      <c r="E26" s="617"/>
      <c r="F26" s="617"/>
      <c r="G26" s="617"/>
      <c r="H26" s="617"/>
    </row>
    <row r="27" spans="1:8">
      <c r="H27" s="244" t="s">
        <v>1166</v>
      </c>
    </row>
  </sheetData>
  <mergeCells count="4">
    <mergeCell ref="A26:H26"/>
    <mergeCell ref="A1:H1"/>
    <mergeCell ref="A3:H3"/>
    <mergeCell ref="A4:H4"/>
  </mergeCells>
  <phoneticPr fontId="15" type="noConversion"/>
  <pageMargins left="0.5" right="0.5" top="1" bottom="0.75" header="0.75" footer="0.5"/>
  <pageSetup firstPageNumber="176" orientation="landscape" useFirstPageNumber="1" r:id="rId1"/>
  <headerFooter alignWithMargins="0">
    <oddHeader>&amp;R&amp;"Arial,Regular"&amp;8SREB-State Data Exchange</oddHeader>
    <oddFooter>&amp;C&amp;"Arial,Regular"&amp;10&amp;P</oddFooter>
  </headerFooter>
</worksheet>
</file>

<file path=xl/worksheets/sheet10.xml><?xml version="1.0" encoding="utf-8"?>
<worksheet xmlns="http://schemas.openxmlformats.org/spreadsheetml/2006/main" xmlns:r="http://schemas.openxmlformats.org/officeDocument/2006/relationships">
  <sheetPr>
    <tabColor rgb="FF00CC66"/>
  </sheetPr>
  <dimension ref="A1:V124"/>
  <sheetViews>
    <sheetView showZeros="0" zoomScale="90" zoomScaleNormal="90" workbookViewId="0">
      <pane xSplit="2" ySplit="5" topLeftCell="C11" activePane="bottomRight" state="frozen"/>
      <selection pane="topRight" activeCell="C1" sqref="C1"/>
      <selection pane="bottomLeft" activeCell="A6" sqref="A6"/>
      <selection pane="bottomRight" activeCell="X91" sqref="X91"/>
    </sheetView>
  </sheetViews>
  <sheetFormatPr defaultRowHeight="15.75"/>
  <cols>
    <col min="1" max="1" width="7.125" style="583" customWidth="1"/>
    <col min="2" max="2" width="17.25" style="78" customWidth="1"/>
    <col min="3" max="8" width="11" style="78" customWidth="1"/>
    <col min="9" max="9" width="9.125" style="78" customWidth="1"/>
    <col min="10" max="14" width="7.625" style="78" customWidth="1"/>
    <col min="15" max="15" width="7.75" style="78" customWidth="1"/>
    <col min="16" max="17" width="7.625" style="78" customWidth="1"/>
    <col min="18" max="18" width="7.75" style="78" customWidth="1"/>
    <col min="19" max="19" width="8" style="78" customWidth="1"/>
    <col min="20" max="20" width="7.75" style="78" customWidth="1"/>
    <col min="21" max="21" width="5.625" style="78" customWidth="1"/>
    <col min="22" max="22" width="8.75" style="78" customWidth="1"/>
    <col min="23" max="23" width="9.875" bestFit="1" customWidth="1"/>
  </cols>
  <sheetData>
    <row r="1" spans="1:22">
      <c r="A1" s="570" t="s">
        <v>102</v>
      </c>
    </row>
    <row r="3" spans="1:22">
      <c r="A3" s="571"/>
      <c r="B3" s="572"/>
      <c r="C3" s="577" t="s">
        <v>288</v>
      </c>
      <c r="D3" s="573" t="s">
        <v>327</v>
      </c>
      <c r="E3" s="573"/>
      <c r="F3" s="573"/>
      <c r="G3" s="573"/>
      <c r="H3" s="573"/>
      <c r="I3" s="573"/>
      <c r="J3" s="573"/>
      <c r="K3" s="573"/>
      <c r="L3" s="573"/>
      <c r="M3" s="573"/>
      <c r="N3" s="573"/>
      <c r="O3" s="573"/>
      <c r="P3" s="573"/>
      <c r="Q3" s="573"/>
      <c r="R3" s="573"/>
      <c r="S3" s="573"/>
      <c r="T3" s="573"/>
      <c r="U3" s="574"/>
      <c r="V3" s="573"/>
    </row>
    <row r="4" spans="1:22">
      <c r="A4" s="575"/>
      <c r="B4" s="576"/>
      <c r="C4" s="577" t="s">
        <v>318</v>
      </c>
      <c r="D4" s="573"/>
      <c r="E4" s="573"/>
      <c r="F4" s="573"/>
      <c r="G4" s="573"/>
      <c r="H4" s="573"/>
      <c r="I4" s="577" t="s">
        <v>238</v>
      </c>
      <c r="J4" s="577" t="s">
        <v>1165</v>
      </c>
      <c r="K4" s="573"/>
      <c r="L4" s="573"/>
      <c r="M4" s="573"/>
      <c r="N4" s="573"/>
      <c r="O4" s="577" t="s">
        <v>238</v>
      </c>
      <c r="P4" s="577" t="s">
        <v>289</v>
      </c>
      <c r="Q4" s="573"/>
      <c r="R4" s="615"/>
      <c r="S4" s="577" t="s">
        <v>238</v>
      </c>
      <c r="T4" s="577" t="s">
        <v>243</v>
      </c>
      <c r="U4" s="577"/>
      <c r="V4" s="577"/>
    </row>
    <row r="5" spans="1:22">
      <c r="A5" s="571" t="s">
        <v>330</v>
      </c>
      <c r="B5" s="577" t="s">
        <v>244</v>
      </c>
      <c r="C5" s="577">
        <v>1</v>
      </c>
      <c r="D5" s="574">
        <v>2</v>
      </c>
      <c r="E5" s="574">
        <v>3</v>
      </c>
      <c r="F5" s="574">
        <v>4</v>
      </c>
      <c r="G5" s="574">
        <v>5</v>
      </c>
      <c r="H5" s="574">
        <v>6</v>
      </c>
      <c r="I5" s="578"/>
      <c r="J5" s="577">
        <v>7</v>
      </c>
      <c r="K5" s="574">
        <v>8</v>
      </c>
      <c r="L5" s="574">
        <v>9</v>
      </c>
      <c r="M5" s="574">
        <v>10</v>
      </c>
      <c r="N5" s="574" t="s">
        <v>1164</v>
      </c>
      <c r="O5" s="578"/>
      <c r="P5" s="577">
        <v>12</v>
      </c>
      <c r="Q5" s="574">
        <v>13</v>
      </c>
      <c r="R5" s="579">
        <v>14</v>
      </c>
      <c r="S5" s="577"/>
      <c r="T5" s="578"/>
      <c r="U5" s="577"/>
      <c r="V5" s="578"/>
    </row>
    <row r="6" spans="1:22">
      <c r="A6" s="571" t="s">
        <v>329</v>
      </c>
      <c r="B6" s="577" t="s">
        <v>797</v>
      </c>
      <c r="C6" s="577">
        <v>991</v>
      </c>
      <c r="D6" s="574">
        <v>76</v>
      </c>
      <c r="E6" s="574">
        <v>332</v>
      </c>
      <c r="F6" s="574">
        <v>186</v>
      </c>
      <c r="G6" s="574">
        <v>48</v>
      </c>
      <c r="H6" s="574">
        <v>21</v>
      </c>
      <c r="I6" s="577">
        <v>1654</v>
      </c>
      <c r="J6" s="577">
        <v>0</v>
      </c>
      <c r="K6" s="574">
        <v>0</v>
      </c>
      <c r="L6" s="574">
        <v>0</v>
      </c>
      <c r="M6" s="574">
        <v>0</v>
      </c>
      <c r="N6" s="574">
        <v>0</v>
      </c>
      <c r="O6" s="577">
        <v>0</v>
      </c>
      <c r="P6" s="577">
        <v>0</v>
      </c>
      <c r="Q6" s="574">
        <v>0</v>
      </c>
      <c r="R6" s="577">
        <v>0</v>
      </c>
      <c r="S6" s="577">
        <v>0</v>
      </c>
      <c r="T6" s="577">
        <v>1654</v>
      </c>
      <c r="U6" s="577"/>
      <c r="V6" s="577"/>
    </row>
    <row r="7" spans="1:22">
      <c r="A7" s="575"/>
      <c r="B7" s="579" t="s">
        <v>799</v>
      </c>
      <c r="C7" s="579">
        <v>900</v>
      </c>
      <c r="D7" s="78">
        <v>93</v>
      </c>
      <c r="E7" s="78">
        <v>356</v>
      </c>
      <c r="F7" s="78">
        <v>168</v>
      </c>
      <c r="G7" s="78">
        <v>65</v>
      </c>
      <c r="H7" s="78">
        <v>20</v>
      </c>
      <c r="I7" s="579">
        <v>1602</v>
      </c>
      <c r="J7" s="579">
        <v>0</v>
      </c>
      <c r="K7" s="78">
        <v>0</v>
      </c>
      <c r="L7" s="78">
        <v>0</v>
      </c>
      <c r="M7" s="78">
        <v>0</v>
      </c>
      <c r="N7" s="78">
        <v>0</v>
      </c>
      <c r="O7" s="579">
        <v>0</v>
      </c>
      <c r="P7" s="579">
        <v>0</v>
      </c>
      <c r="Q7" s="78">
        <v>0</v>
      </c>
      <c r="R7" s="579">
        <v>0</v>
      </c>
      <c r="S7" s="579">
        <v>0</v>
      </c>
      <c r="T7" s="579">
        <v>1602</v>
      </c>
      <c r="U7" s="579"/>
      <c r="V7" s="579"/>
    </row>
    <row r="8" spans="1:22">
      <c r="A8" s="575"/>
      <c r="B8" s="579" t="s">
        <v>801</v>
      </c>
      <c r="C8" s="579">
        <v>886</v>
      </c>
      <c r="D8" s="78">
        <v>86</v>
      </c>
      <c r="E8" s="78">
        <v>520</v>
      </c>
      <c r="F8" s="78">
        <v>211</v>
      </c>
      <c r="G8" s="78">
        <v>111</v>
      </c>
      <c r="H8" s="78">
        <v>38</v>
      </c>
      <c r="I8" s="579">
        <v>1852</v>
      </c>
      <c r="J8" s="579">
        <v>0</v>
      </c>
      <c r="K8" s="78">
        <v>0</v>
      </c>
      <c r="L8" s="78">
        <v>0</v>
      </c>
      <c r="M8" s="78">
        <v>0</v>
      </c>
      <c r="N8" s="78">
        <v>0</v>
      </c>
      <c r="O8" s="579">
        <v>0</v>
      </c>
      <c r="P8" s="579">
        <v>0</v>
      </c>
      <c r="Q8" s="78">
        <v>0</v>
      </c>
      <c r="R8" s="579">
        <v>0</v>
      </c>
      <c r="S8" s="579">
        <v>0</v>
      </c>
      <c r="T8" s="579">
        <v>1852</v>
      </c>
      <c r="U8" s="579"/>
      <c r="V8" s="579"/>
    </row>
    <row r="9" spans="1:22">
      <c r="A9" s="575"/>
      <c r="B9" s="579" t="s">
        <v>803</v>
      </c>
      <c r="C9" s="579">
        <v>321</v>
      </c>
      <c r="D9" s="78">
        <v>11</v>
      </c>
      <c r="E9" s="78">
        <v>270</v>
      </c>
      <c r="F9" s="78">
        <v>97</v>
      </c>
      <c r="G9" s="78">
        <v>21</v>
      </c>
      <c r="H9" s="78">
        <v>3</v>
      </c>
      <c r="I9" s="579">
        <v>723</v>
      </c>
      <c r="J9" s="579">
        <v>0</v>
      </c>
      <c r="K9" s="78">
        <v>0</v>
      </c>
      <c r="L9" s="78">
        <v>0</v>
      </c>
      <c r="M9" s="78">
        <v>0</v>
      </c>
      <c r="N9" s="78">
        <v>0</v>
      </c>
      <c r="O9" s="579">
        <v>0</v>
      </c>
      <c r="P9" s="579">
        <v>0</v>
      </c>
      <c r="Q9" s="78">
        <v>0</v>
      </c>
      <c r="R9" s="579">
        <v>0</v>
      </c>
      <c r="S9" s="579">
        <v>0</v>
      </c>
      <c r="T9" s="579">
        <v>723</v>
      </c>
      <c r="U9" s="579"/>
      <c r="V9" s="579"/>
    </row>
    <row r="10" spans="1:22">
      <c r="A10" s="575"/>
      <c r="B10" s="579" t="s">
        <v>805</v>
      </c>
      <c r="C10" s="579">
        <v>24</v>
      </c>
      <c r="D10" s="78">
        <v>37</v>
      </c>
      <c r="E10" s="78">
        <v>43</v>
      </c>
      <c r="F10" s="78">
        <v>1</v>
      </c>
      <c r="G10" s="78">
        <v>7</v>
      </c>
      <c r="H10" s="78">
        <v>0</v>
      </c>
      <c r="I10" s="579">
        <v>112</v>
      </c>
      <c r="J10" s="579">
        <v>0</v>
      </c>
      <c r="K10" s="78">
        <v>0</v>
      </c>
      <c r="L10" s="78">
        <v>0</v>
      </c>
      <c r="M10" s="78">
        <v>0</v>
      </c>
      <c r="N10" s="78">
        <v>0</v>
      </c>
      <c r="O10" s="579">
        <v>0</v>
      </c>
      <c r="P10" s="579">
        <v>0</v>
      </c>
      <c r="Q10" s="78">
        <v>0</v>
      </c>
      <c r="R10" s="579">
        <v>0</v>
      </c>
      <c r="S10" s="579">
        <v>0</v>
      </c>
      <c r="T10" s="579">
        <v>112</v>
      </c>
      <c r="U10" s="579"/>
      <c r="V10" s="579"/>
    </row>
    <row r="11" spans="1:22">
      <c r="A11" s="575"/>
      <c r="B11" s="579" t="s">
        <v>807</v>
      </c>
      <c r="C11" s="579">
        <v>0</v>
      </c>
      <c r="D11" s="78">
        <v>0</v>
      </c>
      <c r="E11" s="78">
        <v>0</v>
      </c>
      <c r="F11" s="78">
        <v>0</v>
      </c>
      <c r="G11" s="78">
        <v>0</v>
      </c>
      <c r="H11" s="78">
        <v>0</v>
      </c>
      <c r="I11" s="579">
        <v>0</v>
      </c>
      <c r="J11" s="579">
        <v>0</v>
      </c>
      <c r="K11" s="78">
        <v>295</v>
      </c>
      <c r="L11" s="78">
        <v>1087</v>
      </c>
      <c r="M11" s="78">
        <v>388</v>
      </c>
      <c r="N11" s="78">
        <v>0</v>
      </c>
      <c r="O11" s="579">
        <v>1770</v>
      </c>
      <c r="P11" s="579">
        <v>74</v>
      </c>
      <c r="Q11" s="78">
        <v>89</v>
      </c>
      <c r="R11" s="579">
        <v>0</v>
      </c>
      <c r="S11" s="579">
        <v>163</v>
      </c>
      <c r="T11" s="579">
        <v>1933</v>
      </c>
      <c r="U11" s="579"/>
      <c r="V11" s="579"/>
    </row>
    <row r="12" spans="1:22">
      <c r="A12" s="575"/>
      <c r="B12" s="579" t="s">
        <v>809</v>
      </c>
      <c r="C12" s="579">
        <v>3122</v>
      </c>
      <c r="D12" s="78">
        <v>303</v>
      </c>
      <c r="E12" s="78">
        <v>1521</v>
      </c>
      <c r="F12" s="78">
        <v>663</v>
      </c>
      <c r="G12" s="78">
        <v>252</v>
      </c>
      <c r="H12" s="78">
        <v>82</v>
      </c>
      <c r="I12" s="579">
        <v>5943</v>
      </c>
      <c r="J12" s="579">
        <v>0</v>
      </c>
      <c r="K12" s="78">
        <v>295</v>
      </c>
      <c r="L12" s="78">
        <v>1087</v>
      </c>
      <c r="M12" s="78">
        <v>388</v>
      </c>
      <c r="N12" s="78">
        <v>0</v>
      </c>
      <c r="O12" s="579">
        <v>1770</v>
      </c>
      <c r="P12" s="579">
        <v>74</v>
      </c>
      <c r="Q12" s="78">
        <v>89</v>
      </c>
      <c r="R12" s="579">
        <v>0</v>
      </c>
      <c r="S12" s="579">
        <v>163</v>
      </c>
      <c r="T12" s="579">
        <v>7876</v>
      </c>
      <c r="U12" s="579"/>
      <c r="V12" s="579"/>
    </row>
    <row r="13" spans="1:22">
      <c r="A13" s="571" t="s">
        <v>338</v>
      </c>
      <c r="B13" s="577" t="s">
        <v>797</v>
      </c>
      <c r="C13" s="577">
        <v>349</v>
      </c>
      <c r="D13" s="574">
        <v>0</v>
      </c>
      <c r="E13" s="574">
        <v>329</v>
      </c>
      <c r="F13" s="574">
        <v>110</v>
      </c>
      <c r="G13" s="574">
        <v>45</v>
      </c>
      <c r="H13" s="574">
        <v>42</v>
      </c>
      <c r="I13" s="577">
        <v>875</v>
      </c>
      <c r="J13" s="577">
        <v>0</v>
      </c>
      <c r="K13" s="574">
        <v>0</v>
      </c>
      <c r="L13" s="574">
        <v>5</v>
      </c>
      <c r="M13" s="574">
        <v>0</v>
      </c>
      <c r="N13" s="574">
        <v>0</v>
      </c>
      <c r="O13" s="577">
        <v>5</v>
      </c>
      <c r="P13" s="577">
        <v>0</v>
      </c>
      <c r="Q13" s="574">
        <v>0</v>
      </c>
      <c r="R13" s="577">
        <v>0</v>
      </c>
      <c r="S13" s="577">
        <v>0</v>
      </c>
      <c r="T13" s="577">
        <v>880</v>
      </c>
      <c r="U13" s="577"/>
      <c r="V13" s="577"/>
    </row>
    <row r="14" spans="1:22">
      <c r="A14" s="575"/>
      <c r="B14" s="579" t="s">
        <v>799</v>
      </c>
      <c r="C14" s="579">
        <v>222</v>
      </c>
      <c r="D14" s="78">
        <v>0</v>
      </c>
      <c r="E14" s="78">
        <v>357</v>
      </c>
      <c r="F14" s="78">
        <v>111</v>
      </c>
      <c r="G14" s="78">
        <v>63</v>
      </c>
      <c r="H14" s="78">
        <v>73</v>
      </c>
      <c r="I14" s="579">
        <v>826</v>
      </c>
      <c r="J14" s="579">
        <v>0</v>
      </c>
      <c r="K14" s="78">
        <v>0</v>
      </c>
      <c r="L14" s="78">
        <v>10</v>
      </c>
      <c r="M14" s="78">
        <v>0</v>
      </c>
      <c r="N14" s="78">
        <v>0</v>
      </c>
      <c r="O14" s="579">
        <v>10</v>
      </c>
      <c r="P14" s="579">
        <v>0</v>
      </c>
      <c r="Q14" s="78">
        <v>0</v>
      </c>
      <c r="R14" s="579">
        <v>0</v>
      </c>
      <c r="S14" s="579">
        <v>0</v>
      </c>
      <c r="T14" s="579">
        <v>836</v>
      </c>
      <c r="U14" s="579"/>
      <c r="V14" s="579"/>
    </row>
    <row r="15" spans="1:22">
      <c r="A15" s="575"/>
      <c r="B15" s="579" t="s">
        <v>801</v>
      </c>
      <c r="C15" s="579">
        <v>156</v>
      </c>
      <c r="D15" s="78">
        <v>0</v>
      </c>
      <c r="E15" s="78">
        <v>454</v>
      </c>
      <c r="F15" s="78">
        <v>142</v>
      </c>
      <c r="G15" s="78">
        <v>105</v>
      </c>
      <c r="H15" s="78">
        <v>156</v>
      </c>
      <c r="I15" s="579">
        <v>1013</v>
      </c>
      <c r="J15" s="579">
        <v>0</v>
      </c>
      <c r="K15" s="78">
        <v>0</v>
      </c>
      <c r="L15" s="78">
        <v>37</v>
      </c>
      <c r="M15" s="78">
        <v>32</v>
      </c>
      <c r="N15" s="78">
        <v>0</v>
      </c>
      <c r="O15" s="579">
        <v>69</v>
      </c>
      <c r="P15" s="579">
        <v>0</v>
      </c>
      <c r="Q15" s="78">
        <v>0</v>
      </c>
      <c r="R15" s="579">
        <v>0</v>
      </c>
      <c r="S15" s="579">
        <v>0</v>
      </c>
      <c r="T15" s="579">
        <v>1082</v>
      </c>
      <c r="U15" s="579"/>
      <c r="V15" s="579"/>
    </row>
    <row r="16" spans="1:22">
      <c r="A16" s="575"/>
      <c r="B16" s="579" t="s">
        <v>803</v>
      </c>
      <c r="C16" s="579">
        <v>118</v>
      </c>
      <c r="D16" s="78">
        <v>0</v>
      </c>
      <c r="E16" s="78">
        <v>307</v>
      </c>
      <c r="F16" s="78">
        <v>68</v>
      </c>
      <c r="G16" s="78">
        <v>68</v>
      </c>
      <c r="H16" s="78">
        <v>110</v>
      </c>
      <c r="I16" s="579">
        <v>671</v>
      </c>
      <c r="J16" s="579">
        <v>0</v>
      </c>
      <c r="K16" s="78">
        <v>0</v>
      </c>
      <c r="L16" s="78">
        <v>70</v>
      </c>
      <c r="M16" s="78">
        <v>76</v>
      </c>
      <c r="N16" s="78">
        <v>0</v>
      </c>
      <c r="O16" s="579">
        <v>146</v>
      </c>
      <c r="P16" s="579">
        <v>0</v>
      </c>
      <c r="Q16" s="78">
        <v>0</v>
      </c>
      <c r="R16" s="579">
        <v>0</v>
      </c>
      <c r="S16" s="579">
        <v>0</v>
      </c>
      <c r="T16" s="579">
        <v>817</v>
      </c>
      <c r="U16" s="579"/>
      <c r="V16" s="579"/>
    </row>
    <row r="17" spans="1:22">
      <c r="A17" s="575"/>
      <c r="B17" s="579" t="s">
        <v>805</v>
      </c>
      <c r="C17" s="579">
        <v>63</v>
      </c>
      <c r="D17" s="78">
        <v>0</v>
      </c>
      <c r="E17" s="78">
        <v>89</v>
      </c>
      <c r="F17" s="78">
        <v>37</v>
      </c>
      <c r="G17" s="78">
        <v>29</v>
      </c>
      <c r="H17" s="78">
        <v>14</v>
      </c>
      <c r="I17" s="579">
        <v>232</v>
      </c>
      <c r="J17" s="579">
        <v>0</v>
      </c>
      <c r="K17" s="78">
        <v>0</v>
      </c>
      <c r="L17" s="78">
        <v>0</v>
      </c>
      <c r="M17" s="78">
        <v>0</v>
      </c>
      <c r="N17" s="78">
        <v>0</v>
      </c>
      <c r="O17" s="579">
        <v>0</v>
      </c>
      <c r="P17" s="579">
        <v>0</v>
      </c>
      <c r="Q17" s="78">
        <v>0</v>
      </c>
      <c r="R17" s="579">
        <v>0</v>
      </c>
      <c r="S17" s="579">
        <v>0</v>
      </c>
      <c r="T17" s="579">
        <v>232</v>
      </c>
      <c r="U17" s="579"/>
      <c r="V17" s="579"/>
    </row>
    <row r="18" spans="1:22">
      <c r="A18" s="575"/>
      <c r="B18" s="579" t="s">
        <v>807</v>
      </c>
      <c r="C18" s="579">
        <v>0</v>
      </c>
      <c r="D18" s="78">
        <v>0</v>
      </c>
      <c r="E18" s="78">
        <v>0</v>
      </c>
      <c r="F18" s="78">
        <v>0</v>
      </c>
      <c r="G18" s="78">
        <v>0</v>
      </c>
      <c r="H18" s="78">
        <v>0</v>
      </c>
      <c r="I18" s="579">
        <v>0</v>
      </c>
      <c r="J18" s="579">
        <v>0</v>
      </c>
      <c r="K18" s="78">
        <v>158</v>
      </c>
      <c r="L18" s="78">
        <v>224</v>
      </c>
      <c r="M18" s="78">
        <v>766</v>
      </c>
      <c r="N18" s="78">
        <v>0</v>
      </c>
      <c r="O18" s="579">
        <v>1148</v>
      </c>
      <c r="P18" s="579">
        <v>0</v>
      </c>
      <c r="Q18" s="78">
        <v>0</v>
      </c>
      <c r="R18" s="579">
        <v>0</v>
      </c>
      <c r="S18" s="579">
        <v>0</v>
      </c>
      <c r="T18" s="579">
        <v>1148</v>
      </c>
      <c r="U18" s="579"/>
      <c r="V18" s="579"/>
    </row>
    <row r="19" spans="1:22">
      <c r="A19" s="575"/>
      <c r="B19" s="579" t="s">
        <v>809</v>
      </c>
      <c r="C19" s="579">
        <v>908</v>
      </c>
      <c r="D19" s="78">
        <v>0</v>
      </c>
      <c r="E19" s="78">
        <v>1536</v>
      </c>
      <c r="F19" s="78">
        <v>468</v>
      </c>
      <c r="G19" s="78">
        <v>310</v>
      </c>
      <c r="H19" s="78">
        <v>395</v>
      </c>
      <c r="I19" s="579">
        <v>3617</v>
      </c>
      <c r="J19" s="579">
        <v>0</v>
      </c>
      <c r="K19" s="78">
        <v>158</v>
      </c>
      <c r="L19" s="78">
        <v>346</v>
      </c>
      <c r="M19" s="78">
        <v>874</v>
      </c>
      <c r="N19" s="78">
        <v>0</v>
      </c>
      <c r="O19" s="579">
        <v>1378</v>
      </c>
      <c r="P19" s="579">
        <v>0</v>
      </c>
      <c r="Q19" s="78">
        <v>0</v>
      </c>
      <c r="R19" s="579">
        <v>0</v>
      </c>
      <c r="S19" s="579">
        <v>0</v>
      </c>
      <c r="T19" s="579">
        <v>4995</v>
      </c>
      <c r="U19" s="579"/>
      <c r="V19" s="579"/>
    </row>
    <row r="20" spans="1:22">
      <c r="A20" s="571" t="s">
        <v>339</v>
      </c>
      <c r="B20" s="577" t="s">
        <v>797</v>
      </c>
      <c r="C20" s="577">
        <v>379</v>
      </c>
      <c r="D20" s="574">
        <v>0</v>
      </c>
      <c r="E20" s="574">
        <v>0</v>
      </c>
      <c r="F20" s="574">
        <v>45</v>
      </c>
      <c r="G20" s="574">
        <v>0</v>
      </c>
      <c r="H20" s="574">
        <v>0</v>
      </c>
      <c r="I20" s="577">
        <v>424</v>
      </c>
      <c r="J20" s="577">
        <v>0</v>
      </c>
      <c r="K20" s="574">
        <v>0</v>
      </c>
      <c r="L20" s="574">
        <v>0</v>
      </c>
      <c r="M20" s="574">
        <v>0</v>
      </c>
      <c r="N20" s="574">
        <v>0</v>
      </c>
      <c r="O20" s="577">
        <v>0</v>
      </c>
      <c r="P20" s="577">
        <v>0</v>
      </c>
      <c r="Q20" s="574">
        <v>0</v>
      </c>
      <c r="R20" s="577">
        <v>0</v>
      </c>
      <c r="S20" s="577">
        <v>0</v>
      </c>
      <c r="T20" s="577">
        <v>424</v>
      </c>
      <c r="U20" s="577"/>
      <c r="V20" s="577"/>
    </row>
    <row r="21" spans="1:22">
      <c r="A21" s="575"/>
      <c r="B21" s="579" t="s">
        <v>799</v>
      </c>
      <c r="C21" s="579">
        <v>342</v>
      </c>
      <c r="D21" s="78">
        <v>0</v>
      </c>
      <c r="E21" s="78">
        <v>0</v>
      </c>
      <c r="F21" s="78">
        <v>80</v>
      </c>
      <c r="G21" s="78">
        <v>0</v>
      </c>
      <c r="H21" s="78">
        <v>0</v>
      </c>
      <c r="I21" s="579">
        <v>422</v>
      </c>
      <c r="J21" s="579">
        <v>0</v>
      </c>
      <c r="K21" s="78">
        <v>0</v>
      </c>
      <c r="L21" s="78">
        <v>0</v>
      </c>
      <c r="M21" s="78">
        <v>0</v>
      </c>
      <c r="N21" s="78">
        <v>0</v>
      </c>
      <c r="O21" s="579">
        <v>0</v>
      </c>
      <c r="P21" s="579">
        <v>0</v>
      </c>
      <c r="Q21" s="78">
        <v>0</v>
      </c>
      <c r="R21" s="579">
        <v>0</v>
      </c>
      <c r="S21" s="579">
        <v>0</v>
      </c>
      <c r="T21" s="579">
        <v>422</v>
      </c>
      <c r="U21" s="579"/>
      <c r="V21" s="579"/>
    </row>
    <row r="22" spans="1:22">
      <c r="A22" s="575"/>
      <c r="B22" s="579" t="s">
        <v>801</v>
      </c>
      <c r="C22" s="579">
        <v>287</v>
      </c>
      <c r="D22" s="78">
        <v>0</v>
      </c>
      <c r="E22" s="78">
        <v>0</v>
      </c>
      <c r="F22" s="78">
        <v>60</v>
      </c>
      <c r="G22" s="78">
        <v>0</v>
      </c>
      <c r="H22" s="78">
        <v>0</v>
      </c>
      <c r="I22" s="579">
        <v>347</v>
      </c>
      <c r="J22" s="579">
        <v>0</v>
      </c>
      <c r="K22" s="78">
        <v>0</v>
      </c>
      <c r="L22" s="78">
        <v>0</v>
      </c>
      <c r="M22" s="78">
        <v>0</v>
      </c>
      <c r="N22" s="78">
        <v>0</v>
      </c>
      <c r="O22" s="579">
        <v>0</v>
      </c>
      <c r="P22" s="579">
        <v>0</v>
      </c>
      <c r="Q22" s="78">
        <v>0</v>
      </c>
      <c r="R22" s="579">
        <v>0</v>
      </c>
      <c r="S22" s="579">
        <v>0</v>
      </c>
      <c r="T22" s="579">
        <v>347</v>
      </c>
      <c r="U22" s="579"/>
      <c r="V22" s="579"/>
    </row>
    <row r="23" spans="1:22">
      <c r="A23" s="575"/>
      <c r="B23" s="579" t="s">
        <v>803</v>
      </c>
      <c r="C23" s="579">
        <v>104</v>
      </c>
      <c r="D23" s="78">
        <v>0</v>
      </c>
      <c r="E23" s="78">
        <v>0</v>
      </c>
      <c r="F23" s="78">
        <v>4</v>
      </c>
      <c r="G23" s="78">
        <v>0</v>
      </c>
      <c r="H23" s="78">
        <v>0</v>
      </c>
      <c r="I23" s="579">
        <v>108</v>
      </c>
      <c r="J23" s="579">
        <v>0</v>
      </c>
      <c r="K23" s="78">
        <v>0</v>
      </c>
      <c r="L23" s="78">
        <v>0</v>
      </c>
      <c r="M23" s="78">
        <v>0</v>
      </c>
      <c r="N23" s="78">
        <v>0</v>
      </c>
      <c r="O23" s="579">
        <v>0</v>
      </c>
      <c r="P23" s="579">
        <v>0</v>
      </c>
      <c r="Q23" s="78">
        <v>0</v>
      </c>
      <c r="R23" s="579">
        <v>0</v>
      </c>
      <c r="S23" s="579">
        <v>0</v>
      </c>
      <c r="T23" s="579">
        <v>108</v>
      </c>
      <c r="U23" s="579"/>
      <c r="V23" s="579"/>
    </row>
    <row r="24" spans="1:22">
      <c r="A24" s="575"/>
      <c r="B24" s="579" t="s">
        <v>805</v>
      </c>
      <c r="C24" s="579">
        <v>0</v>
      </c>
      <c r="D24" s="78">
        <v>0</v>
      </c>
      <c r="E24" s="78">
        <v>0</v>
      </c>
      <c r="F24" s="78">
        <v>1</v>
      </c>
      <c r="G24" s="78">
        <v>0</v>
      </c>
      <c r="H24" s="78">
        <v>0</v>
      </c>
      <c r="I24" s="579">
        <v>1</v>
      </c>
      <c r="J24" s="579">
        <v>0</v>
      </c>
      <c r="K24" s="78">
        <v>0</v>
      </c>
      <c r="L24" s="78">
        <v>0</v>
      </c>
      <c r="M24" s="78">
        <v>0</v>
      </c>
      <c r="N24" s="78">
        <v>0</v>
      </c>
      <c r="O24" s="579">
        <v>0</v>
      </c>
      <c r="P24" s="579">
        <v>0</v>
      </c>
      <c r="Q24" s="78">
        <v>0</v>
      </c>
      <c r="R24" s="579">
        <v>0</v>
      </c>
      <c r="S24" s="579">
        <v>0</v>
      </c>
      <c r="T24" s="579">
        <v>1</v>
      </c>
      <c r="U24" s="579"/>
      <c r="V24" s="579"/>
    </row>
    <row r="25" spans="1:22">
      <c r="A25" s="575"/>
      <c r="B25" s="579" t="s">
        <v>807</v>
      </c>
      <c r="C25" s="579">
        <v>0</v>
      </c>
      <c r="D25" s="78">
        <v>0</v>
      </c>
      <c r="E25" s="78">
        <v>0</v>
      </c>
      <c r="F25" s="78">
        <v>0</v>
      </c>
      <c r="G25" s="78">
        <v>0</v>
      </c>
      <c r="H25" s="78">
        <v>0</v>
      </c>
      <c r="I25" s="579">
        <v>0</v>
      </c>
      <c r="J25" s="579">
        <v>0</v>
      </c>
      <c r="K25" s="78">
        <v>0</v>
      </c>
      <c r="L25" s="78">
        <v>295</v>
      </c>
      <c r="M25" s="78">
        <v>81</v>
      </c>
      <c r="N25" s="78">
        <v>0</v>
      </c>
      <c r="O25" s="579">
        <v>376</v>
      </c>
      <c r="P25" s="579">
        <v>0</v>
      </c>
      <c r="Q25" s="78">
        <v>0</v>
      </c>
      <c r="R25" s="579">
        <v>0</v>
      </c>
      <c r="S25" s="579">
        <v>0</v>
      </c>
      <c r="T25" s="579">
        <v>376</v>
      </c>
      <c r="U25" s="579"/>
      <c r="V25" s="579"/>
    </row>
    <row r="26" spans="1:22">
      <c r="A26" s="575"/>
      <c r="B26" s="579" t="s">
        <v>809</v>
      </c>
      <c r="C26" s="579">
        <v>1112</v>
      </c>
      <c r="D26" s="78">
        <v>0</v>
      </c>
      <c r="E26" s="78">
        <v>0</v>
      </c>
      <c r="F26" s="78">
        <v>190</v>
      </c>
      <c r="G26" s="78">
        <v>0</v>
      </c>
      <c r="H26" s="78">
        <v>0</v>
      </c>
      <c r="I26" s="579">
        <v>1302</v>
      </c>
      <c r="J26" s="579">
        <v>0</v>
      </c>
      <c r="K26" s="78">
        <v>0</v>
      </c>
      <c r="L26" s="78">
        <v>295</v>
      </c>
      <c r="M26" s="78">
        <v>81</v>
      </c>
      <c r="N26" s="78">
        <v>0</v>
      </c>
      <c r="O26" s="579">
        <v>376</v>
      </c>
      <c r="P26" s="579">
        <v>0</v>
      </c>
      <c r="Q26" s="78">
        <v>0</v>
      </c>
      <c r="R26" s="579">
        <v>0</v>
      </c>
      <c r="S26" s="579">
        <v>0</v>
      </c>
      <c r="T26" s="579">
        <v>1678</v>
      </c>
      <c r="U26" s="579"/>
      <c r="V26" s="579"/>
    </row>
    <row r="27" spans="1:22">
      <c r="A27" s="571" t="s">
        <v>347</v>
      </c>
      <c r="B27" s="577" t="s">
        <v>797</v>
      </c>
      <c r="C27" s="577">
        <v>1925</v>
      </c>
      <c r="D27" s="574">
        <v>198</v>
      </c>
      <c r="E27" s="574">
        <v>314</v>
      </c>
      <c r="F27" s="574">
        <v>58</v>
      </c>
      <c r="G27" s="574">
        <v>0</v>
      </c>
      <c r="H27" s="574">
        <v>21</v>
      </c>
      <c r="I27" s="577">
        <v>2516</v>
      </c>
      <c r="J27" s="577">
        <v>0</v>
      </c>
      <c r="K27" s="574">
        <v>0</v>
      </c>
      <c r="L27" s="574">
        <v>0</v>
      </c>
      <c r="M27" s="574">
        <v>0</v>
      </c>
      <c r="N27" s="574">
        <v>0</v>
      </c>
      <c r="O27" s="577">
        <v>0</v>
      </c>
      <c r="P27" s="577">
        <v>0</v>
      </c>
      <c r="Q27" s="574">
        <v>0</v>
      </c>
      <c r="R27" s="577">
        <v>0</v>
      </c>
      <c r="S27" s="577">
        <v>0</v>
      </c>
      <c r="T27" s="577">
        <v>2516</v>
      </c>
      <c r="U27" s="577"/>
      <c r="V27" s="577"/>
    </row>
    <row r="28" spans="1:22">
      <c r="A28" s="575"/>
      <c r="B28" s="579" t="s">
        <v>799</v>
      </c>
      <c r="C28" s="579">
        <v>1870</v>
      </c>
      <c r="D28" s="78">
        <v>233</v>
      </c>
      <c r="E28" s="78">
        <v>402</v>
      </c>
      <c r="F28" s="78">
        <v>93</v>
      </c>
      <c r="G28" s="78">
        <v>0</v>
      </c>
      <c r="H28" s="78">
        <v>27</v>
      </c>
      <c r="I28" s="579">
        <v>2625</v>
      </c>
      <c r="J28" s="579">
        <v>0</v>
      </c>
      <c r="K28" s="78">
        <v>0</v>
      </c>
      <c r="L28" s="78">
        <v>0</v>
      </c>
      <c r="M28" s="78">
        <v>0</v>
      </c>
      <c r="N28" s="78">
        <v>0</v>
      </c>
      <c r="O28" s="579">
        <v>0</v>
      </c>
      <c r="P28" s="579">
        <v>0</v>
      </c>
      <c r="Q28" s="78">
        <v>0</v>
      </c>
      <c r="R28" s="579">
        <v>0</v>
      </c>
      <c r="S28" s="579">
        <v>0</v>
      </c>
      <c r="T28" s="579">
        <v>2625</v>
      </c>
      <c r="U28" s="579"/>
      <c r="V28" s="579"/>
    </row>
    <row r="29" spans="1:22">
      <c r="A29" s="575"/>
      <c r="B29" s="579" t="s">
        <v>801</v>
      </c>
      <c r="C29" s="579">
        <v>1586</v>
      </c>
      <c r="D29" s="78">
        <v>177</v>
      </c>
      <c r="E29" s="78">
        <v>413</v>
      </c>
      <c r="F29" s="78">
        <v>115</v>
      </c>
      <c r="G29" s="78">
        <v>0</v>
      </c>
      <c r="H29" s="78">
        <v>11</v>
      </c>
      <c r="I29" s="579">
        <v>2302</v>
      </c>
      <c r="J29" s="579">
        <v>0</v>
      </c>
      <c r="K29" s="78">
        <v>0</v>
      </c>
      <c r="L29" s="78">
        <v>0</v>
      </c>
      <c r="M29" s="78">
        <v>0</v>
      </c>
      <c r="N29" s="78">
        <v>0</v>
      </c>
      <c r="O29" s="579">
        <v>0</v>
      </c>
      <c r="P29" s="579">
        <v>0</v>
      </c>
      <c r="Q29" s="78">
        <v>0</v>
      </c>
      <c r="R29" s="579">
        <v>0</v>
      </c>
      <c r="S29" s="579">
        <v>0</v>
      </c>
      <c r="T29" s="579">
        <v>2302</v>
      </c>
      <c r="U29" s="579"/>
      <c r="V29" s="579"/>
    </row>
    <row r="30" spans="1:22">
      <c r="A30" s="575"/>
      <c r="B30" s="579" t="s">
        <v>803</v>
      </c>
      <c r="C30" s="579">
        <v>598</v>
      </c>
      <c r="D30" s="78">
        <v>167</v>
      </c>
      <c r="E30" s="78">
        <v>199</v>
      </c>
      <c r="F30" s="78">
        <v>79</v>
      </c>
      <c r="G30" s="78">
        <v>0</v>
      </c>
      <c r="H30" s="78">
        <v>1</v>
      </c>
      <c r="I30" s="579">
        <v>1044</v>
      </c>
      <c r="J30" s="579">
        <v>0</v>
      </c>
      <c r="K30" s="78">
        <v>0</v>
      </c>
      <c r="L30" s="78">
        <v>0</v>
      </c>
      <c r="M30" s="78">
        <v>0</v>
      </c>
      <c r="N30" s="78">
        <v>0</v>
      </c>
      <c r="O30" s="579">
        <v>0</v>
      </c>
      <c r="P30" s="579">
        <v>0</v>
      </c>
      <c r="Q30" s="78">
        <v>0</v>
      </c>
      <c r="R30" s="579">
        <v>0</v>
      </c>
      <c r="S30" s="579">
        <v>0</v>
      </c>
      <c r="T30" s="579">
        <v>1044</v>
      </c>
      <c r="U30" s="579"/>
      <c r="V30" s="579"/>
    </row>
    <row r="31" spans="1:22">
      <c r="A31" s="575"/>
      <c r="B31" s="579" t="s">
        <v>805</v>
      </c>
      <c r="C31" s="579">
        <v>531</v>
      </c>
      <c r="D31" s="78">
        <v>4</v>
      </c>
      <c r="E31" s="78">
        <v>66</v>
      </c>
      <c r="F31" s="78">
        <v>3</v>
      </c>
      <c r="G31" s="78">
        <v>0</v>
      </c>
      <c r="H31" s="78">
        <v>0</v>
      </c>
      <c r="I31" s="579">
        <v>604</v>
      </c>
      <c r="J31" s="579">
        <v>0</v>
      </c>
      <c r="K31" s="78">
        <v>0</v>
      </c>
      <c r="L31" s="78">
        <v>0</v>
      </c>
      <c r="M31" s="78">
        <v>0</v>
      </c>
      <c r="N31" s="78">
        <v>0</v>
      </c>
      <c r="O31" s="579">
        <v>0</v>
      </c>
      <c r="P31" s="579">
        <v>0</v>
      </c>
      <c r="Q31" s="78">
        <v>0</v>
      </c>
      <c r="R31" s="579">
        <v>0</v>
      </c>
      <c r="S31" s="579">
        <v>0</v>
      </c>
      <c r="T31" s="579">
        <v>604</v>
      </c>
      <c r="U31" s="579"/>
      <c r="V31" s="579"/>
    </row>
    <row r="32" spans="1:22">
      <c r="A32" s="575"/>
      <c r="B32" s="579" t="s">
        <v>807</v>
      </c>
      <c r="C32" s="579">
        <v>0</v>
      </c>
      <c r="D32" s="78">
        <v>0</v>
      </c>
      <c r="E32" s="78">
        <v>0</v>
      </c>
      <c r="F32" s="78">
        <v>0</v>
      </c>
      <c r="G32" s="78">
        <v>0</v>
      </c>
      <c r="H32" s="78">
        <v>0</v>
      </c>
      <c r="I32" s="579">
        <v>0</v>
      </c>
      <c r="J32" s="579">
        <v>1508</v>
      </c>
      <c r="K32" s="78">
        <v>3317</v>
      </c>
      <c r="L32" s="78">
        <v>423</v>
      </c>
      <c r="M32" s="78">
        <v>49</v>
      </c>
      <c r="N32" s="78">
        <v>0</v>
      </c>
      <c r="O32" s="579">
        <v>5297</v>
      </c>
      <c r="P32" s="579">
        <v>0</v>
      </c>
      <c r="Q32" s="78">
        <v>0</v>
      </c>
      <c r="R32" s="579">
        <v>0</v>
      </c>
      <c r="S32" s="579">
        <v>0</v>
      </c>
      <c r="T32" s="579">
        <v>5297</v>
      </c>
      <c r="U32" s="579"/>
      <c r="V32" s="579"/>
    </row>
    <row r="33" spans="1:22">
      <c r="A33" s="575"/>
      <c r="B33" s="579" t="s">
        <v>809</v>
      </c>
      <c r="C33" s="579">
        <v>6510</v>
      </c>
      <c r="D33" s="78">
        <v>779</v>
      </c>
      <c r="E33" s="78">
        <v>1394</v>
      </c>
      <c r="F33" s="78">
        <v>348</v>
      </c>
      <c r="G33" s="78">
        <v>0</v>
      </c>
      <c r="H33" s="78">
        <v>60</v>
      </c>
      <c r="I33" s="579">
        <v>9091</v>
      </c>
      <c r="J33" s="579">
        <v>1508</v>
      </c>
      <c r="K33" s="78">
        <v>3317</v>
      </c>
      <c r="L33" s="78">
        <v>423</v>
      </c>
      <c r="M33" s="78">
        <v>49</v>
      </c>
      <c r="N33" s="78">
        <v>0</v>
      </c>
      <c r="O33" s="579">
        <v>5297</v>
      </c>
      <c r="P33" s="579">
        <v>0</v>
      </c>
      <c r="Q33" s="78">
        <v>0</v>
      </c>
      <c r="R33" s="579">
        <v>0</v>
      </c>
      <c r="S33" s="579">
        <v>0</v>
      </c>
      <c r="T33" s="579">
        <v>14388</v>
      </c>
      <c r="U33" s="579"/>
      <c r="V33" s="579"/>
    </row>
    <row r="34" spans="1:22">
      <c r="A34" s="571" t="s">
        <v>345</v>
      </c>
      <c r="B34" s="577" t="s">
        <v>797</v>
      </c>
      <c r="C34" s="577">
        <v>905</v>
      </c>
      <c r="D34" s="574">
        <v>398</v>
      </c>
      <c r="E34" s="574">
        <v>366</v>
      </c>
      <c r="F34" s="574">
        <v>336</v>
      </c>
      <c r="G34" s="574">
        <v>171</v>
      </c>
      <c r="H34" s="574">
        <v>51</v>
      </c>
      <c r="I34" s="577">
        <v>2227</v>
      </c>
      <c r="J34" s="577">
        <v>50</v>
      </c>
      <c r="K34" s="574">
        <v>37</v>
      </c>
      <c r="L34" s="574">
        <v>81</v>
      </c>
      <c r="M34" s="574">
        <v>15</v>
      </c>
      <c r="N34" s="574">
        <v>0</v>
      </c>
      <c r="O34" s="577">
        <v>183</v>
      </c>
      <c r="P34" s="577">
        <v>0</v>
      </c>
      <c r="Q34" s="574">
        <v>0</v>
      </c>
      <c r="R34" s="577">
        <v>0</v>
      </c>
      <c r="S34" s="577">
        <v>0</v>
      </c>
      <c r="T34" s="577">
        <v>2410</v>
      </c>
      <c r="U34" s="577"/>
      <c r="V34" s="577"/>
    </row>
    <row r="35" spans="1:22">
      <c r="A35" s="575"/>
      <c r="B35" s="579" t="s">
        <v>799</v>
      </c>
      <c r="C35" s="579">
        <v>776</v>
      </c>
      <c r="D35" s="78">
        <v>241</v>
      </c>
      <c r="E35" s="78">
        <v>404</v>
      </c>
      <c r="F35" s="78">
        <v>388</v>
      </c>
      <c r="G35" s="78">
        <v>181</v>
      </c>
      <c r="H35" s="78">
        <v>113</v>
      </c>
      <c r="I35" s="579">
        <v>2103</v>
      </c>
      <c r="J35" s="579">
        <v>90</v>
      </c>
      <c r="K35" s="78">
        <v>142</v>
      </c>
      <c r="L35" s="78">
        <v>146</v>
      </c>
      <c r="M35" s="78">
        <v>41</v>
      </c>
      <c r="N35" s="78">
        <v>0</v>
      </c>
      <c r="O35" s="579">
        <v>419</v>
      </c>
      <c r="P35" s="579">
        <v>0</v>
      </c>
      <c r="Q35" s="78">
        <v>0</v>
      </c>
      <c r="R35" s="579">
        <v>0</v>
      </c>
      <c r="S35" s="579">
        <v>0</v>
      </c>
      <c r="T35" s="579">
        <v>2522</v>
      </c>
      <c r="U35" s="579"/>
      <c r="V35" s="579"/>
    </row>
    <row r="36" spans="1:22">
      <c r="A36" s="575"/>
      <c r="B36" s="579" t="s">
        <v>801</v>
      </c>
      <c r="C36" s="579">
        <v>776</v>
      </c>
      <c r="D36" s="78">
        <v>245</v>
      </c>
      <c r="E36" s="78">
        <v>536</v>
      </c>
      <c r="F36" s="78">
        <v>653</v>
      </c>
      <c r="G36" s="78">
        <v>322</v>
      </c>
      <c r="H36" s="78">
        <v>178</v>
      </c>
      <c r="I36" s="579">
        <v>2710</v>
      </c>
      <c r="J36" s="579">
        <v>152</v>
      </c>
      <c r="K36" s="78">
        <v>113</v>
      </c>
      <c r="L36" s="78">
        <v>253</v>
      </c>
      <c r="M36" s="78">
        <v>61</v>
      </c>
      <c r="N36" s="78">
        <v>0</v>
      </c>
      <c r="O36" s="579">
        <v>579</v>
      </c>
      <c r="P36" s="579">
        <v>0</v>
      </c>
      <c r="Q36" s="78">
        <v>0</v>
      </c>
      <c r="R36" s="579">
        <v>0</v>
      </c>
      <c r="S36" s="579">
        <v>0</v>
      </c>
      <c r="T36" s="579">
        <v>3289</v>
      </c>
      <c r="U36" s="579"/>
      <c r="V36" s="579"/>
    </row>
    <row r="37" spans="1:22">
      <c r="A37" s="575"/>
      <c r="B37" s="579" t="s">
        <v>803</v>
      </c>
      <c r="C37" s="579">
        <v>107</v>
      </c>
      <c r="D37" s="78">
        <v>43</v>
      </c>
      <c r="E37" s="78">
        <v>277</v>
      </c>
      <c r="F37" s="78">
        <v>94</v>
      </c>
      <c r="G37" s="78">
        <v>101</v>
      </c>
      <c r="H37" s="78">
        <v>3</v>
      </c>
      <c r="I37" s="579">
        <v>625</v>
      </c>
      <c r="J37" s="579">
        <v>46</v>
      </c>
      <c r="K37" s="78">
        <v>96</v>
      </c>
      <c r="L37" s="78">
        <v>203</v>
      </c>
      <c r="M37" s="78">
        <v>48</v>
      </c>
      <c r="N37" s="78">
        <v>0</v>
      </c>
      <c r="O37" s="579">
        <v>393</v>
      </c>
      <c r="P37" s="579">
        <v>0</v>
      </c>
      <c r="Q37" s="78">
        <v>0</v>
      </c>
      <c r="R37" s="579">
        <v>0</v>
      </c>
      <c r="S37" s="579">
        <v>0</v>
      </c>
      <c r="T37" s="579">
        <v>1018</v>
      </c>
      <c r="U37" s="579"/>
      <c r="V37" s="579"/>
    </row>
    <row r="38" spans="1:22">
      <c r="A38" s="575"/>
      <c r="B38" s="579" t="s">
        <v>805</v>
      </c>
      <c r="C38" s="579">
        <v>263</v>
      </c>
      <c r="D38" s="78">
        <v>51</v>
      </c>
      <c r="E38" s="78">
        <v>70</v>
      </c>
      <c r="F38" s="78">
        <v>128</v>
      </c>
      <c r="G38" s="78">
        <v>38</v>
      </c>
      <c r="H38" s="78">
        <v>27</v>
      </c>
      <c r="I38" s="579">
        <v>577</v>
      </c>
      <c r="J38" s="579">
        <v>0</v>
      </c>
      <c r="K38" s="78">
        <v>10</v>
      </c>
      <c r="L38" s="78">
        <v>12</v>
      </c>
      <c r="M38" s="78">
        <v>2</v>
      </c>
      <c r="N38" s="78">
        <v>0</v>
      </c>
      <c r="O38" s="579">
        <v>24</v>
      </c>
      <c r="P38" s="579">
        <v>0</v>
      </c>
      <c r="Q38" s="78">
        <v>0</v>
      </c>
      <c r="R38" s="579">
        <v>0</v>
      </c>
      <c r="S38" s="579">
        <v>0</v>
      </c>
      <c r="T38" s="579">
        <v>601</v>
      </c>
      <c r="U38" s="579"/>
      <c r="V38" s="579"/>
    </row>
    <row r="39" spans="1:22">
      <c r="A39" s="575"/>
      <c r="B39" s="579" t="s">
        <v>807</v>
      </c>
      <c r="C39" s="579">
        <v>0</v>
      </c>
      <c r="D39" s="78">
        <v>0</v>
      </c>
      <c r="E39" s="78">
        <v>0</v>
      </c>
      <c r="F39" s="78">
        <v>0</v>
      </c>
      <c r="G39" s="78">
        <v>0</v>
      </c>
      <c r="H39" s="78">
        <v>0</v>
      </c>
      <c r="I39" s="579">
        <v>0</v>
      </c>
      <c r="J39" s="579">
        <v>0</v>
      </c>
      <c r="K39" s="78">
        <v>0</v>
      </c>
      <c r="L39" s="78">
        <v>0</v>
      </c>
      <c r="M39" s="78">
        <v>0</v>
      </c>
      <c r="N39" s="78">
        <v>0</v>
      </c>
      <c r="O39" s="579">
        <v>0</v>
      </c>
      <c r="P39" s="579">
        <v>2079</v>
      </c>
      <c r="Q39" s="78">
        <v>30</v>
      </c>
      <c r="R39" s="579">
        <v>0</v>
      </c>
      <c r="S39" s="579">
        <v>2109</v>
      </c>
      <c r="T39" s="579">
        <v>2109</v>
      </c>
      <c r="U39" s="579"/>
      <c r="V39" s="579"/>
    </row>
    <row r="40" spans="1:22">
      <c r="A40" s="575"/>
      <c r="B40" s="579" t="s">
        <v>809</v>
      </c>
      <c r="C40" s="579">
        <v>2827</v>
      </c>
      <c r="D40" s="78">
        <v>978</v>
      </c>
      <c r="E40" s="78">
        <v>1653</v>
      </c>
      <c r="F40" s="78">
        <v>1599</v>
      </c>
      <c r="G40" s="78">
        <v>813</v>
      </c>
      <c r="H40" s="78">
        <v>372</v>
      </c>
      <c r="I40" s="579">
        <v>8242</v>
      </c>
      <c r="J40" s="579">
        <v>338</v>
      </c>
      <c r="K40" s="78">
        <v>398</v>
      </c>
      <c r="L40" s="78">
        <v>695</v>
      </c>
      <c r="M40" s="78">
        <v>167</v>
      </c>
      <c r="N40" s="78">
        <v>0</v>
      </c>
      <c r="O40" s="579">
        <v>1598</v>
      </c>
      <c r="P40" s="579">
        <v>2079</v>
      </c>
      <c r="Q40" s="78">
        <v>30</v>
      </c>
      <c r="R40" s="579">
        <v>0</v>
      </c>
      <c r="S40" s="579">
        <v>2109</v>
      </c>
      <c r="T40" s="579">
        <v>11949</v>
      </c>
      <c r="U40" s="579"/>
      <c r="V40" s="579"/>
    </row>
    <row r="41" spans="1:22">
      <c r="A41" s="571" t="s">
        <v>348</v>
      </c>
      <c r="B41" s="577" t="s">
        <v>797</v>
      </c>
      <c r="C41" s="577">
        <v>751</v>
      </c>
      <c r="D41" s="574">
        <v>0</v>
      </c>
      <c r="E41" s="574">
        <v>427</v>
      </c>
      <c r="F41" s="574">
        <v>110</v>
      </c>
      <c r="G41" s="574">
        <v>0</v>
      </c>
      <c r="H41" s="574">
        <v>0</v>
      </c>
      <c r="I41" s="577">
        <v>1288</v>
      </c>
      <c r="J41" s="577">
        <v>0</v>
      </c>
      <c r="K41" s="574">
        <v>154</v>
      </c>
      <c r="L41" s="574">
        <v>357</v>
      </c>
      <c r="M41" s="574">
        <v>99</v>
      </c>
      <c r="N41" s="574">
        <v>0</v>
      </c>
      <c r="O41" s="577">
        <v>610</v>
      </c>
      <c r="P41" s="577">
        <v>9</v>
      </c>
      <c r="Q41" s="574">
        <v>0</v>
      </c>
      <c r="R41" s="577">
        <v>0</v>
      </c>
      <c r="S41" s="577">
        <v>9</v>
      </c>
      <c r="T41" s="577">
        <v>1907</v>
      </c>
      <c r="U41" s="577"/>
      <c r="V41" s="577"/>
    </row>
    <row r="42" spans="1:22">
      <c r="A42" s="575"/>
      <c r="B42" s="579" t="s">
        <v>799</v>
      </c>
      <c r="C42" s="579">
        <v>611</v>
      </c>
      <c r="D42" s="78">
        <v>0</v>
      </c>
      <c r="E42" s="78">
        <v>564</v>
      </c>
      <c r="F42" s="78">
        <v>175</v>
      </c>
      <c r="G42" s="78">
        <v>0</v>
      </c>
      <c r="H42" s="78">
        <v>0</v>
      </c>
      <c r="I42" s="579">
        <v>1350</v>
      </c>
      <c r="J42" s="579">
        <v>0</v>
      </c>
      <c r="K42" s="78">
        <v>217</v>
      </c>
      <c r="L42" s="78">
        <v>303</v>
      </c>
      <c r="M42" s="78">
        <v>62</v>
      </c>
      <c r="N42" s="78">
        <v>0</v>
      </c>
      <c r="O42" s="579">
        <v>582</v>
      </c>
      <c r="P42" s="579">
        <v>33</v>
      </c>
      <c r="Q42" s="78">
        <v>0</v>
      </c>
      <c r="R42" s="579">
        <v>0</v>
      </c>
      <c r="S42" s="579">
        <v>33</v>
      </c>
      <c r="T42" s="579">
        <v>1965</v>
      </c>
      <c r="U42" s="579"/>
      <c r="V42" s="579"/>
    </row>
    <row r="43" spans="1:22">
      <c r="A43" s="575"/>
      <c r="B43" s="579" t="s">
        <v>801</v>
      </c>
      <c r="C43" s="579">
        <v>564</v>
      </c>
      <c r="D43" s="78">
        <v>0</v>
      </c>
      <c r="E43" s="78">
        <v>600</v>
      </c>
      <c r="F43" s="78">
        <v>203</v>
      </c>
      <c r="G43" s="78">
        <v>0</v>
      </c>
      <c r="H43" s="78">
        <v>0</v>
      </c>
      <c r="I43" s="579">
        <v>1367</v>
      </c>
      <c r="J43" s="579">
        <v>0</v>
      </c>
      <c r="K43" s="78">
        <v>96</v>
      </c>
      <c r="L43" s="78">
        <v>146</v>
      </c>
      <c r="M43" s="78">
        <v>28</v>
      </c>
      <c r="N43" s="78">
        <v>0</v>
      </c>
      <c r="O43" s="579">
        <v>270</v>
      </c>
      <c r="P43" s="579">
        <v>38</v>
      </c>
      <c r="Q43" s="78">
        <v>0</v>
      </c>
      <c r="R43" s="579">
        <v>0</v>
      </c>
      <c r="S43" s="579">
        <v>38</v>
      </c>
      <c r="T43" s="579">
        <v>1675</v>
      </c>
      <c r="U43" s="579"/>
      <c r="V43" s="579"/>
    </row>
    <row r="44" spans="1:22">
      <c r="A44" s="575"/>
      <c r="B44" s="579" t="s">
        <v>803</v>
      </c>
      <c r="C44" s="579">
        <v>96</v>
      </c>
      <c r="D44" s="78">
        <v>0</v>
      </c>
      <c r="E44" s="78">
        <v>261</v>
      </c>
      <c r="F44" s="78">
        <v>19</v>
      </c>
      <c r="G44" s="78">
        <v>0</v>
      </c>
      <c r="H44" s="78">
        <v>0</v>
      </c>
      <c r="I44" s="579">
        <v>376</v>
      </c>
      <c r="J44" s="579">
        <v>0</v>
      </c>
      <c r="K44" s="78">
        <v>69</v>
      </c>
      <c r="L44" s="78">
        <v>192</v>
      </c>
      <c r="M44" s="78">
        <v>34</v>
      </c>
      <c r="N44" s="78">
        <v>0</v>
      </c>
      <c r="O44" s="579">
        <v>295</v>
      </c>
      <c r="P44" s="579">
        <v>65</v>
      </c>
      <c r="Q44" s="78">
        <v>0</v>
      </c>
      <c r="R44" s="579">
        <v>0</v>
      </c>
      <c r="S44" s="579">
        <v>65</v>
      </c>
      <c r="T44" s="579">
        <v>736</v>
      </c>
      <c r="U44" s="579"/>
      <c r="V44" s="579"/>
    </row>
    <row r="45" spans="1:22">
      <c r="A45" s="575"/>
      <c r="B45" s="579" t="s">
        <v>805</v>
      </c>
      <c r="C45" s="579">
        <v>121</v>
      </c>
      <c r="D45" s="78">
        <v>0</v>
      </c>
      <c r="E45" s="78">
        <v>299</v>
      </c>
      <c r="F45" s="78">
        <v>153</v>
      </c>
      <c r="G45" s="78">
        <v>0</v>
      </c>
      <c r="H45" s="78">
        <v>0</v>
      </c>
      <c r="I45" s="579">
        <v>573</v>
      </c>
      <c r="J45" s="579">
        <v>0</v>
      </c>
      <c r="K45" s="78">
        <v>0</v>
      </c>
      <c r="L45" s="78">
        <v>0</v>
      </c>
      <c r="M45" s="78">
        <v>0</v>
      </c>
      <c r="N45" s="78">
        <v>0</v>
      </c>
      <c r="O45" s="579">
        <v>0</v>
      </c>
      <c r="P45" s="579">
        <v>0</v>
      </c>
      <c r="Q45" s="78">
        <v>0</v>
      </c>
      <c r="R45" s="579">
        <v>0</v>
      </c>
      <c r="S45" s="579">
        <v>0</v>
      </c>
      <c r="T45" s="579">
        <v>573</v>
      </c>
      <c r="U45" s="579"/>
      <c r="V45" s="579"/>
    </row>
    <row r="46" spans="1:22">
      <c r="A46" s="575"/>
      <c r="B46" s="579" t="s">
        <v>807</v>
      </c>
      <c r="C46" s="579">
        <v>0</v>
      </c>
      <c r="D46" s="78">
        <v>0</v>
      </c>
      <c r="E46" s="78">
        <v>0</v>
      </c>
      <c r="F46" s="78">
        <v>0</v>
      </c>
      <c r="G46" s="78">
        <v>0</v>
      </c>
      <c r="H46" s="78">
        <v>0</v>
      </c>
      <c r="I46" s="579">
        <v>0</v>
      </c>
      <c r="J46" s="579">
        <v>0</v>
      </c>
      <c r="K46" s="78">
        <v>0</v>
      </c>
      <c r="L46" s="78">
        <v>0</v>
      </c>
      <c r="M46" s="78">
        <v>0</v>
      </c>
      <c r="N46" s="78">
        <v>0</v>
      </c>
      <c r="O46" s="579">
        <v>0</v>
      </c>
      <c r="P46" s="579">
        <v>0</v>
      </c>
      <c r="Q46" s="78">
        <v>0</v>
      </c>
      <c r="R46" s="579">
        <v>0</v>
      </c>
      <c r="S46" s="579">
        <v>0</v>
      </c>
      <c r="T46" s="579">
        <v>0</v>
      </c>
      <c r="U46" s="579"/>
      <c r="V46" s="579"/>
    </row>
    <row r="47" spans="1:22">
      <c r="A47" s="575"/>
      <c r="B47" s="579" t="s">
        <v>809</v>
      </c>
      <c r="C47" s="579">
        <v>2143</v>
      </c>
      <c r="D47" s="78">
        <v>0</v>
      </c>
      <c r="E47" s="78">
        <v>2151</v>
      </c>
      <c r="F47" s="78">
        <v>660</v>
      </c>
      <c r="G47" s="78">
        <v>0</v>
      </c>
      <c r="H47" s="78">
        <v>0</v>
      </c>
      <c r="I47" s="579">
        <v>4954</v>
      </c>
      <c r="J47" s="579">
        <v>0</v>
      </c>
      <c r="K47" s="78">
        <v>536</v>
      </c>
      <c r="L47" s="78">
        <v>998</v>
      </c>
      <c r="M47" s="78">
        <v>223</v>
      </c>
      <c r="N47" s="78">
        <v>0</v>
      </c>
      <c r="O47" s="579">
        <v>1757</v>
      </c>
      <c r="P47" s="579">
        <v>145</v>
      </c>
      <c r="Q47" s="78">
        <v>0</v>
      </c>
      <c r="R47" s="579">
        <v>0</v>
      </c>
      <c r="S47" s="579">
        <v>145</v>
      </c>
      <c r="T47" s="579">
        <v>6856</v>
      </c>
      <c r="U47" s="579"/>
      <c r="V47" s="579"/>
    </row>
    <row r="48" spans="1:22">
      <c r="A48" s="571" t="s">
        <v>308</v>
      </c>
      <c r="B48" s="577" t="s">
        <v>797</v>
      </c>
      <c r="C48" s="577">
        <v>443</v>
      </c>
      <c r="D48" s="574">
        <v>353</v>
      </c>
      <c r="E48" s="574">
        <v>290</v>
      </c>
      <c r="F48" s="574">
        <v>266</v>
      </c>
      <c r="G48" s="574">
        <v>0</v>
      </c>
      <c r="H48" s="574">
        <v>0</v>
      </c>
      <c r="I48" s="577">
        <v>1352</v>
      </c>
      <c r="J48" s="577">
        <v>24</v>
      </c>
      <c r="K48" s="574">
        <v>80</v>
      </c>
      <c r="L48" s="574">
        <v>24</v>
      </c>
      <c r="M48" s="574">
        <v>5</v>
      </c>
      <c r="N48" s="574">
        <v>0</v>
      </c>
      <c r="O48" s="577">
        <v>133</v>
      </c>
      <c r="P48" s="577">
        <v>0</v>
      </c>
      <c r="Q48" s="574">
        <v>0</v>
      </c>
      <c r="R48" s="577">
        <v>0</v>
      </c>
      <c r="S48" s="577">
        <v>0</v>
      </c>
      <c r="T48" s="577">
        <v>1485</v>
      </c>
      <c r="U48" s="577"/>
      <c r="V48" s="577"/>
    </row>
    <row r="49" spans="1:22">
      <c r="A49" s="575"/>
      <c r="B49" s="579" t="s">
        <v>799</v>
      </c>
      <c r="C49" s="579">
        <v>298</v>
      </c>
      <c r="D49" s="78">
        <v>334</v>
      </c>
      <c r="E49" s="78">
        <v>265</v>
      </c>
      <c r="F49" s="78">
        <v>297</v>
      </c>
      <c r="G49" s="78">
        <v>0</v>
      </c>
      <c r="H49" s="78">
        <v>0</v>
      </c>
      <c r="I49" s="579">
        <v>1194</v>
      </c>
      <c r="J49" s="579">
        <v>24</v>
      </c>
      <c r="K49" s="78">
        <v>99</v>
      </c>
      <c r="L49" s="78">
        <v>45</v>
      </c>
      <c r="M49" s="78">
        <v>35</v>
      </c>
      <c r="N49" s="78">
        <v>0</v>
      </c>
      <c r="O49" s="579">
        <v>203</v>
      </c>
      <c r="P49" s="579">
        <v>0</v>
      </c>
      <c r="Q49" s="78">
        <v>0</v>
      </c>
      <c r="R49" s="579">
        <v>0</v>
      </c>
      <c r="S49" s="579">
        <v>0</v>
      </c>
      <c r="T49" s="579">
        <v>1397</v>
      </c>
      <c r="U49" s="579"/>
      <c r="V49" s="579"/>
    </row>
    <row r="50" spans="1:22">
      <c r="A50" s="575"/>
      <c r="B50" s="579" t="s">
        <v>801</v>
      </c>
      <c r="C50" s="579">
        <v>311</v>
      </c>
      <c r="D50" s="78">
        <v>401</v>
      </c>
      <c r="E50" s="78">
        <v>385</v>
      </c>
      <c r="F50" s="78">
        <v>557</v>
      </c>
      <c r="G50" s="78">
        <v>0</v>
      </c>
      <c r="H50" s="78">
        <v>0</v>
      </c>
      <c r="I50" s="579">
        <v>1654</v>
      </c>
      <c r="J50" s="579">
        <v>43</v>
      </c>
      <c r="K50" s="78">
        <v>130</v>
      </c>
      <c r="L50" s="78">
        <v>40</v>
      </c>
      <c r="M50" s="78">
        <v>55</v>
      </c>
      <c r="N50" s="78">
        <v>0</v>
      </c>
      <c r="O50" s="579">
        <v>268</v>
      </c>
      <c r="P50" s="579">
        <v>0</v>
      </c>
      <c r="Q50" s="78">
        <v>0</v>
      </c>
      <c r="R50" s="579">
        <v>0</v>
      </c>
      <c r="S50" s="579">
        <v>0</v>
      </c>
      <c r="T50" s="579">
        <v>1922</v>
      </c>
      <c r="U50" s="579"/>
      <c r="V50" s="579"/>
    </row>
    <row r="51" spans="1:22">
      <c r="A51" s="575"/>
      <c r="B51" s="579" t="s">
        <v>803</v>
      </c>
      <c r="C51" s="579">
        <v>232</v>
      </c>
      <c r="D51" s="78">
        <v>317</v>
      </c>
      <c r="E51" s="78">
        <v>352</v>
      </c>
      <c r="F51" s="78">
        <v>242</v>
      </c>
      <c r="G51" s="78">
        <v>0</v>
      </c>
      <c r="H51" s="78">
        <v>0</v>
      </c>
      <c r="I51" s="579">
        <v>1143</v>
      </c>
      <c r="J51" s="579">
        <v>17</v>
      </c>
      <c r="K51" s="78">
        <v>178</v>
      </c>
      <c r="L51" s="78">
        <v>108</v>
      </c>
      <c r="M51" s="78">
        <v>82</v>
      </c>
      <c r="N51" s="78">
        <v>0</v>
      </c>
      <c r="O51" s="579">
        <v>385</v>
      </c>
      <c r="P51" s="579">
        <v>68</v>
      </c>
      <c r="Q51" s="78">
        <v>40</v>
      </c>
      <c r="R51" s="579">
        <v>0</v>
      </c>
      <c r="S51" s="579">
        <v>108</v>
      </c>
      <c r="T51" s="579">
        <v>1636</v>
      </c>
      <c r="U51" s="579"/>
      <c r="V51" s="579"/>
    </row>
    <row r="52" spans="1:22">
      <c r="A52" s="575"/>
      <c r="B52" s="579" t="s">
        <v>805</v>
      </c>
      <c r="C52" s="579">
        <v>21</v>
      </c>
      <c r="D52" s="78">
        <v>35</v>
      </c>
      <c r="E52" s="78">
        <v>9</v>
      </c>
      <c r="F52" s="78">
        <v>11</v>
      </c>
      <c r="G52" s="78">
        <v>0</v>
      </c>
      <c r="H52" s="78">
        <v>0</v>
      </c>
      <c r="I52" s="579">
        <v>76</v>
      </c>
      <c r="J52" s="579">
        <v>0</v>
      </c>
      <c r="K52" s="78">
        <v>93</v>
      </c>
      <c r="L52" s="78">
        <v>0</v>
      </c>
      <c r="M52" s="78">
        <v>3</v>
      </c>
      <c r="N52" s="78">
        <v>0</v>
      </c>
      <c r="O52" s="579">
        <v>96</v>
      </c>
      <c r="P52" s="579">
        <v>0</v>
      </c>
      <c r="Q52" s="78">
        <v>1</v>
      </c>
      <c r="R52" s="579">
        <v>0</v>
      </c>
      <c r="S52" s="579">
        <v>1</v>
      </c>
      <c r="T52" s="579">
        <v>173</v>
      </c>
      <c r="U52" s="579"/>
      <c r="V52" s="579"/>
    </row>
    <row r="53" spans="1:22">
      <c r="A53" s="575"/>
      <c r="B53" s="579" t="s">
        <v>807</v>
      </c>
      <c r="C53" s="579">
        <v>0</v>
      </c>
      <c r="D53" s="78">
        <v>0</v>
      </c>
      <c r="E53" s="78">
        <v>0</v>
      </c>
      <c r="F53" s="78">
        <v>0</v>
      </c>
      <c r="G53" s="78">
        <v>0</v>
      </c>
      <c r="H53" s="78">
        <v>0</v>
      </c>
      <c r="I53" s="579">
        <v>0</v>
      </c>
      <c r="J53" s="579">
        <v>0</v>
      </c>
      <c r="K53" s="78">
        <v>0</v>
      </c>
      <c r="L53" s="78">
        <v>0</v>
      </c>
      <c r="M53" s="78">
        <v>0</v>
      </c>
      <c r="N53" s="78">
        <v>0</v>
      </c>
      <c r="O53" s="579">
        <v>0</v>
      </c>
      <c r="P53" s="579">
        <v>0</v>
      </c>
      <c r="Q53" s="78">
        <v>0</v>
      </c>
      <c r="R53" s="579">
        <v>500</v>
      </c>
      <c r="S53" s="579">
        <v>500</v>
      </c>
      <c r="T53" s="579">
        <v>500</v>
      </c>
      <c r="U53" s="579"/>
      <c r="V53" s="579"/>
    </row>
    <row r="54" spans="1:22">
      <c r="A54" s="575"/>
      <c r="B54" s="579" t="s">
        <v>809</v>
      </c>
      <c r="C54" s="579">
        <v>1305</v>
      </c>
      <c r="D54" s="78">
        <v>1440</v>
      </c>
      <c r="E54" s="78">
        <v>1301</v>
      </c>
      <c r="F54" s="78">
        <v>1373</v>
      </c>
      <c r="G54" s="78">
        <v>0</v>
      </c>
      <c r="H54" s="78">
        <v>0</v>
      </c>
      <c r="I54" s="579">
        <v>5419</v>
      </c>
      <c r="J54" s="579">
        <v>108</v>
      </c>
      <c r="K54" s="78">
        <v>580</v>
      </c>
      <c r="L54" s="78">
        <v>217</v>
      </c>
      <c r="M54" s="78">
        <v>180</v>
      </c>
      <c r="N54" s="78">
        <v>0</v>
      </c>
      <c r="O54" s="579">
        <v>1085</v>
      </c>
      <c r="P54" s="579">
        <v>68</v>
      </c>
      <c r="Q54" s="78">
        <v>41</v>
      </c>
      <c r="R54" s="579">
        <v>500</v>
      </c>
      <c r="S54" s="579">
        <v>609</v>
      </c>
      <c r="T54" s="579">
        <v>7113</v>
      </c>
      <c r="U54" s="579"/>
      <c r="V54" s="579"/>
    </row>
    <row r="55" spans="1:22">
      <c r="A55" s="571" t="s">
        <v>340</v>
      </c>
      <c r="B55" s="577" t="s">
        <v>797</v>
      </c>
      <c r="C55" s="577">
        <v>657</v>
      </c>
      <c r="D55" s="574">
        <v>147</v>
      </c>
      <c r="E55" s="574">
        <v>224</v>
      </c>
      <c r="F55" s="574">
        <v>305</v>
      </c>
      <c r="G55" s="574">
        <v>0</v>
      </c>
      <c r="H55" s="574">
        <v>44</v>
      </c>
      <c r="I55" s="577">
        <v>1377</v>
      </c>
      <c r="J55" s="577">
        <v>0</v>
      </c>
      <c r="K55" s="574">
        <v>495</v>
      </c>
      <c r="L55" s="574">
        <v>275</v>
      </c>
      <c r="M55" s="574">
        <v>41</v>
      </c>
      <c r="N55" s="574">
        <v>0</v>
      </c>
      <c r="O55" s="577">
        <v>811</v>
      </c>
      <c r="P55" s="577">
        <v>0</v>
      </c>
      <c r="Q55" s="574">
        <v>0</v>
      </c>
      <c r="R55" s="577">
        <v>0</v>
      </c>
      <c r="S55" s="577">
        <v>0</v>
      </c>
      <c r="T55" s="577">
        <v>2188</v>
      </c>
      <c r="U55" s="577"/>
      <c r="V55" s="577"/>
    </row>
    <row r="56" spans="1:22">
      <c r="A56" s="575"/>
      <c r="B56" s="579" t="s">
        <v>799</v>
      </c>
      <c r="C56" s="579">
        <v>413</v>
      </c>
      <c r="D56" s="78">
        <v>148</v>
      </c>
      <c r="E56" s="78">
        <v>277</v>
      </c>
      <c r="F56" s="78">
        <v>312</v>
      </c>
      <c r="G56" s="78">
        <v>0</v>
      </c>
      <c r="H56" s="78">
        <v>45</v>
      </c>
      <c r="I56" s="579">
        <v>1195</v>
      </c>
      <c r="J56" s="579">
        <v>0</v>
      </c>
      <c r="K56" s="78">
        <v>429</v>
      </c>
      <c r="L56" s="78">
        <v>185</v>
      </c>
      <c r="M56" s="78">
        <v>36</v>
      </c>
      <c r="N56" s="78">
        <v>0</v>
      </c>
      <c r="O56" s="579">
        <v>650</v>
      </c>
      <c r="P56" s="579">
        <v>0</v>
      </c>
      <c r="Q56" s="78">
        <v>0</v>
      </c>
      <c r="R56" s="579">
        <v>0</v>
      </c>
      <c r="S56" s="579">
        <v>0</v>
      </c>
      <c r="T56" s="579">
        <v>1845</v>
      </c>
      <c r="U56" s="579"/>
      <c r="V56" s="579"/>
    </row>
    <row r="57" spans="1:22">
      <c r="A57" s="575"/>
      <c r="B57" s="579" t="s">
        <v>801</v>
      </c>
      <c r="C57" s="579">
        <v>311</v>
      </c>
      <c r="D57" s="78">
        <v>103</v>
      </c>
      <c r="E57" s="78">
        <v>387</v>
      </c>
      <c r="F57" s="78">
        <v>452</v>
      </c>
      <c r="G57" s="78">
        <v>0</v>
      </c>
      <c r="H57" s="78">
        <v>49</v>
      </c>
      <c r="I57" s="579">
        <v>1302</v>
      </c>
      <c r="J57" s="579">
        <v>0</v>
      </c>
      <c r="K57" s="78">
        <v>406</v>
      </c>
      <c r="L57" s="78">
        <v>322</v>
      </c>
      <c r="M57" s="78">
        <v>34</v>
      </c>
      <c r="N57" s="78">
        <v>0</v>
      </c>
      <c r="O57" s="579">
        <v>762</v>
      </c>
      <c r="P57" s="579">
        <v>0</v>
      </c>
      <c r="Q57" s="78">
        <v>0</v>
      </c>
      <c r="R57" s="579">
        <v>0</v>
      </c>
      <c r="S57" s="579">
        <v>0</v>
      </c>
      <c r="T57" s="579">
        <v>2064</v>
      </c>
      <c r="U57" s="579"/>
      <c r="V57" s="579"/>
    </row>
    <row r="58" spans="1:22">
      <c r="A58" s="575"/>
      <c r="B58" s="579" t="s">
        <v>803</v>
      </c>
      <c r="C58" s="579">
        <v>21</v>
      </c>
      <c r="D58" s="78">
        <v>13</v>
      </c>
      <c r="E58" s="78">
        <v>37</v>
      </c>
      <c r="F58" s="78">
        <v>39</v>
      </c>
      <c r="G58" s="78">
        <v>0</v>
      </c>
      <c r="H58" s="78">
        <v>5</v>
      </c>
      <c r="I58" s="579">
        <v>115</v>
      </c>
      <c r="J58" s="579">
        <v>0</v>
      </c>
      <c r="K58" s="78">
        <v>85</v>
      </c>
      <c r="L58" s="78">
        <v>98</v>
      </c>
      <c r="M58" s="78">
        <v>12</v>
      </c>
      <c r="N58" s="78">
        <v>0</v>
      </c>
      <c r="O58" s="579">
        <v>195</v>
      </c>
      <c r="P58" s="579">
        <v>0</v>
      </c>
      <c r="Q58" s="78">
        <v>0</v>
      </c>
      <c r="R58" s="579">
        <v>0</v>
      </c>
      <c r="S58" s="579">
        <v>0</v>
      </c>
      <c r="T58" s="579">
        <v>310</v>
      </c>
      <c r="U58" s="579"/>
      <c r="V58" s="579"/>
    </row>
    <row r="59" spans="1:22">
      <c r="A59" s="575"/>
      <c r="B59" s="579" t="s">
        <v>805</v>
      </c>
      <c r="C59" s="579">
        <v>216</v>
      </c>
      <c r="D59" s="78">
        <v>69</v>
      </c>
      <c r="E59" s="78">
        <v>330</v>
      </c>
      <c r="F59" s="78">
        <v>227</v>
      </c>
      <c r="G59" s="78">
        <v>0</v>
      </c>
      <c r="H59" s="78">
        <v>0</v>
      </c>
      <c r="I59" s="579">
        <v>842</v>
      </c>
      <c r="J59" s="579">
        <v>0</v>
      </c>
      <c r="K59" s="78">
        <v>0</v>
      </c>
      <c r="L59" s="78">
        <v>2</v>
      </c>
      <c r="M59" s="78">
        <v>0</v>
      </c>
      <c r="N59" s="78">
        <v>0</v>
      </c>
      <c r="O59" s="579">
        <v>2</v>
      </c>
      <c r="P59" s="579">
        <v>0</v>
      </c>
      <c r="Q59" s="78">
        <v>0</v>
      </c>
      <c r="R59" s="579">
        <v>0</v>
      </c>
      <c r="S59" s="579">
        <v>0</v>
      </c>
      <c r="T59" s="579">
        <v>844</v>
      </c>
      <c r="U59" s="579"/>
      <c r="V59" s="579"/>
    </row>
    <row r="60" spans="1:22">
      <c r="A60" s="575"/>
      <c r="B60" s="579" t="s">
        <v>807</v>
      </c>
      <c r="C60" s="579">
        <v>0</v>
      </c>
      <c r="D60" s="78">
        <v>0</v>
      </c>
      <c r="E60" s="78">
        <v>0</v>
      </c>
      <c r="F60" s="78">
        <v>0</v>
      </c>
      <c r="G60" s="78">
        <v>0</v>
      </c>
      <c r="H60" s="78">
        <v>0</v>
      </c>
      <c r="I60" s="579">
        <v>0</v>
      </c>
      <c r="J60" s="579">
        <v>0</v>
      </c>
      <c r="K60" s="78">
        <v>0</v>
      </c>
      <c r="L60" s="78">
        <v>0</v>
      </c>
      <c r="M60" s="78">
        <v>0</v>
      </c>
      <c r="N60" s="78">
        <v>0</v>
      </c>
      <c r="O60" s="579">
        <v>0</v>
      </c>
      <c r="P60" s="579">
        <v>0</v>
      </c>
      <c r="Q60" s="78">
        <v>0</v>
      </c>
      <c r="R60" s="579">
        <v>0</v>
      </c>
      <c r="S60" s="579">
        <v>0</v>
      </c>
      <c r="T60" s="579">
        <v>0</v>
      </c>
      <c r="U60" s="579"/>
      <c r="V60" s="579"/>
    </row>
    <row r="61" spans="1:22">
      <c r="A61" s="575"/>
      <c r="B61" s="579" t="s">
        <v>809</v>
      </c>
      <c r="C61" s="579">
        <v>1618</v>
      </c>
      <c r="D61" s="78">
        <v>480</v>
      </c>
      <c r="E61" s="78">
        <v>1255</v>
      </c>
      <c r="F61" s="78">
        <v>1335</v>
      </c>
      <c r="G61" s="78">
        <v>0</v>
      </c>
      <c r="H61" s="78">
        <v>143</v>
      </c>
      <c r="I61" s="579">
        <v>4831</v>
      </c>
      <c r="J61" s="579">
        <v>0</v>
      </c>
      <c r="K61" s="78">
        <v>1415</v>
      </c>
      <c r="L61" s="78">
        <v>882</v>
      </c>
      <c r="M61" s="78">
        <v>123</v>
      </c>
      <c r="N61" s="78">
        <v>0</v>
      </c>
      <c r="O61" s="579">
        <v>2420</v>
      </c>
      <c r="P61" s="579">
        <v>0</v>
      </c>
      <c r="Q61" s="78">
        <v>0</v>
      </c>
      <c r="R61" s="579">
        <v>0</v>
      </c>
      <c r="S61" s="579">
        <v>0</v>
      </c>
      <c r="T61" s="579">
        <v>7251</v>
      </c>
      <c r="U61" s="579"/>
      <c r="V61" s="579"/>
    </row>
    <row r="62" spans="1:22">
      <c r="A62" s="571" t="s">
        <v>341</v>
      </c>
      <c r="B62" s="577" t="s">
        <v>797</v>
      </c>
      <c r="C62" s="577">
        <v>391</v>
      </c>
      <c r="D62" s="574">
        <v>235</v>
      </c>
      <c r="E62" s="574">
        <v>0</v>
      </c>
      <c r="F62" s="574">
        <v>84</v>
      </c>
      <c r="G62" s="574">
        <v>26</v>
      </c>
      <c r="H62" s="574">
        <v>0</v>
      </c>
      <c r="I62" s="577">
        <v>736</v>
      </c>
      <c r="J62" s="577">
        <v>0</v>
      </c>
      <c r="K62" s="574">
        <v>0</v>
      </c>
      <c r="L62" s="574">
        <v>0</v>
      </c>
      <c r="M62" s="574">
        <v>0</v>
      </c>
      <c r="N62" s="574">
        <v>0</v>
      </c>
      <c r="O62" s="577">
        <v>0</v>
      </c>
      <c r="P62" s="577">
        <v>0</v>
      </c>
      <c r="Q62" s="574">
        <v>0</v>
      </c>
      <c r="R62" s="577">
        <v>0</v>
      </c>
      <c r="S62" s="577">
        <v>0</v>
      </c>
      <c r="T62" s="577">
        <v>736</v>
      </c>
      <c r="U62" s="577"/>
      <c r="V62" s="577"/>
    </row>
    <row r="63" spans="1:22">
      <c r="A63" s="575"/>
      <c r="B63" s="579" t="s">
        <v>799</v>
      </c>
      <c r="C63" s="579">
        <v>385</v>
      </c>
      <c r="D63" s="78">
        <v>303</v>
      </c>
      <c r="E63" s="78">
        <v>0</v>
      </c>
      <c r="F63" s="78">
        <v>101</v>
      </c>
      <c r="G63" s="78">
        <v>21</v>
      </c>
      <c r="H63" s="78">
        <v>0</v>
      </c>
      <c r="I63" s="579">
        <v>810</v>
      </c>
      <c r="J63" s="579">
        <v>0</v>
      </c>
      <c r="K63" s="78">
        <v>0</v>
      </c>
      <c r="L63" s="78">
        <v>0</v>
      </c>
      <c r="M63" s="78">
        <v>0</v>
      </c>
      <c r="N63" s="78">
        <v>0</v>
      </c>
      <c r="O63" s="579">
        <v>0</v>
      </c>
      <c r="P63" s="579">
        <v>0</v>
      </c>
      <c r="Q63" s="78">
        <v>0</v>
      </c>
      <c r="R63" s="579">
        <v>0</v>
      </c>
      <c r="S63" s="579">
        <v>0</v>
      </c>
      <c r="T63" s="579">
        <v>810</v>
      </c>
      <c r="U63" s="579"/>
      <c r="V63" s="579"/>
    </row>
    <row r="64" spans="1:22">
      <c r="A64" s="575"/>
      <c r="B64" s="579" t="s">
        <v>801</v>
      </c>
      <c r="C64" s="579">
        <v>552</v>
      </c>
      <c r="D64" s="78">
        <v>370</v>
      </c>
      <c r="E64" s="78">
        <v>0</v>
      </c>
      <c r="F64" s="78">
        <v>199</v>
      </c>
      <c r="G64" s="78">
        <v>36</v>
      </c>
      <c r="H64" s="78">
        <v>0</v>
      </c>
      <c r="I64" s="579">
        <v>1157</v>
      </c>
      <c r="J64" s="579">
        <v>0</v>
      </c>
      <c r="K64" s="78">
        <v>0</v>
      </c>
      <c r="L64" s="78">
        <v>0</v>
      </c>
      <c r="M64" s="78">
        <v>0</v>
      </c>
      <c r="N64" s="78">
        <v>0</v>
      </c>
      <c r="O64" s="579">
        <v>0</v>
      </c>
      <c r="P64" s="579">
        <v>0</v>
      </c>
      <c r="Q64" s="78">
        <v>0</v>
      </c>
      <c r="R64" s="579">
        <v>0</v>
      </c>
      <c r="S64" s="579">
        <v>0</v>
      </c>
      <c r="T64" s="579">
        <v>1157</v>
      </c>
      <c r="U64" s="579"/>
      <c r="V64" s="579"/>
    </row>
    <row r="65" spans="1:22">
      <c r="A65" s="575"/>
      <c r="B65" s="579" t="s">
        <v>803</v>
      </c>
      <c r="C65" s="579">
        <v>277</v>
      </c>
      <c r="D65" s="78">
        <v>193</v>
      </c>
      <c r="E65" s="78">
        <v>0</v>
      </c>
      <c r="F65" s="78">
        <v>124</v>
      </c>
      <c r="G65" s="78">
        <v>51</v>
      </c>
      <c r="H65" s="78">
        <v>0</v>
      </c>
      <c r="I65" s="579">
        <v>645</v>
      </c>
      <c r="J65" s="579">
        <v>0</v>
      </c>
      <c r="K65" s="78">
        <v>0</v>
      </c>
      <c r="L65" s="78">
        <v>0</v>
      </c>
      <c r="M65" s="78">
        <v>0</v>
      </c>
      <c r="N65" s="78">
        <v>0</v>
      </c>
      <c r="O65" s="579">
        <v>0</v>
      </c>
      <c r="P65" s="579">
        <v>0</v>
      </c>
      <c r="Q65" s="78">
        <v>0</v>
      </c>
      <c r="R65" s="579">
        <v>0</v>
      </c>
      <c r="S65" s="579">
        <v>0</v>
      </c>
      <c r="T65" s="579">
        <v>645</v>
      </c>
      <c r="U65" s="579"/>
      <c r="V65" s="579"/>
    </row>
    <row r="66" spans="1:22">
      <c r="A66" s="575"/>
      <c r="B66" s="579" t="s">
        <v>805</v>
      </c>
      <c r="C66" s="579">
        <v>50</v>
      </c>
      <c r="D66" s="78">
        <v>21</v>
      </c>
      <c r="E66" s="78">
        <v>0</v>
      </c>
      <c r="F66" s="78">
        <v>0</v>
      </c>
      <c r="G66" s="78">
        <v>0</v>
      </c>
      <c r="H66" s="78">
        <v>0</v>
      </c>
      <c r="I66" s="579">
        <v>71</v>
      </c>
      <c r="J66" s="579">
        <v>0</v>
      </c>
      <c r="K66" s="78">
        <v>0</v>
      </c>
      <c r="L66" s="78">
        <v>0</v>
      </c>
      <c r="M66" s="78">
        <v>0</v>
      </c>
      <c r="N66" s="78">
        <v>0</v>
      </c>
      <c r="O66" s="579">
        <v>0</v>
      </c>
      <c r="P66" s="579">
        <v>0</v>
      </c>
      <c r="Q66" s="78">
        <v>0</v>
      </c>
      <c r="R66" s="579">
        <v>0</v>
      </c>
      <c r="S66" s="579">
        <v>0</v>
      </c>
      <c r="T66" s="579">
        <v>71</v>
      </c>
      <c r="U66" s="579"/>
      <c r="V66" s="579"/>
    </row>
    <row r="67" spans="1:22">
      <c r="A67" s="575"/>
      <c r="B67" s="579" t="s">
        <v>807</v>
      </c>
      <c r="C67" s="579">
        <v>0</v>
      </c>
      <c r="D67" s="78">
        <v>0</v>
      </c>
      <c r="E67" s="78">
        <v>0</v>
      </c>
      <c r="F67" s="78">
        <v>0</v>
      </c>
      <c r="G67" s="78">
        <v>0</v>
      </c>
      <c r="H67" s="78">
        <v>0</v>
      </c>
      <c r="I67" s="579">
        <v>0</v>
      </c>
      <c r="J67" s="579">
        <v>0</v>
      </c>
      <c r="K67" s="78">
        <v>1188</v>
      </c>
      <c r="L67" s="78">
        <v>1225.7</v>
      </c>
      <c r="M67" s="78">
        <v>146</v>
      </c>
      <c r="N67" s="78">
        <v>0</v>
      </c>
      <c r="O67" s="579">
        <v>2559.6999999999998</v>
      </c>
      <c r="P67" s="579">
        <v>0</v>
      </c>
      <c r="Q67" s="78">
        <v>0</v>
      </c>
      <c r="R67" s="579">
        <v>0</v>
      </c>
      <c r="S67" s="579">
        <v>0</v>
      </c>
      <c r="T67" s="579">
        <v>2559.6999999999998</v>
      </c>
      <c r="U67" s="579"/>
      <c r="V67" s="579"/>
    </row>
    <row r="68" spans="1:22">
      <c r="A68" s="575"/>
      <c r="B68" s="579" t="s">
        <v>809</v>
      </c>
      <c r="C68" s="579">
        <v>1655</v>
      </c>
      <c r="D68" s="78">
        <v>1122</v>
      </c>
      <c r="E68" s="78">
        <v>0</v>
      </c>
      <c r="F68" s="78">
        <v>508</v>
      </c>
      <c r="G68" s="78">
        <v>134</v>
      </c>
      <c r="H68" s="78">
        <v>0</v>
      </c>
      <c r="I68" s="579">
        <v>3419</v>
      </c>
      <c r="J68" s="579">
        <v>0</v>
      </c>
      <c r="K68" s="78">
        <v>1188</v>
      </c>
      <c r="L68" s="78">
        <v>1225.7</v>
      </c>
      <c r="M68" s="78">
        <v>146</v>
      </c>
      <c r="N68" s="78">
        <v>0</v>
      </c>
      <c r="O68" s="579">
        <v>2559.6999999999998</v>
      </c>
      <c r="P68" s="579">
        <v>0</v>
      </c>
      <c r="Q68" s="78">
        <v>0</v>
      </c>
      <c r="R68" s="579">
        <v>0</v>
      </c>
      <c r="S68" s="579">
        <v>0</v>
      </c>
      <c r="T68" s="579">
        <v>5978.7</v>
      </c>
      <c r="U68" s="579"/>
      <c r="V68" s="579"/>
    </row>
    <row r="69" spans="1:22">
      <c r="A69" s="571" t="s">
        <v>342</v>
      </c>
      <c r="B69" s="577" t="s">
        <v>797</v>
      </c>
      <c r="C69" s="577">
        <v>1290</v>
      </c>
      <c r="D69" s="574">
        <v>388</v>
      </c>
      <c r="E69" s="574">
        <v>898</v>
      </c>
      <c r="F69" s="574">
        <v>43</v>
      </c>
      <c r="G69" s="574">
        <v>91</v>
      </c>
      <c r="H69" s="574">
        <v>109</v>
      </c>
      <c r="I69" s="577">
        <v>2819</v>
      </c>
      <c r="J69" s="577">
        <v>0</v>
      </c>
      <c r="K69" s="574">
        <v>0</v>
      </c>
      <c r="L69" s="574">
        <v>0</v>
      </c>
      <c r="M69" s="574">
        <v>0</v>
      </c>
      <c r="N69" s="574">
        <v>0</v>
      </c>
      <c r="O69" s="577">
        <v>0</v>
      </c>
      <c r="P69" s="577">
        <v>0</v>
      </c>
      <c r="Q69" s="574">
        <v>0</v>
      </c>
      <c r="R69" s="577">
        <v>0</v>
      </c>
      <c r="S69" s="577">
        <v>0</v>
      </c>
      <c r="T69" s="577">
        <v>2819</v>
      </c>
      <c r="U69" s="577"/>
      <c r="V69" s="577"/>
    </row>
    <row r="70" spans="1:22">
      <c r="A70" s="575"/>
      <c r="B70" s="579" t="s">
        <v>799</v>
      </c>
      <c r="C70" s="579">
        <v>796</v>
      </c>
      <c r="D70" s="78">
        <v>512</v>
      </c>
      <c r="E70" s="78">
        <v>1136</v>
      </c>
      <c r="F70" s="78">
        <v>78</v>
      </c>
      <c r="G70" s="78">
        <v>169</v>
      </c>
      <c r="H70" s="78">
        <v>95</v>
      </c>
      <c r="I70" s="579">
        <v>2786</v>
      </c>
      <c r="J70" s="579">
        <v>0</v>
      </c>
      <c r="K70" s="78">
        <v>0</v>
      </c>
      <c r="L70" s="78">
        <v>0</v>
      </c>
      <c r="M70" s="78">
        <v>0</v>
      </c>
      <c r="N70" s="78">
        <v>0</v>
      </c>
      <c r="O70" s="579">
        <v>0</v>
      </c>
      <c r="P70" s="579">
        <v>0</v>
      </c>
      <c r="Q70" s="78">
        <v>0</v>
      </c>
      <c r="R70" s="579">
        <v>0</v>
      </c>
      <c r="S70" s="579">
        <v>0</v>
      </c>
      <c r="T70" s="579">
        <v>2786</v>
      </c>
      <c r="U70" s="579"/>
      <c r="V70" s="579"/>
    </row>
    <row r="71" spans="1:22">
      <c r="A71" s="575"/>
      <c r="B71" s="579" t="s">
        <v>801</v>
      </c>
      <c r="C71" s="579">
        <v>685</v>
      </c>
      <c r="D71" s="78">
        <v>404</v>
      </c>
      <c r="E71" s="78">
        <v>1077</v>
      </c>
      <c r="F71" s="78">
        <v>121</v>
      </c>
      <c r="G71" s="78">
        <v>227</v>
      </c>
      <c r="H71" s="78">
        <v>93</v>
      </c>
      <c r="I71" s="579">
        <v>2607</v>
      </c>
      <c r="J71" s="579">
        <v>0</v>
      </c>
      <c r="K71" s="78">
        <v>0</v>
      </c>
      <c r="L71" s="78">
        <v>0</v>
      </c>
      <c r="M71" s="78">
        <v>0</v>
      </c>
      <c r="N71" s="78">
        <v>0</v>
      </c>
      <c r="O71" s="579">
        <v>0</v>
      </c>
      <c r="P71" s="579">
        <v>0</v>
      </c>
      <c r="Q71" s="78">
        <v>0</v>
      </c>
      <c r="R71" s="579">
        <v>0</v>
      </c>
      <c r="S71" s="579">
        <v>0</v>
      </c>
      <c r="T71" s="579">
        <v>2607</v>
      </c>
      <c r="U71" s="579"/>
      <c r="V71" s="579"/>
    </row>
    <row r="72" spans="1:22">
      <c r="A72" s="575"/>
      <c r="B72" s="579" t="s">
        <v>803</v>
      </c>
      <c r="C72" s="579">
        <v>19</v>
      </c>
      <c r="D72" s="78">
        <v>59</v>
      </c>
      <c r="E72" s="78">
        <v>55</v>
      </c>
      <c r="F72" s="78">
        <v>8</v>
      </c>
      <c r="G72" s="78">
        <v>46</v>
      </c>
      <c r="H72" s="78">
        <v>4</v>
      </c>
      <c r="I72" s="579">
        <v>191</v>
      </c>
      <c r="J72" s="579">
        <v>0</v>
      </c>
      <c r="K72" s="78">
        <v>0</v>
      </c>
      <c r="L72" s="78">
        <v>0</v>
      </c>
      <c r="M72" s="78">
        <v>0</v>
      </c>
      <c r="N72" s="78">
        <v>0</v>
      </c>
      <c r="O72" s="579">
        <v>0</v>
      </c>
      <c r="P72" s="579">
        <v>0</v>
      </c>
      <c r="Q72" s="78">
        <v>0</v>
      </c>
      <c r="R72" s="579">
        <v>0</v>
      </c>
      <c r="S72" s="579">
        <v>0</v>
      </c>
      <c r="T72" s="579">
        <v>191</v>
      </c>
      <c r="U72" s="579"/>
      <c r="V72" s="579"/>
    </row>
    <row r="73" spans="1:22">
      <c r="A73" s="575"/>
      <c r="B73" s="579" t="s">
        <v>805</v>
      </c>
      <c r="C73" s="579">
        <v>611</v>
      </c>
      <c r="D73" s="78">
        <v>378</v>
      </c>
      <c r="E73" s="78">
        <v>860</v>
      </c>
      <c r="F73" s="78">
        <v>37</v>
      </c>
      <c r="G73" s="78">
        <v>85</v>
      </c>
      <c r="H73" s="78">
        <v>72</v>
      </c>
      <c r="I73" s="579">
        <v>2043</v>
      </c>
      <c r="J73" s="579">
        <v>0</v>
      </c>
      <c r="K73" s="78">
        <v>0</v>
      </c>
      <c r="L73" s="78">
        <v>0</v>
      </c>
      <c r="M73" s="78">
        <v>0</v>
      </c>
      <c r="N73" s="78">
        <v>0</v>
      </c>
      <c r="O73" s="579">
        <v>0</v>
      </c>
      <c r="P73" s="579">
        <v>0</v>
      </c>
      <c r="Q73" s="78">
        <v>0</v>
      </c>
      <c r="R73" s="579">
        <v>0</v>
      </c>
      <c r="S73" s="579">
        <v>0</v>
      </c>
      <c r="T73" s="579">
        <v>2043</v>
      </c>
      <c r="U73" s="579"/>
      <c r="V73" s="579"/>
    </row>
    <row r="74" spans="1:22">
      <c r="A74" s="575"/>
      <c r="B74" s="579" t="s">
        <v>807</v>
      </c>
      <c r="C74" s="579">
        <v>0</v>
      </c>
      <c r="D74" s="78">
        <v>0</v>
      </c>
      <c r="E74" s="78">
        <v>0</v>
      </c>
      <c r="F74" s="78">
        <v>0</v>
      </c>
      <c r="G74" s="78">
        <v>0</v>
      </c>
      <c r="H74" s="78">
        <v>0</v>
      </c>
      <c r="I74" s="579">
        <v>0</v>
      </c>
      <c r="J74" s="579">
        <v>0</v>
      </c>
      <c r="K74" s="78">
        <v>2481</v>
      </c>
      <c r="L74" s="78">
        <v>2618</v>
      </c>
      <c r="M74" s="78">
        <v>1332</v>
      </c>
      <c r="N74" s="78">
        <v>0</v>
      </c>
      <c r="O74" s="579">
        <v>6431</v>
      </c>
      <c r="P74" s="579">
        <v>0</v>
      </c>
      <c r="Q74" s="78">
        <v>0</v>
      </c>
      <c r="R74" s="579">
        <v>0</v>
      </c>
      <c r="S74" s="579">
        <v>0</v>
      </c>
      <c r="T74" s="579">
        <v>6431</v>
      </c>
      <c r="U74" s="579"/>
      <c r="V74" s="579"/>
    </row>
    <row r="75" spans="1:22">
      <c r="A75" s="575"/>
      <c r="B75" s="579" t="s">
        <v>809</v>
      </c>
      <c r="C75" s="579">
        <v>3401</v>
      </c>
      <c r="D75" s="78">
        <v>1741</v>
      </c>
      <c r="E75" s="78">
        <v>4026</v>
      </c>
      <c r="F75" s="78">
        <v>287</v>
      </c>
      <c r="G75" s="78">
        <v>618</v>
      </c>
      <c r="H75" s="78">
        <v>373</v>
      </c>
      <c r="I75" s="579">
        <v>10446</v>
      </c>
      <c r="J75" s="579">
        <v>0</v>
      </c>
      <c r="K75" s="78">
        <v>2481</v>
      </c>
      <c r="L75" s="78">
        <v>2618</v>
      </c>
      <c r="M75" s="78">
        <v>1332</v>
      </c>
      <c r="N75" s="78">
        <v>0</v>
      </c>
      <c r="O75" s="579">
        <v>6431</v>
      </c>
      <c r="P75" s="579">
        <v>0</v>
      </c>
      <c r="Q75" s="78">
        <v>0</v>
      </c>
      <c r="R75" s="579">
        <v>0</v>
      </c>
      <c r="S75" s="579">
        <v>0</v>
      </c>
      <c r="T75" s="579">
        <v>16877</v>
      </c>
      <c r="U75" s="579"/>
      <c r="V75" s="579"/>
    </row>
    <row r="76" spans="1:22">
      <c r="A76" s="571" t="s">
        <v>311</v>
      </c>
      <c r="B76" s="577" t="s">
        <v>797</v>
      </c>
      <c r="C76" s="577">
        <v>699</v>
      </c>
      <c r="D76" s="574">
        <v>0</v>
      </c>
      <c r="E76" s="574">
        <v>231</v>
      </c>
      <c r="F76" s="574">
        <v>0</v>
      </c>
      <c r="G76" s="574">
        <v>196</v>
      </c>
      <c r="H76" s="574">
        <v>32</v>
      </c>
      <c r="I76" s="577">
        <v>1158</v>
      </c>
      <c r="J76" s="577">
        <v>0</v>
      </c>
      <c r="K76" s="574">
        <v>0</v>
      </c>
      <c r="L76" s="574">
        <v>0</v>
      </c>
      <c r="M76" s="574">
        <v>0</v>
      </c>
      <c r="N76" s="574">
        <v>0</v>
      </c>
      <c r="O76" s="577">
        <v>0</v>
      </c>
      <c r="P76" s="577">
        <v>0</v>
      </c>
      <c r="Q76" s="574">
        <v>0</v>
      </c>
      <c r="R76" s="577">
        <v>0</v>
      </c>
      <c r="S76" s="577">
        <v>0</v>
      </c>
      <c r="T76" s="577">
        <v>1158</v>
      </c>
      <c r="U76" s="577"/>
      <c r="V76" s="577"/>
    </row>
    <row r="77" spans="1:22">
      <c r="A77" s="575"/>
      <c r="B77" s="579" t="s">
        <v>799</v>
      </c>
      <c r="C77" s="579">
        <v>551</v>
      </c>
      <c r="D77" s="78">
        <v>0</v>
      </c>
      <c r="E77" s="78">
        <v>138</v>
      </c>
      <c r="F77" s="78">
        <v>0</v>
      </c>
      <c r="G77" s="78">
        <v>190</v>
      </c>
      <c r="H77" s="78">
        <v>53</v>
      </c>
      <c r="I77" s="579">
        <v>932</v>
      </c>
      <c r="J77" s="579">
        <v>0</v>
      </c>
      <c r="K77" s="78">
        <v>0</v>
      </c>
      <c r="L77" s="78">
        <v>0</v>
      </c>
      <c r="M77" s="78">
        <v>0</v>
      </c>
      <c r="N77" s="78">
        <v>0</v>
      </c>
      <c r="O77" s="579">
        <v>0</v>
      </c>
      <c r="P77" s="579">
        <v>0</v>
      </c>
      <c r="Q77" s="78">
        <v>0</v>
      </c>
      <c r="R77" s="579">
        <v>0</v>
      </c>
      <c r="S77" s="579">
        <v>0</v>
      </c>
      <c r="T77" s="579">
        <v>932</v>
      </c>
      <c r="U77" s="579"/>
      <c r="V77" s="579"/>
    </row>
    <row r="78" spans="1:22">
      <c r="A78" s="575"/>
      <c r="B78" s="579" t="s">
        <v>801</v>
      </c>
      <c r="C78" s="579">
        <v>527</v>
      </c>
      <c r="D78" s="78">
        <v>0</v>
      </c>
      <c r="E78" s="78">
        <v>221</v>
      </c>
      <c r="F78" s="78">
        <v>0</v>
      </c>
      <c r="G78" s="78">
        <v>269</v>
      </c>
      <c r="H78" s="78">
        <v>65</v>
      </c>
      <c r="I78" s="579">
        <v>1082</v>
      </c>
      <c r="J78" s="579">
        <v>0</v>
      </c>
      <c r="K78" s="78">
        <v>0</v>
      </c>
      <c r="L78" s="78">
        <v>0</v>
      </c>
      <c r="M78" s="78">
        <v>0</v>
      </c>
      <c r="N78" s="78">
        <v>0</v>
      </c>
      <c r="O78" s="579">
        <v>0</v>
      </c>
      <c r="P78" s="579">
        <v>0</v>
      </c>
      <c r="Q78" s="78">
        <v>0</v>
      </c>
      <c r="R78" s="579">
        <v>0</v>
      </c>
      <c r="S78" s="579">
        <v>0</v>
      </c>
      <c r="T78" s="579">
        <v>1082</v>
      </c>
      <c r="U78" s="579"/>
      <c r="V78" s="579"/>
    </row>
    <row r="79" spans="1:22">
      <c r="A79" s="575"/>
      <c r="B79" s="579" t="s">
        <v>803</v>
      </c>
      <c r="C79" s="579">
        <v>275</v>
      </c>
      <c r="D79" s="78">
        <v>0</v>
      </c>
      <c r="E79" s="78">
        <v>177</v>
      </c>
      <c r="F79" s="78">
        <v>0</v>
      </c>
      <c r="G79" s="78">
        <v>263</v>
      </c>
      <c r="H79" s="78">
        <v>56</v>
      </c>
      <c r="I79" s="579">
        <v>771</v>
      </c>
      <c r="J79" s="579">
        <v>0</v>
      </c>
      <c r="K79" s="78">
        <v>0</v>
      </c>
      <c r="L79" s="78">
        <v>0</v>
      </c>
      <c r="M79" s="78">
        <v>0</v>
      </c>
      <c r="N79" s="78">
        <v>0</v>
      </c>
      <c r="O79" s="579">
        <v>0</v>
      </c>
      <c r="P79" s="579">
        <v>0</v>
      </c>
      <c r="Q79" s="78">
        <v>0</v>
      </c>
      <c r="R79" s="579">
        <v>0</v>
      </c>
      <c r="S79" s="579">
        <v>0</v>
      </c>
      <c r="T79" s="579">
        <v>771</v>
      </c>
      <c r="U79" s="579"/>
      <c r="V79" s="579"/>
    </row>
    <row r="80" spans="1:22">
      <c r="A80" s="575"/>
      <c r="B80" s="579" t="s">
        <v>805</v>
      </c>
      <c r="C80" s="579">
        <v>0</v>
      </c>
      <c r="D80" s="78">
        <v>0</v>
      </c>
      <c r="E80" s="78">
        <v>0</v>
      </c>
      <c r="F80" s="78">
        <v>0</v>
      </c>
      <c r="G80" s="78">
        <v>0</v>
      </c>
      <c r="H80" s="78">
        <v>0</v>
      </c>
      <c r="I80" s="579">
        <v>0</v>
      </c>
      <c r="J80" s="579">
        <v>0</v>
      </c>
      <c r="K80" s="78">
        <v>0</v>
      </c>
      <c r="L80" s="78">
        <v>0</v>
      </c>
      <c r="M80" s="78">
        <v>0</v>
      </c>
      <c r="N80" s="78">
        <v>0</v>
      </c>
      <c r="O80" s="579">
        <v>0</v>
      </c>
      <c r="P80" s="579">
        <v>0</v>
      </c>
      <c r="Q80" s="78">
        <v>0</v>
      </c>
      <c r="R80" s="579">
        <v>0</v>
      </c>
      <c r="S80" s="579">
        <v>0</v>
      </c>
      <c r="T80" s="579">
        <v>0</v>
      </c>
      <c r="U80" s="579"/>
      <c r="V80" s="579"/>
    </row>
    <row r="81" spans="1:22">
      <c r="A81" s="575"/>
      <c r="B81" s="579" t="s">
        <v>807</v>
      </c>
      <c r="C81" s="579">
        <v>0</v>
      </c>
      <c r="D81" s="78">
        <v>0</v>
      </c>
      <c r="E81" s="78">
        <v>0</v>
      </c>
      <c r="F81" s="78">
        <v>0</v>
      </c>
      <c r="G81" s="78">
        <v>0</v>
      </c>
      <c r="H81" s="78">
        <v>0</v>
      </c>
      <c r="I81" s="579">
        <v>0</v>
      </c>
      <c r="J81" s="579">
        <v>124</v>
      </c>
      <c r="K81" s="78">
        <v>446</v>
      </c>
      <c r="L81" s="78">
        <v>300</v>
      </c>
      <c r="M81" s="78">
        <v>378</v>
      </c>
      <c r="N81" s="78">
        <v>0</v>
      </c>
      <c r="O81" s="579">
        <v>1248</v>
      </c>
      <c r="P81" s="579">
        <v>302</v>
      </c>
      <c r="Q81" s="78">
        <v>815</v>
      </c>
      <c r="R81" s="579">
        <v>6</v>
      </c>
      <c r="S81" s="579">
        <v>1123</v>
      </c>
      <c r="T81" s="579">
        <v>2371</v>
      </c>
      <c r="U81" s="579"/>
      <c r="V81" s="579"/>
    </row>
    <row r="82" spans="1:22">
      <c r="A82" s="575"/>
      <c r="B82" s="579" t="s">
        <v>809</v>
      </c>
      <c r="C82" s="579">
        <v>2052</v>
      </c>
      <c r="D82" s="78">
        <v>0</v>
      </c>
      <c r="E82" s="78">
        <v>767</v>
      </c>
      <c r="F82" s="78">
        <v>0</v>
      </c>
      <c r="G82" s="78">
        <v>918</v>
      </c>
      <c r="H82" s="78">
        <v>206</v>
      </c>
      <c r="I82" s="579">
        <v>3943</v>
      </c>
      <c r="J82" s="579">
        <v>124</v>
      </c>
      <c r="K82" s="78">
        <v>446</v>
      </c>
      <c r="L82" s="78">
        <v>300</v>
      </c>
      <c r="M82" s="78">
        <v>378</v>
      </c>
      <c r="N82" s="78">
        <v>0</v>
      </c>
      <c r="O82" s="579">
        <v>1248</v>
      </c>
      <c r="P82" s="579">
        <v>302</v>
      </c>
      <c r="Q82" s="78">
        <v>815</v>
      </c>
      <c r="R82" s="579">
        <v>6</v>
      </c>
      <c r="S82" s="579">
        <v>1123</v>
      </c>
      <c r="T82" s="579">
        <v>6314</v>
      </c>
      <c r="U82" s="579"/>
      <c r="V82" s="579"/>
    </row>
    <row r="83" spans="1:22">
      <c r="A83" s="571" t="s">
        <v>346</v>
      </c>
      <c r="B83" s="577" t="s">
        <v>797</v>
      </c>
      <c r="C83" s="577">
        <v>646</v>
      </c>
      <c r="D83" s="574">
        <v>0</v>
      </c>
      <c r="E83" s="574">
        <v>196</v>
      </c>
      <c r="F83" s="574">
        <v>55</v>
      </c>
      <c r="G83" s="574">
        <v>158</v>
      </c>
      <c r="H83" s="574">
        <v>77</v>
      </c>
      <c r="I83" s="577">
        <v>1132</v>
      </c>
      <c r="J83" s="577">
        <v>11</v>
      </c>
      <c r="K83" s="574">
        <v>0</v>
      </c>
      <c r="L83" s="574">
        <v>0</v>
      </c>
      <c r="M83" s="574">
        <v>16</v>
      </c>
      <c r="N83" s="574">
        <v>0</v>
      </c>
      <c r="O83" s="577">
        <v>27</v>
      </c>
      <c r="P83" s="577">
        <v>0</v>
      </c>
      <c r="Q83" s="574">
        <v>0</v>
      </c>
      <c r="R83" s="577">
        <v>0</v>
      </c>
      <c r="S83" s="577">
        <v>0</v>
      </c>
      <c r="T83" s="577">
        <v>1159</v>
      </c>
      <c r="U83" s="577"/>
      <c r="V83" s="577"/>
    </row>
    <row r="84" spans="1:22">
      <c r="A84" s="575"/>
      <c r="B84" s="579" t="s">
        <v>799</v>
      </c>
      <c r="C84" s="579">
        <v>587</v>
      </c>
      <c r="D84" s="78">
        <v>0</v>
      </c>
      <c r="E84" s="78">
        <v>253</v>
      </c>
      <c r="F84" s="78">
        <v>52</v>
      </c>
      <c r="G84" s="78">
        <v>182</v>
      </c>
      <c r="H84" s="78">
        <v>110</v>
      </c>
      <c r="I84" s="579">
        <v>1184</v>
      </c>
      <c r="J84" s="579">
        <v>15</v>
      </c>
      <c r="K84" s="78">
        <v>0</v>
      </c>
      <c r="L84" s="78">
        <v>0</v>
      </c>
      <c r="M84" s="78">
        <v>23</v>
      </c>
      <c r="N84" s="78">
        <v>0</v>
      </c>
      <c r="O84" s="579">
        <v>38</v>
      </c>
      <c r="P84" s="579">
        <v>0</v>
      </c>
      <c r="Q84" s="78">
        <v>0</v>
      </c>
      <c r="R84" s="579">
        <v>0</v>
      </c>
      <c r="S84" s="579">
        <v>0</v>
      </c>
      <c r="T84" s="579">
        <v>1222</v>
      </c>
      <c r="U84" s="579"/>
      <c r="V84" s="579"/>
    </row>
    <row r="85" spans="1:22">
      <c r="A85" s="575"/>
      <c r="B85" s="579" t="s">
        <v>801</v>
      </c>
      <c r="C85" s="579">
        <v>622</v>
      </c>
      <c r="D85" s="78">
        <v>0</v>
      </c>
      <c r="E85" s="78">
        <v>242</v>
      </c>
      <c r="F85" s="78">
        <v>65</v>
      </c>
      <c r="G85" s="78">
        <v>283</v>
      </c>
      <c r="H85" s="78">
        <v>146</v>
      </c>
      <c r="I85" s="579">
        <v>1358</v>
      </c>
      <c r="J85" s="579">
        <v>17</v>
      </c>
      <c r="K85" s="78">
        <v>0</v>
      </c>
      <c r="L85" s="78">
        <v>0</v>
      </c>
      <c r="M85" s="78">
        <v>34</v>
      </c>
      <c r="N85" s="78">
        <v>0</v>
      </c>
      <c r="O85" s="579">
        <v>51</v>
      </c>
      <c r="P85" s="579">
        <v>0</v>
      </c>
      <c r="Q85" s="78">
        <v>0</v>
      </c>
      <c r="R85" s="579">
        <v>0</v>
      </c>
      <c r="S85" s="579">
        <v>0</v>
      </c>
      <c r="T85" s="579">
        <v>1409</v>
      </c>
      <c r="U85" s="579"/>
      <c r="V85" s="579"/>
    </row>
    <row r="86" spans="1:22">
      <c r="A86" s="575"/>
      <c r="B86" s="579" t="s">
        <v>803</v>
      </c>
      <c r="C86" s="579">
        <v>139</v>
      </c>
      <c r="D86" s="78">
        <v>0</v>
      </c>
      <c r="E86" s="78">
        <v>92</v>
      </c>
      <c r="F86" s="78">
        <v>0</v>
      </c>
      <c r="G86" s="78">
        <v>63</v>
      </c>
      <c r="H86" s="78">
        <v>134</v>
      </c>
      <c r="I86" s="579">
        <v>428</v>
      </c>
      <c r="J86" s="579">
        <v>14</v>
      </c>
      <c r="K86" s="78">
        <v>0</v>
      </c>
      <c r="L86" s="78">
        <v>0</v>
      </c>
      <c r="M86" s="78">
        <v>47</v>
      </c>
      <c r="N86" s="78">
        <v>0</v>
      </c>
      <c r="O86" s="579">
        <v>61</v>
      </c>
      <c r="P86" s="579">
        <v>0</v>
      </c>
      <c r="Q86" s="78">
        <v>0</v>
      </c>
      <c r="R86" s="579">
        <v>0</v>
      </c>
      <c r="S86" s="579">
        <v>0</v>
      </c>
      <c r="T86" s="579">
        <v>489</v>
      </c>
      <c r="U86" s="579"/>
      <c r="V86" s="579"/>
    </row>
    <row r="87" spans="1:22">
      <c r="A87" s="575"/>
      <c r="B87" s="579" t="s">
        <v>805</v>
      </c>
      <c r="C87" s="579">
        <v>210</v>
      </c>
      <c r="D87" s="78">
        <v>0</v>
      </c>
      <c r="E87" s="78">
        <v>0</v>
      </c>
      <c r="F87" s="78">
        <v>0</v>
      </c>
      <c r="G87" s="78">
        <v>57</v>
      </c>
      <c r="H87" s="78">
        <v>4</v>
      </c>
      <c r="I87" s="579">
        <v>271</v>
      </c>
      <c r="J87" s="579">
        <v>0</v>
      </c>
      <c r="K87" s="78">
        <v>845</v>
      </c>
      <c r="L87" s="78">
        <v>927</v>
      </c>
      <c r="M87" s="78">
        <v>130</v>
      </c>
      <c r="N87" s="78">
        <v>0</v>
      </c>
      <c r="O87" s="579">
        <v>1902</v>
      </c>
      <c r="P87" s="579">
        <v>0</v>
      </c>
      <c r="Q87" s="78">
        <v>0</v>
      </c>
      <c r="R87" s="579">
        <v>0</v>
      </c>
      <c r="S87" s="579">
        <v>0</v>
      </c>
      <c r="T87" s="579">
        <v>2173</v>
      </c>
      <c r="U87" s="579"/>
      <c r="V87" s="579"/>
    </row>
    <row r="88" spans="1:22">
      <c r="A88" s="575"/>
      <c r="B88" s="579" t="s">
        <v>807</v>
      </c>
      <c r="C88" s="579">
        <v>0</v>
      </c>
      <c r="D88" s="78">
        <v>0</v>
      </c>
      <c r="E88" s="78">
        <v>0</v>
      </c>
      <c r="F88" s="78">
        <v>0</v>
      </c>
      <c r="G88" s="78">
        <v>0</v>
      </c>
      <c r="H88" s="78">
        <v>0</v>
      </c>
      <c r="I88" s="579">
        <v>0</v>
      </c>
      <c r="J88" s="579">
        <v>0</v>
      </c>
      <c r="K88" s="78">
        <v>0</v>
      </c>
      <c r="L88" s="78">
        <v>0</v>
      </c>
      <c r="M88" s="78">
        <v>0</v>
      </c>
      <c r="N88" s="78">
        <v>0</v>
      </c>
      <c r="O88" s="579">
        <v>0</v>
      </c>
      <c r="P88" s="579">
        <v>0</v>
      </c>
      <c r="Q88" s="78">
        <v>0</v>
      </c>
      <c r="R88" s="579">
        <v>0</v>
      </c>
      <c r="S88" s="579">
        <v>0</v>
      </c>
      <c r="T88" s="579">
        <v>0</v>
      </c>
      <c r="U88" s="579"/>
      <c r="V88" s="579"/>
    </row>
    <row r="89" spans="1:22">
      <c r="A89" s="575"/>
      <c r="B89" s="579" t="s">
        <v>809</v>
      </c>
      <c r="C89" s="579">
        <v>2204</v>
      </c>
      <c r="D89" s="78">
        <v>0</v>
      </c>
      <c r="E89" s="78">
        <v>783</v>
      </c>
      <c r="F89" s="78">
        <v>172</v>
      </c>
      <c r="G89" s="78">
        <v>743</v>
      </c>
      <c r="H89" s="78">
        <v>471</v>
      </c>
      <c r="I89" s="579">
        <v>4373</v>
      </c>
      <c r="J89" s="579">
        <v>57</v>
      </c>
      <c r="K89" s="78">
        <v>845</v>
      </c>
      <c r="L89" s="78">
        <v>927</v>
      </c>
      <c r="M89" s="78">
        <v>250</v>
      </c>
      <c r="N89" s="78">
        <v>0</v>
      </c>
      <c r="O89" s="579">
        <v>2079</v>
      </c>
      <c r="P89" s="579">
        <v>0</v>
      </c>
      <c r="Q89" s="78">
        <v>0</v>
      </c>
      <c r="R89" s="579">
        <v>0</v>
      </c>
      <c r="S89" s="579">
        <v>0</v>
      </c>
      <c r="T89" s="579">
        <v>6452</v>
      </c>
      <c r="U89" s="579"/>
      <c r="V89" s="579"/>
    </row>
    <row r="90" spans="1:22">
      <c r="A90" s="571" t="s">
        <v>310</v>
      </c>
      <c r="B90" s="577" t="s">
        <v>797</v>
      </c>
      <c r="C90" s="577">
        <v>784</v>
      </c>
      <c r="D90" s="574">
        <v>0</v>
      </c>
      <c r="E90" s="574">
        <v>936</v>
      </c>
      <c r="F90" s="574">
        <v>0</v>
      </c>
      <c r="G90" s="574">
        <v>75</v>
      </c>
      <c r="H90" s="574">
        <v>0</v>
      </c>
      <c r="I90" s="577">
        <v>1795</v>
      </c>
      <c r="J90" s="577">
        <v>0</v>
      </c>
      <c r="K90" s="574">
        <v>89</v>
      </c>
      <c r="L90" s="574">
        <v>110</v>
      </c>
      <c r="M90" s="574">
        <v>10</v>
      </c>
      <c r="N90" s="574">
        <v>0</v>
      </c>
      <c r="O90" s="577">
        <v>209</v>
      </c>
      <c r="P90" s="577">
        <v>0</v>
      </c>
      <c r="Q90" s="574">
        <v>0</v>
      </c>
      <c r="R90" s="577">
        <v>0</v>
      </c>
      <c r="S90" s="577">
        <v>0</v>
      </c>
      <c r="T90" s="577">
        <v>2004</v>
      </c>
      <c r="U90" s="577"/>
      <c r="V90" s="577"/>
    </row>
    <row r="91" spans="1:22">
      <c r="A91" s="575"/>
      <c r="B91" s="579" t="s">
        <v>799</v>
      </c>
      <c r="C91" s="579">
        <v>650</v>
      </c>
      <c r="D91" s="78">
        <v>0</v>
      </c>
      <c r="E91" s="78">
        <v>734</v>
      </c>
      <c r="F91" s="78">
        <v>0</v>
      </c>
      <c r="G91" s="78">
        <v>45</v>
      </c>
      <c r="H91" s="78">
        <v>0</v>
      </c>
      <c r="I91" s="579">
        <v>1429</v>
      </c>
      <c r="J91" s="579">
        <v>0</v>
      </c>
      <c r="K91" s="78">
        <v>302</v>
      </c>
      <c r="L91" s="78">
        <v>432</v>
      </c>
      <c r="M91" s="78">
        <v>21</v>
      </c>
      <c r="N91" s="78">
        <v>0</v>
      </c>
      <c r="O91" s="579">
        <v>755</v>
      </c>
      <c r="P91" s="579">
        <v>0</v>
      </c>
      <c r="Q91" s="78">
        <v>0</v>
      </c>
      <c r="R91" s="579">
        <v>0</v>
      </c>
      <c r="S91" s="579">
        <v>0</v>
      </c>
      <c r="T91" s="579">
        <v>2184</v>
      </c>
      <c r="U91" s="579"/>
      <c r="V91" s="579"/>
    </row>
    <row r="92" spans="1:22">
      <c r="A92" s="575"/>
      <c r="B92" s="579" t="s">
        <v>801</v>
      </c>
      <c r="C92" s="579">
        <v>576</v>
      </c>
      <c r="D92" s="78">
        <v>0</v>
      </c>
      <c r="E92" s="78">
        <v>849</v>
      </c>
      <c r="F92" s="78">
        <v>0</v>
      </c>
      <c r="G92" s="78">
        <v>86</v>
      </c>
      <c r="H92" s="78">
        <v>0</v>
      </c>
      <c r="I92" s="579">
        <v>1511</v>
      </c>
      <c r="J92" s="579">
        <v>0</v>
      </c>
      <c r="K92" s="78">
        <v>119</v>
      </c>
      <c r="L92" s="78">
        <v>234</v>
      </c>
      <c r="M92" s="78">
        <v>7</v>
      </c>
      <c r="N92" s="78">
        <v>0</v>
      </c>
      <c r="O92" s="579">
        <v>360</v>
      </c>
      <c r="P92" s="579">
        <v>0</v>
      </c>
      <c r="Q92" s="78">
        <v>0</v>
      </c>
      <c r="R92" s="579">
        <v>0</v>
      </c>
      <c r="S92" s="579">
        <v>0</v>
      </c>
      <c r="T92" s="579">
        <v>1871</v>
      </c>
      <c r="U92" s="579"/>
      <c r="V92" s="579"/>
    </row>
    <row r="93" spans="1:22">
      <c r="A93" s="575"/>
      <c r="B93" s="579" t="s">
        <v>803</v>
      </c>
      <c r="C93" s="579">
        <v>144</v>
      </c>
      <c r="D93" s="78">
        <v>0</v>
      </c>
      <c r="E93" s="78">
        <v>246</v>
      </c>
      <c r="F93" s="78">
        <v>0</v>
      </c>
      <c r="G93" s="78">
        <v>20</v>
      </c>
      <c r="H93" s="78">
        <v>0</v>
      </c>
      <c r="I93" s="579">
        <v>410</v>
      </c>
      <c r="J93" s="579">
        <v>0</v>
      </c>
      <c r="K93" s="78">
        <v>125</v>
      </c>
      <c r="L93" s="78">
        <v>249</v>
      </c>
      <c r="M93" s="78">
        <v>16</v>
      </c>
      <c r="N93" s="78">
        <v>0</v>
      </c>
      <c r="O93" s="579">
        <v>390</v>
      </c>
      <c r="P93" s="579">
        <v>0</v>
      </c>
      <c r="Q93" s="78">
        <v>0</v>
      </c>
      <c r="R93" s="579">
        <v>0</v>
      </c>
      <c r="S93" s="579">
        <v>0</v>
      </c>
      <c r="T93" s="579">
        <v>800</v>
      </c>
      <c r="U93" s="579"/>
      <c r="V93" s="579"/>
    </row>
    <row r="94" spans="1:22">
      <c r="A94" s="575"/>
      <c r="B94" s="579" t="s">
        <v>805</v>
      </c>
      <c r="C94" s="579">
        <v>243</v>
      </c>
      <c r="D94" s="78">
        <v>0</v>
      </c>
      <c r="E94" s="78">
        <v>129</v>
      </c>
      <c r="F94" s="78">
        <v>0</v>
      </c>
      <c r="G94" s="78">
        <v>48</v>
      </c>
      <c r="H94" s="78">
        <v>0</v>
      </c>
      <c r="I94" s="579">
        <v>420</v>
      </c>
      <c r="J94" s="579">
        <v>0</v>
      </c>
      <c r="K94" s="78">
        <v>0</v>
      </c>
      <c r="L94" s="78">
        <v>4</v>
      </c>
      <c r="M94" s="78">
        <v>0</v>
      </c>
      <c r="N94" s="78">
        <v>0</v>
      </c>
      <c r="O94" s="579">
        <v>4</v>
      </c>
      <c r="P94" s="579">
        <v>0</v>
      </c>
      <c r="Q94" s="78">
        <v>0</v>
      </c>
      <c r="R94" s="579">
        <v>0</v>
      </c>
      <c r="S94" s="579">
        <v>0</v>
      </c>
      <c r="T94" s="579">
        <v>424</v>
      </c>
      <c r="U94" s="579"/>
      <c r="V94" s="579"/>
    </row>
    <row r="95" spans="1:22">
      <c r="A95" s="575"/>
      <c r="B95" s="579" t="s">
        <v>807</v>
      </c>
      <c r="C95" s="579">
        <v>0</v>
      </c>
      <c r="D95" s="78">
        <v>0</v>
      </c>
      <c r="E95" s="78">
        <v>0</v>
      </c>
      <c r="F95" s="78">
        <v>0</v>
      </c>
      <c r="G95" s="78">
        <v>0</v>
      </c>
      <c r="H95" s="78">
        <v>0</v>
      </c>
      <c r="I95" s="579">
        <v>0</v>
      </c>
      <c r="J95" s="579">
        <v>0</v>
      </c>
      <c r="K95" s="78">
        <v>0</v>
      </c>
      <c r="L95" s="78">
        <v>0</v>
      </c>
      <c r="M95" s="78">
        <v>0</v>
      </c>
      <c r="N95" s="78">
        <v>0</v>
      </c>
      <c r="O95" s="579">
        <v>0</v>
      </c>
      <c r="P95" s="579">
        <v>0</v>
      </c>
      <c r="Q95" s="78">
        <v>501</v>
      </c>
      <c r="R95" s="579">
        <v>0</v>
      </c>
      <c r="S95" s="579">
        <v>501</v>
      </c>
      <c r="T95" s="579">
        <v>501</v>
      </c>
      <c r="U95" s="579"/>
      <c r="V95" s="579"/>
    </row>
    <row r="96" spans="1:22">
      <c r="A96" s="575"/>
      <c r="B96" s="579" t="s">
        <v>809</v>
      </c>
      <c r="C96" s="579">
        <v>2397</v>
      </c>
      <c r="D96" s="78">
        <v>0</v>
      </c>
      <c r="E96" s="78">
        <v>2894</v>
      </c>
      <c r="F96" s="78">
        <v>0</v>
      </c>
      <c r="G96" s="78">
        <v>274</v>
      </c>
      <c r="H96" s="78">
        <v>0</v>
      </c>
      <c r="I96" s="579">
        <v>5565</v>
      </c>
      <c r="J96" s="579">
        <v>0</v>
      </c>
      <c r="K96" s="78">
        <v>635</v>
      </c>
      <c r="L96" s="78">
        <v>1029</v>
      </c>
      <c r="M96" s="78">
        <v>54</v>
      </c>
      <c r="N96" s="78">
        <v>0</v>
      </c>
      <c r="O96" s="579">
        <v>1718</v>
      </c>
      <c r="P96" s="579">
        <v>0</v>
      </c>
      <c r="Q96" s="78">
        <v>501</v>
      </c>
      <c r="R96" s="579">
        <v>0</v>
      </c>
      <c r="S96" s="579">
        <v>501</v>
      </c>
      <c r="T96" s="579">
        <v>7784</v>
      </c>
      <c r="U96" s="579"/>
      <c r="V96" s="579"/>
    </row>
    <row r="97" spans="1:22">
      <c r="A97" s="571" t="s">
        <v>309</v>
      </c>
      <c r="B97" s="577" t="s">
        <v>797</v>
      </c>
      <c r="C97" s="577">
        <v>3119</v>
      </c>
      <c r="D97" s="574">
        <v>368</v>
      </c>
      <c r="E97" s="574">
        <v>1407</v>
      </c>
      <c r="F97" s="574">
        <v>68</v>
      </c>
      <c r="G97" s="574">
        <v>46</v>
      </c>
      <c r="H97" s="574">
        <v>22</v>
      </c>
      <c r="I97" s="577">
        <v>5030</v>
      </c>
      <c r="J97" s="577">
        <v>62</v>
      </c>
      <c r="K97" s="574">
        <v>1725</v>
      </c>
      <c r="L97" s="574">
        <v>205</v>
      </c>
      <c r="M97" s="574">
        <v>42</v>
      </c>
      <c r="N97" s="574">
        <v>0</v>
      </c>
      <c r="O97" s="577">
        <v>2034</v>
      </c>
      <c r="P97" s="577">
        <v>0</v>
      </c>
      <c r="Q97" s="574">
        <v>0</v>
      </c>
      <c r="R97" s="577">
        <v>0</v>
      </c>
      <c r="S97" s="577">
        <v>0</v>
      </c>
      <c r="T97" s="577">
        <v>7064</v>
      </c>
      <c r="U97" s="577"/>
      <c r="V97" s="577"/>
    </row>
    <row r="98" spans="1:22">
      <c r="A98" s="575"/>
      <c r="B98" s="579" t="s">
        <v>799</v>
      </c>
      <c r="C98" s="579">
        <v>2280</v>
      </c>
      <c r="D98" s="78">
        <v>449</v>
      </c>
      <c r="E98" s="78">
        <v>1534</v>
      </c>
      <c r="F98" s="78">
        <v>86</v>
      </c>
      <c r="G98" s="78">
        <v>86</v>
      </c>
      <c r="H98" s="78">
        <v>17</v>
      </c>
      <c r="I98" s="579">
        <v>4452</v>
      </c>
      <c r="J98" s="579">
        <v>57</v>
      </c>
      <c r="K98" s="78">
        <v>952</v>
      </c>
      <c r="L98" s="78">
        <v>145</v>
      </c>
      <c r="M98" s="78">
        <v>34</v>
      </c>
      <c r="N98" s="78">
        <v>0</v>
      </c>
      <c r="O98" s="579">
        <v>1188</v>
      </c>
      <c r="P98" s="579">
        <v>0</v>
      </c>
      <c r="Q98" s="78">
        <v>0</v>
      </c>
      <c r="R98" s="579">
        <v>0</v>
      </c>
      <c r="S98" s="579">
        <v>0</v>
      </c>
      <c r="T98" s="579">
        <v>5640</v>
      </c>
      <c r="U98" s="579"/>
      <c r="V98" s="579"/>
    </row>
    <row r="99" spans="1:22">
      <c r="A99" s="575"/>
      <c r="B99" s="579" t="s">
        <v>801</v>
      </c>
      <c r="C99" s="579">
        <v>2171</v>
      </c>
      <c r="D99" s="78">
        <v>463</v>
      </c>
      <c r="E99" s="78">
        <v>2050</v>
      </c>
      <c r="F99" s="78">
        <v>85</v>
      </c>
      <c r="G99" s="78">
        <v>94</v>
      </c>
      <c r="H99" s="78">
        <v>16</v>
      </c>
      <c r="I99" s="579">
        <v>4879</v>
      </c>
      <c r="J99" s="579">
        <v>87</v>
      </c>
      <c r="K99" s="78">
        <v>878</v>
      </c>
      <c r="L99" s="78">
        <v>131</v>
      </c>
      <c r="M99" s="78">
        <v>63</v>
      </c>
      <c r="N99" s="78">
        <v>0</v>
      </c>
      <c r="O99" s="579">
        <v>1159</v>
      </c>
      <c r="P99" s="579">
        <v>0</v>
      </c>
      <c r="Q99" s="78">
        <v>0</v>
      </c>
      <c r="R99" s="579">
        <v>0</v>
      </c>
      <c r="S99" s="579">
        <v>0</v>
      </c>
      <c r="T99" s="579">
        <v>6038</v>
      </c>
      <c r="U99" s="579"/>
      <c r="V99" s="579"/>
    </row>
    <row r="100" spans="1:22">
      <c r="A100" s="575"/>
      <c r="B100" s="579" t="s">
        <v>803</v>
      </c>
      <c r="C100" s="579">
        <v>225</v>
      </c>
      <c r="D100" s="78">
        <v>12</v>
      </c>
      <c r="E100" s="78">
        <v>545</v>
      </c>
      <c r="F100" s="78">
        <v>10</v>
      </c>
      <c r="G100" s="78">
        <v>8</v>
      </c>
      <c r="H100" s="78">
        <v>0</v>
      </c>
      <c r="I100" s="579">
        <v>800</v>
      </c>
      <c r="J100" s="579">
        <v>512</v>
      </c>
      <c r="K100" s="78">
        <v>1175</v>
      </c>
      <c r="L100" s="78">
        <v>500</v>
      </c>
      <c r="M100" s="78">
        <v>325</v>
      </c>
      <c r="N100" s="78">
        <v>0</v>
      </c>
      <c r="O100" s="579">
        <v>2512</v>
      </c>
      <c r="P100" s="579">
        <v>0</v>
      </c>
      <c r="Q100" s="78">
        <v>0</v>
      </c>
      <c r="R100" s="579">
        <v>0</v>
      </c>
      <c r="S100" s="579">
        <v>0</v>
      </c>
      <c r="T100" s="579">
        <v>3312</v>
      </c>
      <c r="U100" s="579"/>
      <c r="V100" s="579"/>
    </row>
    <row r="101" spans="1:22">
      <c r="A101" s="575"/>
      <c r="B101" s="579" t="s">
        <v>805</v>
      </c>
      <c r="C101" s="579">
        <v>1542</v>
      </c>
      <c r="D101" s="78">
        <v>478</v>
      </c>
      <c r="E101" s="78">
        <v>1333</v>
      </c>
      <c r="F101" s="78">
        <v>39</v>
      </c>
      <c r="G101" s="78">
        <v>56</v>
      </c>
      <c r="H101" s="78">
        <v>40</v>
      </c>
      <c r="I101" s="579">
        <v>3488</v>
      </c>
      <c r="J101" s="579">
        <v>0</v>
      </c>
      <c r="K101" s="78">
        <v>58</v>
      </c>
      <c r="L101" s="78">
        <v>6</v>
      </c>
      <c r="M101" s="78">
        <v>2</v>
      </c>
      <c r="N101" s="78">
        <v>0</v>
      </c>
      <c r="O101" s="579">
        <v>66</v>
      </c>
      <c r="P101" s="579">
        <v>0</v>
      </c>
      <c r="Q101" s="78">
        <v>0</v>
      </c>
      <c r="R101" s="579">
        <v>0</v>
      </c>
      <c r="S101" s="579">
        <v>0</v>
      </c>
      <c r="T101" s="579">
        <v>3554</v>
      </c>
      <c r="U101" s="579"/>
      <c r="V101" s="579"/>
    </row>
    <row r="102" spans="1:22">
      <c r="A102" s="575"/>
      <c r="B102" s="579" t="s">
        <v>807</v>
      </c>
      <c r="C102" s="579">
        <v>0</v>
      </c>
      <c r="D102" s="78">
        <v>0</v>
      </c>
      <c r="E102" s="78">
        <v>0</v>
      </c>
      <c r="F102" s="78">
        <v>0</v>
      </c>
      <c r="G102" s="78">
        <v>0</v>
      </c>
      <c r="H102" s="78">
        <v>0</v>
      </c>
      <c r="I102" s="579">
        <v>0</v>
      </c>
      <c r="J102" s="579">
        <v>7</v>
      </c>
      <c r="K102" s="78">
        <v>3395</v>
      </c>
      <c r="L102" s="78">
        <v>1943</v>
      </c>
      <c r="M102" s="78">
        <v>103</v>
      </c>
      <c r="N102" s="78">
        <v>0</v>
      </c>
      <c r="O102" s="579">
        <v>5448</v>
      </c>
      <c r="P102" s="579">
        <v>0</v>
      </c>
      <c r="Q102" s="78">
        <v>0</v>
      </c>
      <c r="R102" s="579">
        <v>0</v>
      </c>
      <c r="S102" s="579">
        <v>0</v>
      </c>
      <c r="T102" s="579">
        <v>5448</v>
      </c>
      <c r="U102" s="579"/>
      <c r="V102" s="579"/>
    </row>
    <row r="103" spans="1:22">
      <c r="A103" s="575"/>
      <c r="B103" s="579" t="s">
        <v>809</v>
      </c>
      <c r="C103" s="579">
        <v>9337</v>
      </c>
      <c r="D103" s="78">
        <v>1770</v>
      </c>
      <c r="E103" s="78">
        <v>6869</v>
      </c>
      <c r="F103" s="78">
        <v>288</v>
      </c>
      <c r="G103" s="78">
        <v>290</v>
      </c>
      <c r="H103" s="78">
        <v>95</v>
      </c>
      <c r="I103" s="579">
        <v>18649</v>
      </c>
      <c r="J103" s="579">
        <v>725</v>
      </c>
      <c r="K103" s="78">
        <v>8183</v>
      </c>
      <c r="L103" s="78">
        <v>2930</v>
      </c>
      <c r="M103" s="78">
        <v>569</v>
      </c>
      <c r="N103" s="78">
        <v>0</v>
      </c>
      <c r="O103" s="579">
        <v>12407</v>
      </c>
      <c r="P103" s="579">
        <v>0</v>
      </c>
      <c r="Q103" s="78">
        <v>0</v>
      </c>
      <c r="R103" s="579">
        <v>0</v>
      </c>
      <c r="S103" s="579">
        <v>0</v>
      </c>
      <c r="T103" s="579">
        <v>31056</v>
      </c>
      <c r="U103" s="579"/>
      <c r="V103" s="579"/>
    </row>
    <row r="104" spans="1:22">
      <c r="A104" s="571" t="s">
        <v>344</v>
      </c>
      <c r="B104" s="577" t="s">
        <v>797</v>
      </c>
      <c r="C104" s="577">
        <v>1517</v>
      </c>
      <c r="D104" s="574">
        <v>444</v>
      </c>
      <c r="E104" s="574">
        <v>347</v>
      </c>
      <c r="F104" s="574">
        <v>166</v>
      </c>
      <c r="G104" s="574">
        <v>161</v>
      </c>
      <c r="H104" s="574">
        <v>18</v>
      </c>
      <c r="I104" s="577">
        <v>2653</v>
      </c>
      <c r="J104" s="577">
        <v>0</v>
      </c>
      <c r="K104" s="574">
        <v>0</v>
      </c>
      <c r="L104" s="574">
        <v>0</v>
      </c>
      <c r="M104" s="574">
        <v>9</v>
      </c>
      <c r="N104" s="574">
        <v>441</v>
      </c>
      <c r="O104" s="577">
        <v>450</v>
      </c>
      <c r="P104" s="577">
        <v>0</v>
      </c>
      <c r="Q104" s="574">
        <v>0</v>
      </c>
      <c r="R104" s="577">
        <v>0</v>
      </c>
      <c r="S104" s="577">
        <v>0</v>
      </c>
      <c r="T104" s="577">
        <v>3103</v>
      </c>
      <c r="U104" s="577"/>
      <c r="V104" s="577"/>
    </row>
    <row r="105" spans="1:22">
      <c r="A105" s="575"/>
      <c r="B105" s="579" t="s">
        <v>799</v>
      </c>
      <c r="C105" s="579">
        <v>1278</v>
      </c>
      <c r="D105" s="78">
        <v>502</v>
      </c>
      <c r="E105" s="78">
        <v>286</v>
      </c>
      <c r="F105" s="78">
        <v>180</v>
      </c>
      <c r="G105" s="78">
        <v>219</v>
      </c>
      <c r="H105" s="78">
        <v>26</v>
      </c>
      <c r="I105" s="579">
        <v>2491</v>
      </c>
      <c r="J105" s="579">
        <v>0</v>
      </c>
      <c r="K105" s="78">
        <v>0</v>
      </c>
      <c r="L105" s="78">
        <v>0</v>
      </c>
      <c r="M105" s="78">
        <v>16</v>
      </c>
      <c r="N105" s="78">
        <v>647</v>
      </c>
      <c r="O105" s="579">
        <v>663</v>
      </c>
      <c r="P105" s="579">
        <v>0</v>
      </c>
      <c r="Q105" s="78">
        <v>0</v>
      </c>
      <c r="R105" s="579">
        <v>0</v>
      </c>
      <c r="S105" s="579">
        <v>0</v>
      </c>
      <c r="T105" s="579">
        <v>3154</v>
      </c>
      <c r="U105" s="579"/>
      <c r="V105" s="579"/>
    </row>
    <row r="106" spans="1:22">
      <c r="A106" s="575"/>
      <c r="B106" s="579" t="s">
        <v>801</v>
      </c>
      <c r="C106" s="579">
        <v>1079</v>
      </c>
      <c r="D106" s="78">
        <v>517</v>
      </c>
      <c r="E106" s="78">
        <v>373</v>
      </c>
      <c r="F106" s="78">
        <v>216</v>
      </c>
      <c r="G106" s="78">
        <v>216</v>
      </c>
      <c r="H106" s="78">
        <v>25</v>
      </c>
      <c r="I106" s="579">
        <v>2426</v>
      </c>
      <c r="J106" s="579">
        <v>0</v>
      </c>
      <c r="K106" s="78">
        <v>0</v>
      </c>
      <c r="L106" s="78">
        <v>0</v>
      </c>
      <c r="M106" s="78">
        <v>8</v>
      </c>
      <c r="N106" s="78">
        <v>679</v>
      </c>
      <c r="O106" s="579">
        <v>687</v>
      </c>
      <c r="P106" s="579">
        <v>0</v>
      </c>
      <c r="Q106" s="78">
        <v>0</v>
      </c>
      <c r="R106" s="579">
        <v>0</v>
      </c>
      <c r="S106" s="579">
        <v>0</v>
      </c>
      <c r="T106" s="579">
        <v>3113</v>
      </c>
      <c r="U106" s="579"/>
      <c r="V106" s="579"/>
    </row>
    <row r="107" spans="1:22">
      <c r="A107" s="575"/>
      <c r="B107" s="579" t="s">
        <v>803</v>
      </c>
      <c r="C107" s="579">
        <v>276</v>
      </c>
      <c r="D107" s="78">
        <v>236</v>
      </c>
      <c r="E107" s="78">
        <v>170</v>
      </c>
      <c r="F107" s="78">
        <v>72</v>
      </c>
      <c r="G107" s="78">
        <v>50</v>
      </c>
      <c r="H107" s="78">
        <v>21</v>
      </c>
      <c r="I107" s="579">
        <v>825</v>
      </c>
      <c r="J107" s="579">
        <v>0</v>
      </c>
      <c r="K107" s="78">
        <v>0</v>
      </c>
      <c r="L107" s="78">
        <v>0</v>
      </c>
      <c r="M107" s="78">
        <v>0</v>
      </c>
      <c r="N107" s="78">
        <v>404</v>
      </c>
      <c r="O107" s="579">
        <v>404</v>
      </c>
      <c r="P107" s="579">
        <v>0</v>
      </c>
      <c r="Q107" s="78">
        <v>0</v>
      </c>
      <c r="R107" s="579">
        <v>0</v>
      </c>
      <c r="S107" s="579">
        <v>0</v>
      </c>
      <c r="T107" s="579">
        <v>1229</v>
      </c>
      <c r="U107" s="579"/>
      <c r="V107" s="579"/>
    </row>
    <row r="108" spans="1:22">
      <c r="A108" s="575"/>
      <c r="B108" s="579" t="s">
        <v>805</v>
      </c>
      <c r="C108" s="579">
        <v>231</v>
      </c>
      <c r="D108" s="78">
        <v>10</v>
      </c>
      <c r="E108" s="78">
        <v>0</v>
      </c>
      <c r="F108" s="78">
        <v>0</v>
      </c>
      <c r="G108" s="78">
        <v>39</v>
      </c>
      <c r="H108" s="78">
        <v>3</v>
      </c>
      <c r="I108" s="579">
        <v>283</v>
      </c>
      <c r="J108" s="579">
        <v>0</v>
      </c>
      <c r="K108" s="78">
        <v>0</v>
      </c>
      <c r="L108" s="78">
        <v>0</v>
      </c>
      <c r="M108" s="78">
        <v>0</v>
      </c>
      <c r="N108" s="78">
        <v>0</v>
      </c>
      <c r="O108" s="579">
        <v>0</v>
      </c>
      <c r="P108" s="579">
        <v>0</v>
      </c>
      <c r="Q108" s="78">
        <v>0</v>
      </c>
      <c r="R108" s="579">
        <v>0</v>
      </c>
      <c r="S108" s="579">
        <v>0</v>
      </c>
      <c r="T108" s="579">
        <v>283</v>
      </c>
      <c r="U108" s="579"/>
      <c r="V108" s="579"/>
    </row>
    <row r="109" spans="1:22">
      <c r="A109" s="575"/>
      <c r="B109" s="579" t="s">
        <v>807</v>
      </c>
      <c r="C109" s="579">
        <v>0</v>
      </c>
      <c r="D109" s="78">
        <v>0</v>
      </c>
      <c r="E109" s="78">
        <v>0</v>
      </c>
      <c r="F109" s="78">
        <v>0</v>
      </c>
      <c r="G109" s="78">
        <v>0</v>
      </c>
      <c r="H109" s="78">
        <v>0</v>
      </c>
      <c r="I109" s="579">
        <v>0</v>
      </c>
      <c r="J109" s="579">
        <v>0</v>
      </c>
      <c r="K109" s="78">
        <v>0</v>
      </c>
      <c r="L109" s="78">
        <v>0</v>
      </c>
      <c r="M109" s="78">
        <v>0</v>
      </c>
      <c r="N109" s="78">
        <v>0</v>
      </c>
      <c r="O109" s="579">
        <v>0</v>
      </c>
      <c r="P109" s="579">
        <v>0</v>
      </c>
      <c r="Q109" s="78">
        <v>0</v>
      </c>
      <c r="R109" s="579">
        <v>0</v>
      </c>
      <c r="S109" s="579">
        <v>0</v>
      </c>
      <c r="T109" s="579">
        <v>0</v>
      </c>
      <c r="U109" s="579"/>
      <c r="V109" s="579"/>
    </row>
    <row r="110" spans="1:22">
      <c r="A110" s="575"/>
      <c r="B110" s="579" t="s">
        <v>809</v>
      </c>
      <c r="C110" s="579">
        <v>4381</v>
      </c>
      <c r="D110" s="78">
        <v>1709</v>
      </c>
      <c r="E110" s="78">
        <v>1176</v>
      </c>
      <c r="F110" s="78">
        <v>634</v>
      </c>
      <c r="G110" s="78">
        <v>685</v>
      </c>
      <c r="H110" s="78">
        <v>93</v>
      </c>
      <c r="I110" s="579">
        <v>8678</v>
      </c>
      <c r="J110" s="579">
        <v>0</v>
      </c>
      <c r="K110" s="78">
        <v>0</v>
      </c>
      <c r="L110" s="78">
        <v>0</v>
      </c>
      <c r="M110" s="78">
        <v>33</v>
      </c>
      <c r="N110" s="78">
        <v>2171</v>
      </c>
      <c r="O110" s="579">
        <v>2204</v>
      </c>
      <c r="P110" s="579">
        <v>0</v>
      </c>
      <c r="Q110" s="78">
        <v>0</v>
      </c>
      <c r="R110" s="579">
        <v>0</v>
      </c>
      <c r="S110" s="579">
        <v>0</v>
      </c>
      <c r="T110" s="579">
        <v>10882</v>
      </c>
      <c r="U110" s="579"/>
      <c r="V110" s="579"/>
    </row>
    <row r="111" spans="1:22">
      <c r="A111" s="571" t="s">
        <v>343</v>
      </c>
      <c r="B111" s="577" t="s">
        <v>797</v>
      </c>
      <c r="C111" s="577">
        <v>289</v>
      </c>
      <c r="D111" s="574">
        <v>0</v>
      </c>
      <c r="E111" s="574">
        <v>196</v>
      </c>
      <c r="F111" s="574">
        <v>0</v>
      </c>
      <c r="G111" s="574">
        <v>81</v>
      </c>
      <c r="H111" s="574">
        <v>124</v>
      </c>
      <c r="I111" s="577">
        <v>690</v>
      </c>
      <c r="J111" s="577">
        <v>43</v>
      </c>
      <c r="K111" s="574">
        <v>0</v>
      </c>
      <c r="L111" s="574">
        <v>0</v>
      </c>
      <c r="M111" s="574">
        <v>79</v>
      </c>
      <c r="N111" s="574">
        <v>0</v>
      </c>
      <c r="O111" s="577">
        <v>122</v>
      </c>
      <c r="P111" s="577">
        <v>0</v>
      </c>
      <c r="Q111" s="574">
        <v>0</v>
      </c>
      <c r="R111" s="577">
        <v>0</v>
      </c>
      <c r="S111" s="577">
        <v>0</v>
      </c>
      <c r="T111" s="577">
        <v>812</v>
      </c>
      <c r="U111" s="577"/>
      <c r="V111" s="577"/>
    </row>
    <row r="112" spans="1:22">
      <c r="A112" s="575"/>
      <c r="B112" s="579" t="s">
        <v>799</v>
      </c>
      <c r="C112" s="579">
        <v>246</v>
      </c>
      <c r="D112" s="78">
        <v>0</v>
      </c>
      <c r="E112" s="78">
        <v>126</v>
      </c>
      <c r="F112" s="78">
        <v>0</v>
      </c>
      <c r="G112" s="78">
        <v>71</v>
      </c>
      <c r="H112" s="78">
        <v>150</v>
      </c>
      <c r="I112" s="579">
        <v>593</v>
      </c>
      <c r="J112" s="579">
        <v>16</v>
      </c>
      <c r="K112" s="78">
        <v>0</v>
      </c>
      <c r="L112" s="78">
        <v>0</v>
      </c>
      <c r="M112" s="78">
        <v>57</v>
      </c>
      <c r="N112" s="78">
        <v>0</v>
      </c>
      <c r="O112" s="579">
        <v>73</v>
      </c>
      <c r="P112" s="579">
        <v>0</v>
      </c>
      <c r="Q112" s="78">
        <v>0</v>
      </c>
      <c r="R112" s="579">
        <v>0</v>
      </c>
      <c r="S112" s="579">
        <v>0</v>
      </c>
      <c r="T112" s="579">
        <v>666</v>
      </c>
      <c r="U112" s="579"/>
      <c r="V112" s="579"/>
    </row>
    <row r="113" spans="1:22">
      <c r="A113" s="575"/>
      <c r="B113" s="579" t="s">
        <v>801</v>
      </c>
      <c r="C113" s="579">
        <v>344</v>
      </c>
      <c r="D113" s="78">
        <v>0</v>
      </c>
      <c r="E113" s="78">
        <v>119</v>
      </c>
      <c r="F113" s="78">
        <v>0</v>
      </c>
      <c r="G113" s="78">
        <v>112</v>
      </c>
      <c r="H113" s="78">
        <v>201</v>
      </c>
      <c r="I113" s="579">
        <v>776</v>
      </c>
      <c r="J113" s="579">
        <v>22</v>
      </c>
      <c r="K113" s="78">
        <v>0</v>
      </c>
      <c r="L113" s="78">
        <v>0</v>
      </c>
      <c r="M113" s="78">
        <v>106</v>
      </c>
      <c r="N113" s="78">
        <v>0</v>
      </c>
      <c r="O113" s="579">
        <v>128</v>
      </c>
      <c r="P113" s="579">
        <v>0</v>
      </c>
      <c r="Q113" s="78">
        <v>0</v>
      </c>
      <c r="R113" s="579">
        <v>0</v>
      </c>
      <c r="S113" s="579">
        <v>0</v>
      </c>
      <c r="T113" s="579">
        <v>904</v>
      </c>
      <c r="U113" s="579"/>
      <c r="V113" s="579"/>
    </row>
    <row r="114" spans="1:22">
      <c r="A114" s="575"/>
      <c r="B114" s="579" t="s">
        <v>803</v>
      </c>
      <c r="C114" s="579">
        <v>49</v>
      </c>
      <c r="D114" s="78">
        <v>0</v>
      </c>
      <c r="E114" s="78">
        <v>28</v>
      </c>
      <c r="F114" s="78">
        <v>0</v>
      </c>
      <c r="G114" s="78">
        <v>14</v>
      </c>
      <c r="H114" s="78">
        <v>82</v>
      </c>
      <c r="I114" s="579">
        <v>173</v>
      </c>
      <c r="J114" s="579">
        <v>45</v>
      </c>
      <c r="K114" s="78">
        <v>0</v>
      </c>
      <c r="L114" s="78">
        <v>0</v>
      </c>
      <c r="M114" s="78">
        <v>131</v>
      </c>
      <c r="N114" s="78">
        <v>0</v>
      </c>
      <c r="O114" s="579">
        <v>176</v>
      </c>
      <c r="P114" s="579">
        <v>0</v>
      </c>
      <c r="Q114" s="78">
        <v>0</v>
      </c>
      <c r="R114" s="579">
        <v>0</v>
      </c>
      <c r="S114" s="579">
        <v>0</v>
      </c>
      <c r="T114" s="579">
        <v>349</v>
      </c>
      <c r="U114" s="579"/>
      <c r="V114" s="579"/>
    </row>
    <row r="115" spans="1:22">
      <c r="A115" s="575"/>
      <c r="B115" s="579" t="s">
        <v>805</v>
      </c>
      <c r="C115" s="579">
        <v>19</v>
      </c>
      <c r="D115" s="78">
        <v>0</v>
      </c>
      <c r="E115" s="78">
        <v>0</v>
      </c>
      <c r="F115" s="78">
        <v>0</v>
      </c>
      <c r="G115" s="78">
        <v>14</v>
      </c>
      <c r="H115" s="78">
        <v>13</v>
      </c>
      <c r="I115" s="579">
        <v>46</v>
      </c>
      <c r="J115" s="579">
        <v>1</v>
      </c>
      <c r="K115" s="78">
        <v>0</v>
      </c>
      <c r="L115" s="78">
        <v>0</v>
      </c>
      <c r="M115" s="78">
        <v>32</v>
      </c>
      <c r="N115" s="78">
        <v>0</v>
      </c>
      <c r="O115" s="579">
        <v>33</v>
      </c>
      <c r="P115" s="579">
        <v>0</v>
      </c>
      <c r="Q115" s="78">
        <v>0</v>
      </c>
      <c r="R115" s="579">
        <v>0</v>
      </c>
      <c r="S115" s="579">
        <v>0</v>
      </c>
      <c r="T115" s="579">
        <v>79</v>
      </c>
      <c r="U115" s="579"/>
      <c r="V115" s="579"/>
    </row>
    <row r="116" spans="1:22">
      <c r="A116" s="575"/>
      <c r="B116" s="579" t="s">
        <v>807</v>
      </c>
      <c r="C116" s="579">
        <v>0</v>
      </c>
      <c r="D116" s="78">
        <v>0</v>
      </c>
      <c r="E116" s="78">
        <v>0</v>
      </c>
      <c r="F116" s="78">
        <v>0</v>
      </c>
      <c r="G116" s="78">
        <v>0</v>
      </c>
      <c r="H116" s="78">
        <v>0</v>
      </c>
      <c r="I116" s="579">
        <v>0</v>
      </c>
      <c r="J116" s="579">
        <v>0</v>
      </c>
      <c r="K116" s="78">
        <v>0</v>
      </c>
      <c r="L116" s="78">
        <v>0</v>
      </c>
      <c r="M116" s="78">
        <v>0</v>
      </c>
      <c r="N116" s="78">
        <v>0</v>
      </c>
      <c r="O116" s="579">
        <v>0</v>
      </c>
      <c r="P116" s="579">
        <v>0</v>
      </c>
      <c r="Q116" s="78">
        <v>0</v>
      </c>
      <c r="R116" s="579">
        <v>0</v>
      </c>
      <c r="S116" s="579">
        <v>0</v>
      </c>
      <c r="T116" s="579">
        <v>0</v>
      </c>
      <c r="U116" s="579"/>
      <c r="V116" s="579"/>
    </row>
    <row r="117" spans="1:22">
      <c r="A117" s="575"/>
      <c r="B117" s="579" t="s">
        <v>809</v>
      </c>
      <c r="C117" s="579">
        <v>947</v>
      </c>
      <c r="D117" s="78">
        <v>0</v>
      </c>
      <c r="E117" s="78">
        <v>469</v>
      </c>
      <c r="F117" s="78">
        <v>0</v>
      </c>
      <c r="G117" s="78">
        <v>292</v>
      </c>
      <c r="H117" s="78">
        <v>570</v>
      </c>
      <c r="I117" s="579">
        <v>2278</v>
      </c>
      <c r="J117" s="579">
        <v>127</v>
      </c>
      <c r="K117" s="78">
        <v>0</v>
      </c>
      <c r="L117" s="78">
        <v>0</v>
      </c>
      <c r="M117" s="78">
        <v>405</v>
      </c>
      <c r="N117" s="78">
        <v>0</v>
      </c>
      <c r="O117" s="579">
        <v>532</v>
      </c>
      <c r="P117" s="579">
        <v>0</v>
      </c>
      <c r="Q117" s="78">
        <v>0</v>
      </c>
      <c r="R117" s="579">
        <v>0</v>
      </c>
      <c r="S117" s="579">
        <v>0</v>
      </c>
      <c r="T117" s="579">
        <v>2810</v>
      </c>
      <c r="U117" s="579"/>
      <c r="V117" s="579"/>
    </row>
    <row r="118" spans="1:22">
      <c r="A118" s="577" t="s">
        <v>798</v>
      </c>
      <c r="B118" s="573"/>
      <c r="C118" s="577">
        <v>15135</v>
      </c>
      <c r="D118" s="574">
        <v>2607</v>
      </c>
      <c r="E118" s="574">
        <v>6493</v>
      </c>
      <c r="F118" s="574">
        <v>1832</v>
      </c>
      <c r="G118" s="574">
        <v>1098</v>
      </c>
      <c r="H118" s="574">
        <v>561</v>
      </c>
      <c r="I118" s="577">
        <v>27726</v>
      </c>
      <c r="J118" s="577">
        <v>190</v>
      </c>
      <c r="K118" s="574">
        <v>2580</v>
      </c>
      <c r="L118" s="574">
        <v>1057</v>
      </c>
      <c r="M118" s="574">
        <v>316</v>
      </c>
      <c r="N118" s="574">
        <v>441</v>
      </c>
      <c r="O118" s="577">
        <v>4584</v>
      </c>
      <c r="P118" s="577">
        <v>9</v>
      </c>
      <c r="Q118" s="574">
        <v>0</v>
      </c>
      <c r="R118" s="577">
        <v>0</v>
      </c>
      <c r="S118" s="577">
        <v>9</v>
      </c>
      <c r="T118" s="577">
        <v>32319</v>
      </c>
      <c r="U118" s="577"/>
      <c r="V118" s="577"/>
    </row>
    <row r="119" spans="1:22">
      <c r="A119" s="577" t="s">
        <v>800</v>
      </c>
      <c r="B119" s="573"/>
      <c r="C119" s="577">
        <v>12205</v>
      </c>
      <c r="D119" s="574">
        <v>2815</v>
      </c>
      <c r="E119" s="574">
        <v>6832</v>
      </c>
      <c r="F119" s="574">
        <v>2121</v>
      </c>
      <c r="G119" s="574">
        <v>1292</v>
      </c>
      <c r="H119" s="574">
        <v>729</v>
      </c>
      <c r="I119" s="577">
        <v>25994</v>
      </c>
      <c r="J119" s="577">
        <v>202</v>
      </c>
      <c r="K119" s="574">
        <v>2141</v>
      </c>
      <c r="L119" s="574">
        <v>1266</v>
      </c>
      <c r="M119" s="574">
        <v>325</v>
      </c>
      <c r="N119" s="574">
        <v>647</v>
      </c>
      <c r="O119" s="577">
        <v>4581</v>
      </c>
      <c r="P119" s="577">
        <v>33</v>
      </c>
      <c r="Q119" s="574">
        <v>0</v>
      </c>
      <c r="R119" s="577">
        <v>0</v>
      </c>
      <c r="S119" s="577">
        <v>33</v>
      </c>
      <c r="T119" s="577">
        <v>30608</v>
      </c>
      <c r="U119" s="577"/>
      <c r="V119" s="577"/>
    </row>
    <row r="120" spans="1:22">
      <c r="A120" s="577" t="s">
        <v>802</v>
      </c>
      <c r="B120" s="573"/>
      <c r="C120" s="577">
        <v>11433</v>
      </c>
      <c r="D120" s="574">
        <v>2766</v>
      </c>
      <c r="E120" s="574">
        <v>8226</v>
      </c>
      <c r="F120" s="574">
        <v>3079</v>
      </c>
      <c r="G120" s="574">
        <v>1861</v>
      </c>
      <c r="H120" s="574">
        <v>978</v>
      </c>
      <c r="I120" s="577">
        <v>28343</v>
      </c>
      <c r="J120" s="577">
        <v>321</v>
      </c>
      <c r="K120" s="574">
        <v>1742</v>
      </c>
      <c r="L120" s="574">
        <v>1163</v>
      </c>
      <c r="M120" s="574">
        <v>428</v>
      </c>
      <c r="N120" s="574">
        <v>679</v>
      </c>
      <c r="O120" s="577">
        <v>4333</v>
      </c>
      <c r="P120" s="577">
        <v>38</v>
      </c>
      <c r="Q120" s="574">
        <v>0</v>
      </c>
      <c r="R120" s="577">
        <v>0</v>
      </c>
      <c r="S120" s="577">
        <v>38</v>
      </c>
      <c r="T120" s="577">
        <v>32714</v>
      </c>
      <c r="U120" s="577"/>
      <c r="V120" s="577"/>
    </row>
    <row r="121" spans="1:22">
      <c r="A121" s="577" t="s">
        <v>804</v>
      </c>
      <c r="B121" s="573"/>
      <c r="C121" s="577">
        <v>3001</v>
      </c>
      <c r="D121" s="574">
        <v>1051</v>
      </c>
      <c r="E121" s="574">
        <v>3016</v>
      </c>
      <c r="F121" s="574">
        <v>856</v>
      </c>
      <c r="G121" s="574">
        <v>705</v>
      </c>
      <c r="H121" s="574">
        <v>419</v>
      </c>
      <c r="I121" s="577">
        <v>9048</v>
      </c>
      <c r="J121" s="577">
        <v>634</v>
      </c>
      <c r="K121" s="574">
        <v>1728</v>
      </c>
      <c r="L121" s="574">
        <v>1420</v>
      </c>
      <c r="M121" s="574">
        <v>771</v>
      </c>
      <c r="N121" s="574">
        <v>404</v>
      </c>
      <c r="O121" s="577">
        <v>4957</v>
      </c>
      <c r="P121" s="577">
        <v>133</v>
      </c>
      <c r="Q121" s="574">
        <v>40</v>
      </c>
      <c r="R121" s="577">
        <v>0</v>
      </c>
      <c r="S121" s="577">
        <v>173</v>
      </c>
      <c r="T121" s="577">
        <v>14178</v>
      </c>
      <c r="U121" s="577"/>
      <c r="V121" s="577"/>
    </row>
    <row r="122" spans="1:22">
      <c r="A122" s="577" t="s">
        <v>806</v>
      </c>
      <c r="B122" s="573"/>
      <c r="C122" s="577">
        <v>4145</v>
      </c>
      <c r="D122" s="574">
        <v>1083</v>
      </c>
      <c r="E122" s="574">
        <v>3228</v>
      </c>
      <c r="F122" s="574">
        <v>637</v>
      </c>
      <c r="G122" s="574">
        <v>373</v>
      </c>
      <c r="H122" s="574">
        <v>173</v>
      </c>
      <c r="I122" s="577">
        <v>9639</v>
      </c>
      <c r="J122" s="577">
        <v>1</v>
      </c>
      <c r="K122" s="574">
        <v>1006</v>
      </c>
      <c r="L122" s="574">
        <v>951</v>
      </c>
      <c r="M122" s="574">
        <v>169</v>
      </c>
      <c r="N122" s="574">
        <v>0</v>
      </c>
      <c r="O122" s="577">
        <v>2127</v>
      </c>
      <c r="P122" s="577">
        <v>0</v>
      </c>
      <c r="Q122" s="574">
        <v>1</v>
      </c>
      <c r="R122" s="577">
        <v>0</v>
      </c>
      <c r="S122" s="577">
        <v>1</v>
      </c>
      <c r="T122" s="577">
        <v>11767</v>
      </c>
      <c r="U122" s="577"/>
      <c r="V122" s="577"/>
    </row>
    <row r="123" spans="1:22">
      <c r="A123" s="577" t="s">
        <v>808</v>
      </c>
      <c r="B123" s="573"/>
      <c r="C123" s="577">
        <v>0</v>
      </c>
      <c r="D123" s="574">
        <v>0</v>
      </c>
      <c r="E123" s="574">
        <v>0</v>
      </c>
      <c r="F123" s="574">
        <v>0</v>
      </c>
      <c r="G123" s="574">
        <v>0</v>
      </c>
      <c r="H123" s="574">
        <v>0</v>
      </c>
      <c r="I123" s="577">
        <v>0</v>
      </c>
      <c r="J123" s="577">
        <v>1639</v>
      </c>
      <c r="K123" s="574">
        <v>11280</v>
      </c>
      <c r="L123" s="574">
        <v>8115.7</v>
      </c>
      <c r="M123" s="574">
        <v>3243</v>
      </c>
      <c r="N123" s="574">
        <v>0</v>
      </c>
      <c r="O123" s="577">
        <v>24277.7</v>
      </c>
      <c r="P123" s="577">
        <v>2455</v>
      </c>
      <c r="Q123" s="574">
        <v>1435</v>
      </c>
      <c r="R123" s="577">
        <v>506</v>
      </c>
      <c r="S123" s="577">
        <v>4396</v>
      </c>
      <c r="T123" s="577">
        <v>28673.7</v>
      </c>
      <c r="U123" s="577"/>
      <c r="V123" s="577"/>
    </row>
    <row r="124" spans="1:22">
      <c r="A124" s="580" t="s">
        <v>810</v>
      </c>
      <c r="B124" s="581"/>
      <c r="C124" s="580">
        <v>45919</v>
      </c>
      <c r="D124" s="582">
        <v>10322</v>
      </c>
      <c r="E124" s="582">
        <v>27795</v>
      </c>
      <c r="F124" s="582">
        <v>8525</v>
      </c>
      <c r="G124" s="582">
        <v>5329</v>
      </c>
      <c r="H124" s="582">
        <v>2860</v>
      </c>
      <c r="I124" s="580">
        <v>100750</v>
      </c>
      <c r="J124" s="580">
        <v>2987</v>
      </c>
      <c r="K124" s="582">
        <v>20477</v>
      </c>
      <c r="L124" s="582">
        <v>13972.7</v>
      </c>
      <c r="M124" s="582">
        <v>5252</v>
      </c>
      <c r="N124" s="582">
        <v>2171</v>
      </c>
      <c r="O124" s="580">
        <v>44859.7</v>
      </c>
      <c r="P124" s="580">
        <v>2668</v>
      </c>
      <c r="Q124" s="582">
        <v>1476</v>
      </c>
      <c r="R124" s="580">
        <v>506</v>
      </c>
      <c r="S124" s="580">
        <v>4650</v>
      </c>
      <c r="T124" s="580">
        <v>150259.70000000001</v>
      </c>
      <c r="U124" s="580"/>
      <c r="V124" s="580"/>
    </row>
  </sheetData>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xl/worksheets/sheet11.xml><?xml version="1.0" encoding="utf-8"?>
<worksheet xmlns="http://schemas.openxmlformats.org/spreadsheetml/2006/main" xmlns:r="http://schemas.openxmlformats.org/officeDocument/2006/relationships">
  <sheetPr codeName="Sheet7" enableFormatConditionsCalculation="0">
    <tabColor indexed="18"/>
  </sheetPr>
  <dimension ref="A1:BY683"/>
  <sheetViews>
    <sheetView showZeros="0" zoomScale="80" zoomScaleNormal="80" workbookViewId="0">
      <pane xSplit="5" ySplit="9" topLeftCell="R199" activePane="bottomRight" state="frozen"/>
      <selection pane="topRight" activeCell="F1" sqref="F1"/>
      <selection pane="bottomLeft" activeCell="A10" sqref="A10"/>
      <selection pane="bottomRight" activeCell="W209" sqref="W209"/>
    </sheetView>
  </sheetViews>
  <sheetFormatPr defaultColWidth="9" defaultRowHeight="12.75"/>
  <cols>
    <col min="1" max="1" width="4.875" style="242" customWidth="1"/>
    <col min="2" max="2" width="36.375" style="243" customWidth="1"/>
    <col min="3" max="3" width="17.25" style="243" customWidth="1"/>
    <col min="4" max="4" width="11.25" style="242" customWidth="1"/>
    <col min="5" max="5" width="9.375" style="242" bestFit="1" customWidth="1"/>
    <col min="6" max="8" width="11.75" style="186" customWidth="1"/>
    <col min="9" max="11" width="11.75" style="194" customWidth="1"/>
    <col min="12" max="14" width="11.75" style="186" customWidth="1"/>
    <col min="15" max="17" width="11.75" style="194" customWidth="1"/>
    <col min="18" max="20" width="11.75" style="186" customWidth="1"/>
    <col min="21" max="23" width="11.75" style="194" customWidth="1"/>
    <col min="24" max="26" width="11.75" style="186" customWidth="1"/>
    <col min="27" max="29" width="11.75" style="194" customWidth="1"/>
    <col min="30" max="32" width="11.75" style="186" customWidth="1"/>
    <col min="33" max="35" width="11.75" style="194" customWidth="1"/>
    <col min="36" max="38" width="11.75" style="186" customWidth="1"/>
    <col min="39" max="41" width="11.75" style="194" customWidth="1"/>
    <col min="42" max="44" width="11.75" style="186" customWidth="1"/>
    <col min="45" max="47" width="11.75" style="194" customWidth="1"/>
    <col min="48" max="50" width="11.75" style="186" customWidth="1"/>
    <col min="51" max="53" width="11.75" style="194" customWidth="1"/>
    <col min="54" max="56" width="11.75" style="186" customWidth="1"/>
    <col min="57" max="59" width="11.75" style="194" customWidth="1"/>
    <col min="60" max="62" width="11.75" style="186" customWidth="1"/>
    <col min="63" max="65" width="11.75" style="194" customWidth="1"/>
    <col min="66" max="68" width="11.75" style="186" customWidth="1"/>
    <col min="69" max="71" width="11.75" style="194" customWidth="1"/>
    <col min="72" max="74" width="11.75" style="186" customWidth="1"/>
    <col min="75" max="77" width="11.75" style="194" customWidth="1"/>
    <col min="78" max="16384" width="9" style="186"/>
  </cols>
  <sheetData>
    <row r="1" spans="1:77" s="260" customFormat="1" ht="18">
      <c r="A1" s="657" t="s">
        <v>901</v>
      </c>
      <c r="B1" s="658"/>
      <c r="C1" s="658"/>
      <c r="D1" s="658"/>
      <c r="E1" s="658"/>
      <c r="F1" s="659" t="s">
        <v>144</v>
      </c>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60"/>
      <c r="AP1" s="638" t="s">
        <v>331</v>
      </c>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row>
    <row r="2" spans="1:77" s="261" customFormat="1" ht="15.75">
      <c r="A2" s="640" t="s">
        <v>902</v>
      </c>
      <c r="B2" s="641"/>
      <c r="C2" s="641"/>
      <c r="D2" s="641"/>
      <c r="E2" s="641"/>
      <c r="F2" s="642" t="s">
        <v>332</v>
      </c>
      <c r="G2" s="643"/>
      <c r="H2" s="643"/>
      <c r="I2" s="643"/>
      <c r="J2" s="643"/>
      <c r="K2" s="644"/>
      <c r="L2" s="642" t="s">
        <v>333</v>
      </c>
      <c r="M2" s="643"/>
      <c r="N2" s="643"/>
      <c r="O2" s="643"/>
      <c r="P2" s="643"/>
      <c r="Q2" s="644"/>
      <c r="R2" s="642" t="s">
        <v>334</v>
      </c>
      <c r="S2" s="643"/>
      <c r="T2" s="643"/>
      <c r="U2" s="643"/>
      <c r="V2" s="643"/>
      <c r="W2" s="643"/>
      <c r="X2" s="642" t="s">
        <v>335</v>
      </c>
      <c r="Y2" s="643"/>
      <c r="Z2" s="643"/>
      <c r="AA2" s="643"/>
      <c r="AB2" s="643"/>
      <c r="AC2" s="644"/>
      <c r="AD2" s="642" t="s">
        <v>212</v>
      </c>
      <c r="AE2" s="643"/>
      <c r="AF2" s="643"/>
      <c r="AG2" s="643"/>
      <c r="AH2" s="643"/>
      <c r="AI2" s="644"/>
      <c r="AJ2" s="643" t="s">
        <v>903</v>
      </c>
      <c r="AK2" s="643"/>
      <c r="AL2" s="643"/>
      <c r="AM2" s="643"/>
      <c r="AN2" s="643"/>
      <c r="AO2" s="651"/>
      <c r="AP2" s="654" t="s">
        <v>332</v>
      </c>
      <c r="AQ2" s="643"/>
      <c r="AR2" s="643"/>
      <c r="AS2" s="643"/>
      <c r="AT2" s="643"/>
      <c r="AU2" s="643"/>
      <c r="AV2" s="642" t="s">
        <v>333</v>
      </c>
      <c r="AW2" s="643"/>
      <c r="AX2" s="643"/>
      <c r="AY2" s="643"/>
      <c r="AZ2" s="643"/>
      <c r="BA2" s="644"/>
      <c r="BB2" s="642" t="s">
        <v>334</v>
      </c>
      <c r="BC2" s="643"/>
      <c r="BD2" s="643"/>
      <c r="BE2" s="643"/>
      <c r="BF2" s="643"/>
      <c r="BG2" s="644"/>
      <c r="BH2" s="642" t="s">
        <v>335</v>
      </c>
      <c r="BI2" s="643"/>
      <c r="BJ2" s="643"/>
      <c r="BK2" s="643"/>
      <c r="BL2" s="643"/>
      <c r="BM2" s="644"/>
      <c r="BN2" s="642" t="s">
        <v>212</v>
      </c>
      <c r="BO2" s="643"/>
      <c r="BP2" s="643"/>
      <c r="BQ2" s="643"/>
      <c r="BR2" s="643"/>
      <c r="BS2" s="644"/>
      <c r="BT2" s="642" t="s">
        <v>903</v>
      </c>
      <c r="BU2" s="643"/>
      <c r="BV2" s="643"/>
      <c r="BW2" s="643"/>
      <c r="BX2" s="643"/>
      <c r="BY2" s="661"/>
    </row>
    <row r="3" spans="1:77" s="261" customFormat="1">
      <c r="A3" s="635" t="s">
        <v>904</v>
      </c>
      <c r="B3" s="636"/>
      <c r="C3" s="636"/>
      <c r="D3" s="636"/>
      <c r="E3" s="637"/>
      <c r="F3" s="645"/>
      <c r="G3" s="646"/>
      <c r="H3" s="646"/>
      <c r="I3" s="646"/>
      <c r="J3" s="646"/>
      <c r="K3" s="647"/>
      <c r="L3" s="645"/>
      <c r="M3" s="646"/>
      <c r="N3" s="646"/>
      <c r="O3" s="646"/>
      <c r="P3" s="646"/>
      <c r="Q3" s="647"/>
      <c r="R3" s="645"/>
      <c r="S3" s="646"/>
      <c r="T3" s="646"/>
      <c r="U3" s="646"/>
      <c r="V3" s="646"/>
      <c r="W3" s="646"/>
      <c r="X3" s="645"/>
      <c r="Y3" s="646"/>
      <c r="Z3" s="646"/>
      <c r="AA3" s="646"/>
      <c r="AB3" s="646"/>
      <c r="AC3" s="647"/>
      <c r="AD3" s="645"/>
      <c r="AE3" s="646"/>
      <c r="AF3" s="646"/>
      <c r="AG3" s="646"/>
      <c r="AH3" s="646"/>
      <c r="AI3" s="647"/>
      <c r="AJ3" s="646"/>
      <c r="AK3" s="646"/>
      <c r="AL3" s="646"/>
      <c r="AM3" s="646"/>
      <c r="AN3" s="646"/>
      <c r="AO3" s="652"/>
      <c r="AP3" s="655"/>
      <c r="AQ3" s="646"/>
      <c r="AR3" s="646"/>
      <c r="AS3" s="646"/>
      <c r="AT3" s="646"/>
      <c r="AU3" s="646"/>
      <c r="AV3" s="645"/>
      <c r="AW3" s="646"/>
      <c r="AX3" s="646"/>
      <c r="AY3" s="646"/>
      <c r="AZ3" s="646"/>
      <c r="BA3" s="647"/>
      <c r="BB3" s="645"/>
      <c r="BC3" s="646"/>
      <c r="BD3" s="646"/>
      <c r="BE3" s="646"/>
      <c r="BF3" s="646"/>
      <c r="BG3" s="647"/>
      <c r="BH3" s="645"/>
      <c r="BI3" s="646"/>
      <c r="BJ3" s="646"/>
      <c r="BK3" s="646"/>
      <c r="BL3" s="646"/>
      <c r="BM3" s="647"/>
      <c r="BN3" s="645"/>
      <c r="BO3" s="646"/>
      <c r="BP3" s="646"/>
      <c r="BQ3" s="646"/>
      <c r="BR3" s="646"/>
      <c r="BS3" s="647"/>
      <c r="BT3" s="645"/>
      <c r="BU3" s="646"/>
      <c r="BV3" s="646"/>
      <c r="BW3" s="646"/>
      <c r="BX3" s="646"/>
      <c r="BY3" s="662"/>
    </row>
    <row r="4" spans="1:77" s="262" customFormat="1">
      <c r="A4" s="635" t="s">
        <v>905</v>
      </c>
      <c r="B4" s="636"/>
      <c r="C4" s="636"/>
      <c r="D4" s="636"/>
      <c r="E4" s="637"/>
      <c r="F4" s="648"/>
      <c r="G4" s="649"/>
      <c r="H4" s="649"/>
      <c r="I4" s="649"/>
      <c r="J4" s="649"/>
      <c r="K4" s="650"/>
      <c r="L4" s="648"/>
      <c r="M4" s="649"/>
      <c r="N4" s="649"/>
      <c r="O4" s="649"/>
      <c r="P4" s="649"/>
      <c r="Q4" s="650"/>
      <c r="R4" s="648"/>
      <c r="S4" s="649"/>
      <c r="T4" s="649"/>
      <c r="U4" s="649"/>
      <c r="V4" s="649"/>
      <c r="W4" s="649"/>
      <c r="X4" s="648"/>
      <c r="Y4" s="649"/>
      <c r="Z4" s="649"/>
      <c r="AA4" s="649"/>
      <c r="AB4" s="649"/>
      <c r="AC4" s="650"/>
      <c r="AD4" s="648"/>
      <c r="AE4" s="649"/>
      <c r="AF4" s="649"/>
      <c r="AG4" s="649"/>
      <c r="AH4" s="649"/>
      <c r="AI4" s="650"/>
      <c r="AJ4" s="649"/>
      <c r="AK4" s="649"/>
      <c r="AL4" s="649"/>
      <c r="AM4" s="649"/>
      <c r="AN4" s="649"/>
      <c r="AO4" s="653"/>
      <c r="AP4" s="656"/>
      <c r="AQ4" s="649"/>
      <c r="AR4" s="649"/>
      <c r="AS4" s="649"/>
      <c r="AT4" s="649"/>
      <c r="AU4" s="649"/>
      <c r="AV4" s="648"/>
      <c r="AW4" s="649"/>
      <c r="AX4" s="649"/>
      <c r="AY4" s="649"/>
      <c r="AZ4" s="649"/>
      <c r="BA4" s="650"/>
      <c r="BB4" s="648"/>
      <c r="BC4" s="649"/>
      <c r="BD4" s="649"/>
      <c r="BE4" s="649"/>
      <c r="BF4" s="649"/>
      <c r="BG4" s="650"/>
      <c r="BH4" s="648"/>
      <c r="BI4" s="649"/>
      <c r="BJ4" s="649"/>
      <c r="BK4" s="649"/>
      <c r="BL4" s="649"/>
      <c r="BM4" s="650"/>
      <c r="BN4" s="648"/>
      <c r="BO4" s="649"/>
      <c r="BP4" s="649"/>
      <c r="BQ4" s="649"/>
      <c r="BR4" s="649"/>
      <c r="BS4" s="650"/>
      <c r="BT4" s="648"/>
      <c r="BU4" s="649"/>
      <c r="BV4" s="649"/>
      <c r="BW4" s="649"/>
      <c r="BX4" s="649"/>
      <c r="BY4" s="663"/>
    </row>
    <row r="5" spans="1:77" s="279" customFormat="1">
      <c r="A5" s="635" t="s">
        <v>906</v>
      </c>
      <c r="B5" s="636"/>
      <c r="C5" s="636"/>
      <c r="D5" s="636"/>
      <c r="E5" s="637"/>
      <c r="F5" s="263"/>
      <c r="G5" s="264" t="s">
        <v>336</v>
      </c>
      <c r="H5" s="265" t="s">
        <v>145</v>
      </c>
      <c r="I5" s="266"/>
      <c r="J5" s="266" t="s">
        <v>336</v>
      </c>
      <c r="K5" s="267" t="s">
        <v>145</v>
      </c>
      <c r="L5" s="263"/>
      <c r="M5" s="268" t="s">
        <v>336</v>
      </c>
      <c r="N5" s="269" t="s">
        <v>145</v>
      </c>
      <c r="O5" s="270"/>
      <c r="P5" s="271" t="s">
        <v>336</v>
      </c>
      <c r="Q5" s="272" t="s">
        <v>145</v>
      </c>
      <c r="R5" s="273"/>
      <c r="S5" s="268" t="s">
        <v>336</v>
      </c>
      <c r="T5" s="269" t="s">
        <v>145</v>
      </c>
      <c r="U5" s="270"/>
      <c r="V5" s="271" t="s">
        <v>336</v>
      </c>
      <c r="W5" s="274" t="s">
        <v>145</v>
      </c>
      <c r="X5" s="273"/>
      <c r="Y5" s="268" t="s">
        <v>336</v>
      </c>
      <c r="Z5" s="269" t="s">
        <v>145</v>
      </c>
      <c r="AA5" s="270"/>
      <c r="AB5" s="271" t="s">
        <v>336</v>
      </c>
      <c r="AC5" s="272" t="s">
        <v>145</v>
      </c>
      <c r="AD5" s="273"/>
      <c r="AE5" s="268" t="s">
        <v>336</v>
      </c>
      <c r="AF5" s="269" t="s">
        <v>145</v>
      </c>
      <c r="AG5" s="270"/>
      <c r="AH5" s="271" t="s">
        <v>336</v>
      </c>
      <c r="AI5" s="272" t="s">
        <v>145</v>
      </c>
      <c r="AJ5" s="275"/>
      <c r="AK5" s="268" t="s">
        <v>336</v>
      </c>
      <c r="AL5" s="269" t="s">
        <v>145</v>
      </c>
      <c r="AM5" s="270"/>
      <c r="AN5" s="271" t="s">
        <v>336</v>
      </c>
      <c r="AO5" s="276" t="s">
        <v>145</v>
      </c>
      <c r="AP5" s="277"/>
      <c r="AQ5" s="268" t="s">
        <v>336</v>
      </c>
      <c r="AR5" s="269" t="s">
        <v>146</v>
      </c>
      <c r="AS5" s="270"/>
      <c r="AT5" s="271" t="s">
        <v>336</v>
      </c>
      <c r="AU5" s="274" t="s">
        <v>146</v>
      </c>
      <c r="AV5" s="273"/>
      <c r="AW5" s="268" t="s">
        <v>336</v>
      </c>
      <c r="AX5" s="269" t="s">
        <v>146</v>
      </c>
      <c r="AY5" s="270"/>
      <c r="AZ5" s="271" t="s">
        <v>336</v>
      </c>
      <c r="BA5" s="272" t="s">
        <v>146</v>
      </c>
      <c r="BB5" s="273"/>
      <c r="BC5" s="268" t="s">
        <v>336</v>
      </c>
      <c r="BD5" s="269" t="s">
        <v>146</v>
      </c>
      <c r="BE5" s="270"/>
      <c r="BF5" s="271" t="s">
        <v>336</v>
      </c>
      <c r="BG5" s="272" t="s">
        <v>146</v>
      </c>
      <c r="BH5" s="273"/>
      <c r="BI5" s="268" t="s">
        <v>336</v>
      </c>
      <c r="BJ5" s="269" t="s">
        <v>146</v>
      </c>
      <c r="BK5" s="270"/>
      <c r="BL5" s="271" t="s">
        <v>336</v>
      </c>
      <c r="BM5" s="272" t="s">
        <v>146</v>
      </c>
      <c r="BN5" s="273"/>
      <c r="BO5" s="268" t="s">
        <v>336</v>
      </c>
      <c r="BP5" s="269" t="s">
        <v>146</v>
      </c>
      <c r="BQ5" s="270"/>
      <c r="BR5" s="271" t="s">
        <v>336</v>
      </c>
      <c r="BS5" s="272" t="s">
        <v>146</v>
      </c>
      <c r="BT5" s="273"/>
      <c r="BU5" s="268" t="s">
        <v>336</v>
      </c>
      <c r="BV5" s="269" t="s">
        <v>146</v>
      </c>
      <c r="BW5" s="270"/>
      <c r="BX5" s="271" t="s">
        <v>336</v>
      </c>
      <c r="BY5" s="278" t="s">
        <v>146</v>
      </c>
    </row>
    <row r="6" spans="1:77" s="279" customFormat="1">
      <c r="A6" s="635" t="s">
        <v>907</v>
      </c>
      <c r="B6" s="636"/>
      <c r="C6" s="636"/>
      <c r="D6" s="636"/>
      <c r="E6" s="636"/>
      <c r="F6" s="280" t="s">
        <v>328</v>
      </c>
      <c r="G6" s="281" t="s">
        <v>337</v>
      </c>
      <c r="H6" s="282" t="s">
        <v>322</v>
      </c>
      <c r="I6" s="266" t="s">
        <v>328</v>
      </c>
      <c r="J6" s="266" t="s">
        <v>337</v>
      </c>
      <c r="K6" s="267" t="s">
        <v>322</v>
      </c>
      <c r="L6" s="273" t="s">
        <v>328</v>
      </c>
      <c r="M6" s="283" t="s">
        <v>337</v>
      </c>
      <c r="N6" s="284" t="s">
        <v>322</v>
      </c>
      <c r="O6" s="270" t="s">
        <v>328</v>
      </c>
      <c r="P6" s="270" t="s">
        <v>337</v>
      </c>
      <c r="Q6" s="285" t="s">
        <v>322</v>
      </c>
      <c r="R6" s="273" t="s">
        <v>328</v>
      </c>
      <c r="S6" s="283" t="s">
        <v>337</v>
      </c>
      <c r="T6" s="284" t="s">
        <v>322</v>
      </c>
      <c r="U6" s="270" t="s">
        <v>328</v>
      </c>
      <c r="V6" s="270" t="s">
        <v>337</v>
      </c>
      <c r="W6" s="286" t="s">
        <v>322</v>
      </c>
      <c r="X6" s="273" t="s">
        <v>328</v>
      </c>
      <c r="Y6" s="283" t="s">
        <v>337</v>
      </c>
      <c r="Z6" s="284" t="s">
        <v>322</v>
      </c>
      <c r="AA6" s="270" t="s">
        <v>328</v>
      </c>
      <c r="AB6" s="270" t="s">
        <v>337</v>
      </c>
      <c r="AC6" s="285" t="s">
        <v>322</v>
      </c>
      <c r="AD6" s="273" t="s">
        <v>328</v>
      </c>
      <c r="AE6" s="283" t="s">
        <v>337</v>
      </c>
      <c r="AF6" s="284" t="s">
        <v>322</v>
      </c>
      <c r="AG6" s="270" t="s">
        <v>328</v>
      </c>
      <c r="AH6" s="270" t="s">
        <v>337</v>
      </c>
      <c r="AI6" s="285" t="s">
        <v>322</v>
      </c>
      <c r="AJ6" s="275" t="s">
        <v>328</v>
      </c>
      <c r="AK6" s="283" t="s">
        <v>337</v>
      </c>
      <c r="AL6" s="284" t="s">
        <v>322</v>
      </c>
      <c r="AM6" s="270" t="s">
        <v>328</v>
      </c>
      <c r="AN6" s="270" t="s">
        <v>337</v>
      </c>
      <c r="AO6" s="287" t="s">
        <v>322</v>
      </c>
      <c r="AP6" s="277" t="s">
        <v>421</v>
      </c>
      <c r="AQ6" s="283" t="s">
        <v>337</v>
      </c>
      <c r="AR6" s="284" t="s">
        <v>322</v>
      </c>
      <c r="AS6" s="270" t="s">
        <v>328</v>
      </c>
      <c r="AT6" s="270" t="s">
        <v>337</v>
      </c>
      <c r="AU6" s="286" t="s">
        <v>322</v>
      </c>
      <c r="AV6" s="273" t="s">
        <v>328</v>
      </c>
      <c r="AW6" s="283" t="s">
        <v>337</v>
      </c>
      <c r="AX6" s="284" t="s">
        <v>322</v>
      </c>
      <c r="AY6" s="270" t="s">
        <v>328</v>
      </c>
      <c r="AZ6" s="270" t="s">
        <v>337</v>
      </c>
      <c r="BA6" s="285" t="s">
        <v>322</v>
      </c>
      <c r="BB6" s="273" t="s">
        <v>328</v>
      </c>
      <c r="BC6" s="283" t="s">
        <v>337</v>
      </c>
      <c r="BD6" s="284" t="s">
        <v>322</v>
      </c>
      <c r="BE6" s="270" t="s">
        <v>328</v>
      </c>
      <c r="BF6" s="270" t="s">
        <v>337</v>
      </c>
      <c r="BG6" s="285" t="s">
        <v>322</v>
      </c>
      <c r="BH6" s="273" t="s">
        <v>328</v>
      </c>
      <c r="BI6" s="283" t="s">
        <v>337</v>
      </c>
      <c r="BJ6" s="284" t="s">
        <v>322</v>
      </c>
      <c r="BK6" s="270" t="s">
        <v>328</v>
      </c>
      <c r="BL6" s="270" t="s">
        <v>337</v>
      </c>
      <c r="BM6" s="285" t="s">
        <v>322</v>
      </c>
      <c r="BN6" s="273" t="s">
        <v>328</v>
      </c>
      <c r="BO6" s="283" t="s">
        <v>337</v>
      </c>
      <c r="BP6" s="284" t="s">
        <v>322</v>
      </c>
      <c r="BQ6" s="270" t="s">
        <v>328</v>
      </c>
      <c r="BR6" s="270" t="s">
        <v>337</v>
      </c>
      <c r="BS6" s="285" t="s">
        <v>322</v>
      </c>
      <c r="BT6" s="273" t="s">
        <v>328</v>
      </c>
      <c r="BU6" s="283" t="s">
        <v>337</v>
      </c>
      <c r="BV6" s="284" t="s">
        <v>322</v>
      </c>
      <c r="BW6" s="270" t="s">
        <v>328</v>
      </c>
      <c r="BX6" s="270" t="s">
        <v>337</v>
      </c>
      <c r="BY6" s="288" t="s">
        <v>322</v>
      </c>
    </row>
    <row r="7" spans="1:77" s="279" customFormat="1" ht="13.5" thickBot="1">
      <c r="A7" s="289" t="s">
        <v>330</v>
      </c>
      <c r="B7" s="290" t="s">
        <v>325</v>
      </c>
      <c r="C7" s="290" t="s">
        <v>1062</v>
      </c>
      <c r="D7" s="291" t="s">
        <v>908</v>
      </c>
      <c r="E7" s="292" t="s">
        <v>327</v>
      </c>
      <c r="F7" s="293" t="s">
        <v>679</v>
      </c>
      <c r="G7" s="294" t="s">
        <v>679</v>
      </c>
      <c r="H7" s="295" t="s">
        <v>679</v>
      </c>
      <c r="I7" s="296" t="s">
        <v>909</v>
      </c>
      <c r="J7" s="296" t="s">
        <v>909</v>
      </c>
      <c r="K7" s="297" t="s">
        <v>909</v>
      </c>
      <c r="L7" s="293" t="s">
        <v>679</v>
      </c>
      <c r="M7" s="294" t="s">
        <v>679</v>
      </c>
      <c r="N7" s="295" t="s">
        <v>679</v>
      </c>
      <c r="O7" s="296" t="s">
        <v>909</v>
      </c>
      <c r="P7" s="296" t="s">
        <v>909</v>
      </c>
      <c r="Q7" s="298" t="s">
        <v>909</v>
      </c>
      <c r="R7" s="293" t="s">
        <v>679</v>
      </c>
      <c r="S7" s="294" t="s">
        <v>679</v>
      </c>
      <c r="T7" s="295" t="s">
        <v>679</v>
      </c>
      <c r="U7" s="296" t="s">
        <v>909</v>
      </c>
      <c r="V7" s="296" t="s">
        <v>909</v>
      </c>
      <c r="W7" s="297" t="s">
        <v>909</v>
      </c>
      <c r="X7" s="293" t="s">
        <v>679</v>
      </c>
      <c r="Y7" s="294" t="s">
        <v>679</v>
      </c>
      <c r="Z7" s="295" t="s">
        <v>679</v>
      </c>
      <c r="AA7" s="296" t="s">
        <v>909</v>
      </c>
      <c r="AB7" s="296" t="s">
        <v>909</v>
      </c>
      <c r="AC7" s="298" t="s">
        <v>909</v>
      </c>
      <c r="AD7" s="293" t="s">
        <v>679</v>
      </c>
      <c r="AE7" s="294" t="s">
        <v>679</v>
      </c>
      <c r="AF7" s="295" t="s">
        <v>679</v>
      </c>
      <c r="AG7" s="296" t="s">
        <v>909</v>
      </c>
      <c r="AH7" s="296" t="s">
        <v>909</v>
      </c>
      <c r="AI7" s="298" t="s">
        <v>909</v>
      </c>
      <c r="AJ7" s="299" t="s">
        <v>679</v>
      </c>
      <c r="AK7" s="294" t="s">
        <v>679</v>
      </c>
      <c r="AL7" s="295" t="s">
        <v>679</v>
      </c>
      <c r="AM7" s="296" t="s">
        <v>909</v>
      </c>
      <c r="AN7" s="296" t="s">
        <v>909</v>
      </c>
      <c r="AO7" s="300" t="s">
        <v>909</v>
      </c>
      <c r="AP7" s="301" t="s">
        <v>679</v>
      </c>
      <c r="AQ7" s="294" t="s">
        <v>679</v>
      </c>
      <c r="AR7" s="295" t="s">
        <v>679</v>
      </c>
      <c r="AS7" s="296" t="s">
        <v>909</v>
      </c>
      <c r="AT7" s="296" t="s">
        <v>909</v>
      </c>
      <c r="AU7" s="297" t="s">
        <v>909</v>
      </c>
      <c r="AV7" s="293" t="s">
        <v>679</v>
      </c>
      <c r="AW7" s="294" t="s">
        <v>679</v>
      </c>
      <c r="AX7" s="295" t="s">
        <v>679</v>
      </c>
      <c r="AY7" s="296" t="s">
        <v>909</v>
      </c>
      <c r="AZ7" s="296" t="s">
        <v>909</v>
      </c>
      <c r="BA7" s="298" t="s">
        <v>909</v>
      </c>
      <c r="BB7" s="293" t="s">
        <v>679</v>
      </c>
      <c r="BC7" s="294" t="s">
        <v>679</v>
      </c>
      <c r="BD7" s="295" t="s">
        <v>679</v>
      </c>
      <c r="BE7" s="296" t="s">
        <v>909</v>
      </c>
      <c r="BF7" s="296" t="s">
        <v>909</v>
      </c>
      <c r="BG7" s="298" t="s">
        <v>909</v>
      </c>
      <c r="BH7" s="293" t="s">
        <v>679</v>
      </c>
      <c r="BI7" s="294" t="s">
        <v>679</v>
      </c>
      <c r="BJ7" s="295" t="s">
        <v>679</v>
      </c>
      <c r="BK7" s="296" t="s">
        <v>909</v>
      </c>
      <c r="BL7" s="296" t="s">
        <v>909</v>
      </c>
      <c r="BM7" s="298" t="s">
        <v>909</v>
      </c>
      <c r="BN7" s="293" t="s">
        <v>679</v>
      </c>
      <c r="BO7" s="294" t="s">
        <v>679</v>
      </c>
      <c r="BP7" s="295" t="s">
        <v>679</v>
      </c>
      <c r="BQ7" s="296" t="s">
        <v>909</v>
      </c>
      <c r="BR7" s="296" t="s">
        <v>909</v>
      </c>
      <c r="BS7" s="298" t="s">
        <v>909</v>
      </c>
      <c r="BT7" s="293" t="s">
        <v>679</v>
      </c>
      <c r="BU7" s="294" t="s">
        <v>679</v>
      </c>
      <c r="BV7" s="295" t="s">
        <v>679</v>
      </c>
      <c r="BW7" s="296" t="s">
        <v>909</v>
      </c>
      <c r="BX7" s="296" t="s">
        <v>909</v>
      </c>
      <c r="BY7" s="302" t="s">
        <v>909</v>
      </c>
    </row>
    <row r="8" spans="1:77" s="195" customFormat="1" ht="15.75" customHeight="1" thickTop="1">
      <c r="A8" s="245" t="s">
        <v>330</v>
      </c>
      <c r="B8" s="246" t="s">
        <v>325</v>
      </c>
      <c r="C8" s="246" t="s">
        <v>1062</v>
      </c>
      <c r="D8" s="245" t="s">
        <v>326</v>
      </c>
      <c r="E8" s="245" t="s">
        <v>327</v>
      </c>
      <c r="F8" s="247" t="s">
        <v>349</v>
      </c>
      <c r="G8" s="247" t="s">
        <v>350</v>
      </c>
      <c r="H8" s="247" t="s">
        <v>373</v>
      </c>
      <c r="I8" s="247" t="s">
        <v>351</v>
      </c>
      <c r="J8" s="247" t="s">
        <v>352</v>
      </c>
      <c r="K8" s="247" t="s">
        <v>374</v>
      </c>
      <c r="L8" s="247" t="s">
        <v>353</v>
      </c>
      <c r="M8" s="247" t="s">
        <v>354</v>
      </c>
      <c r="N8" s="247" t="s">
        <v>375</v>
      </c>
      <c r="O8" s="247" t="s">
        <v>355</v>
      </c>
      <c r="P8" s="247" t="s">
        <v>356</v>
      </c>
      <c r="Q8" s="247" t="s">
        <v>376</v>
      </c>
      <c r="R8" s="247" t="s">
        <v>357</v>
      </c>
      <c r="S8" s="247" t="s">
        <v>358</v>
      </c>
      <c r="T8" s="247" t="s">
        <v>377</v>
      </c>
      <c r="U8" s="247" t="s">
        <v>359</v>
      </c>
      <c r="V8" s="247" t="s">
        <v>360</v>
      </c>
      <c r="W8" s="247" t="s">
        <v>378</v>
      </c>
      <c r="X8" s="247" t="s">
        <v>361</v>
      </c>
      <c r="Y8" s="247" t="s">
        <v>362</v>
      </c>
      <c r="Z8" s="247" t="s">
        <v>379</v>
      </c>
      <c r="AA8" s="247" t="s">
        <v>363</v>
      </c>
      <c r="AB8" s="247" t="s">
        <v>364</v>
      </c>
      <c r="AC8" s="247" t="s">
        <v>380</v>
      </c>
      <c r="AD8" s="247" t="s">
        <v>365</v>
      </c>
      <c r="AE8" s="247" t="s">
        <v>366</v>
      </c>
      <c r="AF8" s="247" t="s">
        <v>381</v>
      </c>
      <c r="AG8" s="247" t="s">
        <v>367</v>
      </c>
      <c r="AH8" s="247" t="s">
        <v>368</v>
      </c>
      <c r="AI8" s="247" t="s">
        <v>382</v>
      </c>
      <c r="AJ8" s="247" t="s">
        <v>369</v>
      </c>
      <c r="AK8" s="247" t="s">
        <v>370</v>
      </c>
      <c r="AL8" s="247" t="s">
        <v>383</v>
      </c>
      <c r="AM8" s="247" t="s">
        <v>371</v>
      </c>
      <c r="AN8" s="247" t="s">
        <v>372</v>
      </c>
      <c r="AO8" s="247" t="s">
        <v>384</v>
      </c>
      <c r="AP8" s="247" t="s">
        <v>420</v>
      </c>
      <c r="AQ8" s="247" t="s">
        <v>385</v>
      </c>
      <c r="AR8" s="247" t="s">
        <v>386</v>
      </c>
      <c r="AS8" s="247" t="s">
        <v>387</v>
      </c>
      <c r="AT8" s="247" t="s">
        <v>388</v>
      </c>
      <c r="AU8" s="247" t="s">
        <v>389</v>
      </c>
      <c r="AV8" s="247" t="s">
        <v>390</v>
      </c>
      <c r="AW8" s="247" t="s">
        <v>391</v>
      </c>
      <c r="AX8" s="247" t="s">
        <v>392</v>
      </c>
      <c r="AY8" s="247" t="s">
        <v>393</v>
      </c>
      <c r="AZ8" s="247" t="s">
        <v>394</v>
      </c>
      <c r="BA8" s="247" t="s">
        <v>395</v>
      </c>
      <c r="BB8" s="247" t="s">
        <v>396</v>
      </c>
      <c r="BC8" s="247" t="s">
        <v>397</v>
      </c>
      <c r="BD8" s="247" t="s">
        <v>398</v>
      </c>
      <c r="BE8" s="247" t="s">
        <v>399</v>
      </c>
      <c r="BF8" s="247" t="s">
        <v>400</v>
      </c>
      <c r="BG8" s="247" t="s">
        <v>401</v>
      </c>
      <c r="BH8" s="247" t="s">
        <v>402</v>
      </c>
      <c r="BI8" s="247" t="s">
        <v>403</v>
      </c>
      <c r="BJ8" s="247" t="s">
        <v>404</v>
      </c>
      <c r="BK8" s="247" t="s">
        <v>405</v>
      </c>
      <c r="BL8" s="247" t="s">
        <v>406</v>
      </c>
      <c r="BM8" s="247" t="s">
        <v>407</v>
      </c>
      <c r="BN8" s="247" t="s">
        <v>408</v>
      </c>
      <c r="BO8" s="247" t="s">
        <v>409</v>
      </c>
      <c r="BP8" s="247" t="s">
        <v>410</v>
      </c>
      <c r="BQ8" s="247" t="s">
        <v>411</v>
      </c>
      <c r="BR8" s="247" t="s">
        <v>412</v>
      </c>
      <c r="BS8" s="247" t="s">
        <v>413</v>
      </c>
      <c r="BT8" s="247" t="s">
        <v>414</v>
      </c>
      <c r="BU8" s="247" t="s">
        <v>415</v>
      </c>
      <c r="BV8" s="247" t="s">
        <v>416</v>
      </c>
      <c r="BW8" s="247" t="s">
        <v>417</v>
      </c>
      <c r="BX8" s="247" t="s">
        <v>418</v>
      </c>
      <c r="BY8" s="247" t="s">
        <v>419</v>
      </c>
    </row>
    <row r="9" spans="1:77" s="309" customFormat="1">
      <c r="A9" s="303" t="s">
        <v>329</v>
      </c>
      <c r="B9" s="304" t="s">
        <v>618</v>
      </c>
      <c r="C9" s="304"/>
      <c r="D9" s="303">
        <v>100858</v>
      </c>
      <c r="E9" s="305">
        <v>1</v>
      </c>
      <c r="F9" s="437">
        <v>284</v>
      </c>
      <c r="G9" s="438">
        <v>104377.59507042254</v>
      </c>
      <c r="H9" s="439">
        <f t="shared" ref="H9:H72" si="0">F9*G9</f>
        <v>29643237</v>
      </c>
      <c r="I9" s="440">
        <v>274</v>
      </c>
      <c r="J9" s="440">
        <v>103814.52189781022</v>
      </c>
      <c r="K9" s="441">
        <f t="shared" ref="K9:K72" si="1">I9*J9</f>
        <v>28445179</v>
      </c>
      <c r="L9" s="442">
        <v>270</v>
      </c>
      <c r="M9" s="443">
        <v>73713.396296296298</v>
      </c>
      <c r="N9" s="444">
        <f t="shared" ref="N9:N72" si="2">L9*M9</f>
        <v>19902617</v>
      </c>
      <c r="O9" s="306">
        <v>275</v>
      </c>
      <c r="P9" s="306">
        <v>74071.858181818185</v>
      </c>
      <c r="Q9" s="445">
        <f t="shared" ref="Q9:Q72" si="3">O9*P9</f>
        <v>20369761</v>
      </c>
      <c r="R9" s="442">
        <v>239</v>
      </c>
      <c r="S9" s="443">
        <v>62455.99581589958</v>
      </c>
      <c r="T9" s="444">
        <f t="shared" ref="T9:T72" si="4">R9*S9</f>
        <v>14926983</v>
      </c>
      <c r="U9" s="306">
        <v>222</v>
      </c>
      <c r="V9" s="306">
        <v>62347.83783783784</v>
      </c>
      <c r="W9" s="441">
        <f t="shared" ref="W9:W72" si="5">U9*V9</f>
        <v>13841220</v>
      </c>
      <c r="X9" s="442">
        <v>58</v>
      </c>
      <c r="Y9" s="443">
        <v>34666.120689655174</v>
      </c>
      <c r="Z9" s="444">
        <f t="shared" ref="Z9:Z72" si="6">X9*Y9</f>
        <v>2010635</v>
      </c>
      <c r="AA9" s="306">
        <v>74</v>
      </c>
      <c r="AB9" s="306">
        <v>36088.972972972973</v>
      </c>
      <c r="AC9" s="445">
        <f t="shared" ref="AC9:AC72" si="7">AA9*AB9</f>
        <v>2670584</v>
      </c>
      <c r="AD9" s="442">
        <v>6</v>
      </c>
      <c r="AE9" s="443">
        <v>51966.666666666664</v>
      </c>
      <c r="AF9" s="444">
        <f t="shared" ref="AF9:AF72" si="8">AD9*AE9</f>
        <v>311800</v>
      </c>
      <c r="AG9" s="306">
        <v>10</v>
      </c>
      <c r="AH9" s="306">
        <v>54500</v>
      </c>
      <c r="AI9" s="445">
        <f t="shared" ref="AI9:AI72" si="9">AG9*AH9</f>
        <v>545000</v>
      </c>
      <c r="AJ9" s="446"/>
      <c r="AK9" s="443"/>
      <c r="AL9" s="444">
        <f t="shared" ref="AL9:AL72" si="10">AJ9*AK9</f>
        <v>0</v>
      </c>
      <c r="AM9" s="307"/>
      <c r="AN9" s="307"/>
      <c r="AO9" s="447">
        <f t="shared" ref="AO9:AO72" si="11">AM9*AN9</f>
        <v>0</v>
      </c>
      <c r="AP9" s="448">
        <v>170</v>
      </c>
      <c r="AQ9" s="443">
        <v>128965.39411764705</v>
      </c>
      <c r="AR9" s="444">
        <f t="shared" ref="AR9:AR72" si="12">(AP9*AQ9)*0.8182</f>
        <v>17938312.529400002</v>
      </c>
      <c r="AS9" s="306">
        <v>174</v>
      </c>
      <c r="AT9" s="306">
        <v>130509.14367816092</v>
      </c>
      <c r="AU9" s="441">
        <f t="shared" ref="AU9:AU72" si="13">(AS9*AT9)*0.8182</f>
        <v>18580169.156199999</v>
      </c>
      <c r="AV9" s="442">
        <v>91</v>
      </c>
      <c r="AW9" s="443">
        <v>92228.81318681319</v>
      </c>
      <c r="AX9" s="444">
        <f t="shared" ref="AX9:AX72" si="14">(AV9*AW9)*0.8182</f>
        <v>6867006.9604000002</v>
      </c>
      <c r="AY9" s="306">
        <v>92</v>
      </c>
      <c r="AZ9" s="306">
        <v>92950.608695652176</v>
      </c>
      <c r="BA9" s="445">
        <f t="shared" ref="BA9:BA72" si="15">(AY9*AZ9)*0.8182</f>
        <v>6996801.2992000002</v>
      </c>
      <c r="BB9" s="442">
        <v>57</v>
      </c>
      <c r="BC9" s="443">
        <v>84596.719298245618</v>
      </c>
      <c r="BD9" s="444">
        <f t="shared" ref="BD9:BD72" si="16">(BB9*BC9)*0.8182</f>
        <v>3945371.0366000002</v>
      </c>
      <c r="BE9" s="306">
        <v>63</v>
      </c>
      <c r="BF9" s="306">
        <v>81876.349206349201</v>
      </c>
      <c r="BG9" s="445">
        <f t="shared" ref="BG9:BG72" si="17">(BE9*BF9)*0.8182</f>
        <v>4220447.4220000003</v>
      </c>
      <c r="BH9" s="442">
        <v>8</v>
      </c>
      <c r="BI9" s="443">
        <v>56179.625</v>
      </c>
      <c r="BJ9" s="444">
        <f t="shared" ref="BJ9:BJ72" si="18">(BH9*BI9)*0.8182</f>
        <v>367729.35340000002</v>
      </c>
      <c r="BK9" s="306">
        <v>11</v>
      </c>
      <c r="BL9" s="306">
        <v>59625.181818181816</v>
      </c>
      <c r="BM9" s="445">
        <f t="shared" ref="BM9:BM72" si="19">(BK9*BL9)*0.8182</f>
        <v>536638.56140000001</v>
      </c>
      <c r="BN9" s="442">
        <v>1</v>
      </c>
      <c r="BO9" s="443">
        <v>75000</v>
      </c>
      <c r="BP9" s="444">
        <f t="shared" ref="BP9:BP72" si="20">(BN9*BO9)*0.8182</f>
        <v>61365</v>
      </c>
      <c r="BQ9" s="306">
        <v>1</v>
      </c>
      <c r="BR9" s="306">
        <v>75000</v>
      </c>
      <c r="BS9" s="445">
        <f t="shared" ref="BS9:BS72" si="21">(BQ9*BR9)*0.8182</f>
        <v>61365</v>
      </c>
      <c r="BT9" s="442"/>
      <c r="BU9" s="443"/>
      <c r="BV9" s="444">
        <f t="shared" ref="BV9:BV72" si="22">(BT9*BU9)*0.8182</f>
        <v>0</v>
      </c>
      <c r="BW9" s="306"/>
      <c r="BX9" s="306"/>
      <c r="BY9" s="449">
        <f t="shared" ref="BY9:BY72" si="23">(BW9*BX9)*0.8182</f>
        <v>0</v>
      </c>
    </row>
    <row r="10" spans="1:77" s="309" customFormat="1">
      <c r="A10" s="303" t="s">
        <v>329</v>
      </c>
      <c r="B10" s="304" t="s">
        <v>619</v>
      </c>
      <c r="C10" s="304"/>
      <c r="D10" s="303">
        <v>100751</v>
      </c>
      <c r="E10" s="305">
        <v>1</v>
      </c>
      <c r="F10" s="437">
        <v>287</v>
      </c>
      <c r="G10" s="438">
        <v>116715.53310104529</v>
      </c>
      <c r="H10" s="439">
        <f t="shared" si="0"/>
        <v>33497358</v>
      </c>
      <c r="I10" s="440">
        <v>296</v>
      </c>
      <c r="J10" s="440">
        <v>121146.28716216216</v>
      </c>
      <c r="K10" s="441">
        <f t="shared" si="1"/>
        <v>35859301</v>
      </c>
      <c r="L10" s="442">
        <v>254</v>
      </c>
      <c r="M10" s="443">
        <v>80281.889763779531</v>
      </c>
      <c r="N10" s="444">
        <f t="shared" si="2"/>
        <v>20391600</v>
      </c>
      <c r="O10" s="306">
        <v>258</v>
      </c>
      <c r="P10" s="306">
        <v>84145.620155038763</v>
      </c>
      <c r="Q10" s="445">
        <f t="shared" si="3"/>
        <v>21709570</v>
      </c>
      <c r="R10" s="442">
        <v>257</v>
      </c>
      <c r="S10" s="443">
        <v>61127.338521400779</v>
      </c>
      <c r="T10" s="444">
        <f t="shared" si="4"/>
        <v>15709726</v>
      </c>
      <c r="U10" s="306">
        <v>275</v>
      </c>
      <c r="V10" s="306">
        <v>63799.934545454547</v>
      </c>
      <c r="W10" s="441">
        <f t="shared" si="5"/>
        <v>17544982</v>
      </c>
      <c r="X10" s="442">
        <v>145</v>
      </c>
      <c r="Y10" s="443">
        <v>39497.048275862071</v>
      </c>
      <c r="Z10" s="444">
        <f t="shared" si="6"/>
        <v>5727072</v>
      </c>
      <c r="AA10" s="306">
        <v>177</v>
      </c>
      <c r="AB10" s="306">
        <v>40534.090395480227</v>
      </c>
      <c r="AC10" s="445">
        <f t="shared" si="7"/>
        <v>7174534</v>
      </c>
      <c r="AD10" s="442">
        <v>11</v>
      </c>
      <c r="AE10" s="443">
        <v>63409.727272727272</v>
      </c>
      <c r="AF10" s="444">
        <f t="shared" si="8"/>
        <v>697507</v>
      </c>
      <c r="AG10" s="306">
        <v>10</v>
      </c>
      <c r="AH10" s="306">
        <v>62516.6</v>
      </c>
      <c r="AI10" s="445">
        <f t="shared" si="9"/>
        <v>625166</v>
      </c>
      <c r="AJ10" s="446"/>
      <c r="AK10" s="443"/>
      <c r="AL10" s="444">
        <f t="shared" si="10"/>
        <v>0</v>
      </c>
      <c r="AM10" s="307"/>
      <c r="AN10" s="307"/>
      <c r="AO10" s="447">
        <f t="shared" si="11"/>
        <v>0</v>
      </c>
      <c r="AP10" s="448">
        <v>29</v>
      </c>
      <c r="AQ10" s="443">
        <v>130403.6551724138</v>
      </c>
      <c r="AR10" s="444">
        <f t="shared" si="12"/>
        <v>3094191.8492000001</v>
      </c>
      <c r="AS10" s="306">
        <v>30</v>
      </c>
      <c r="AT10" s="306">
        <v>139047.33333333334</v>
      </c>
      <c r="AU10" s="441">
        <f t="shared" si="13"/>
        <v>3413055.8440000005</v>
      </c>
      <c r="AV10" s="442">
        <v>34</v>
      </c>
      <c r="AW10" s="443">
        <v>84678.76470588235</v>
      </c>
      <c r="AX10" s="444">
        <f t="shared" si="14"/>
        <v>2355661.6196000003</v>
      </c>
      <c r="AY10" s="306">
        <v>34</v>
      </c>
      <c r="AZ10" s="306">
        <v>87088.617647058825</v>
      </c>
      <c r="BA10" s="445">
        <f t="shared" si="15"/>
        <v>2422700.8366</v>
      </c>
      <c r="BB10" s="442">
        <v>58</v>
      </c>
      <c r="BC10" s="443">
        <v>66608.655172413797</v>
      </c>
      <c r="BD10" s="444">
        <f t="shared" si="16"/>
        <v>3160953.6964000002</v>
      </c>
      <c r="BE10" s="306">
        <v>63</v>
      </c>
      <c r="BF10" s="306">
        <v>70005.873015873018</v>
      </c>
      <c r="BG10" s="445">
        <f t="shared" si="17"/>
        <v>3608564.7340000002</v>
      </c>
      <c r="BH10" s="442">
        <v>26</v>
      </c>
      <c r="BI10" s="443">
        <v>47795.346153846156</v>
      </c>
      <c r="BJ10" s="444">
        <f t="shared" si="18"/>
        <v>1016759.9578000001</v>
      </c>
      <c r="BK10" s="306">
        <v>28</v>
      </c>
      <c r="BL10" s="306">
        <v>45707.857142857145</v>
      </c>
      <c r="BM10" s="445">
        <f t="shared" si="19"/>
        <v>1047148.724</v>
      </c>
      <c r="BN10" s="442">
        <v>5</v>
      </c>
      <c r="BO10" s="443">
        <v>84559.2</v>
      </c>
      <c r="BP10" s="444">
        <f t="shared" si="20"/>
        <v>345931.68720000004</v>
      </c>
      <c r="BQ10" s="306">
        <v>4</v>
      </c>
      <c r="BR10" s="306">
        <v>101127.75</v>
      </c>
      <c r="BS10" s="445">
        <f t="shared" si="21"/>
        <v>330970.90020000003</v>
      </c>
      <c r="BT10" s="442"/>
      <c r="BU10" s="443"/>
      <c r="BV10" s="444">
        <f t="shared" si="22"/>
        <v>0</v>
      </c>
      <c r="BW10" s="306"/>
      <c r="BX10" s="306"/>
      <c r="BY10" s="449">
        <f t="shared" si="23"/>
        <v>0</v>
      </c>
    </row>
    <row r="11" spans="1:77" s="309" customFormat="1" ht="13.5">
      <c r="A11" s="303" t="s">
        <v>329</v>
      </c>
      <c r="B11" s="483" t="s">
        <v>620</v>
      </c>
      <c r="C11" s="484" t="s">
        <v>1063</v>
      </c>
      <c r="D11" s="303">
        <v>100663</v>
      </c>
      <c r="E11" s="305">
        <v>1</v>
      </c>
      <c r="F11" s="437">
        <v>94</v>
      </c>
      <c r="G11" s="438">
        <v>95659.212765957447</v>
      </c>
      <c r="H11" s="439">
        <f t="shared" si="0"/>
        <v>8991966</v>
      </c>
      <c r="I11" s="440">
        <v>95</v>
      </c>
      <c r="J11" s="440">
        <v>100220.63157894737</v>
      </c>
      <c r="K11" s="441">
        <f t="shared" si="1"/>
        <v>9520960</v>
      </c>
      <c r="L11" s="442">
        <v>131</v>
      </c>
      <c r="M11" s="443">
        <v>72203.061068702285</v>
      </c>
      <c r="N11" s="444">
        <f t="shared" si="2"/>
        <v>9458601</v>
      </c>
      <c r="O11" s="306">
        <v>129</v>
      </c>
      <c r="P11" s="306">
        <v>73275.519379844962</v>
      </c>
      <c r="Q11" s="445">
        <f t="shared" si="3"/>
        <v>9452542</v>
      </c>
      <c r="R11" s="442">
        <v>114</v>
      </c>
      <c r="S11" s="443">
        <v>57644.719298245611</v>
      </c>
      <c r="T11" s="444">
        <f t="shared" si="4"/>
        <v>6571498</v>
      </c>
      <c r="U11" s="306">
        <v>123</v>
      </c>
      <c r="V11" s="306">
        <v>61291.764227642278</v>
      </c>
      <c r="W11" s="441">
        <f t="shared" si="5"/>
        <v>7538887</v>
      </c>
      <c r="X11" s="442">
        <v>30</v>
      </c>
      <c r="Y11" s="443">
        <v>42036.366666666669</v>
      </c>
      <c r="Z11" s="444">
        <f t="shared" si="6"/>
        <v>1261091</v>
      </c>
      <c r="AA11" s="306">
        <v>33</v>
      </c>
      <c r="AB11" s="306">
        <v>44140.818181818184</v>
      </c>
      <c r="AC11" s="445">
        <f t="shared" si="7"/>
        <v>1456647</v>
      </c>
      <c r="AD11" s="442">
        <v>1</v>
      </c>
      <c r="AE11" s="443">
        <v>36000</v>
      </c>
      <c r="AF11" s="444">
        <f t="shared" si="8"/>
        <v>36000</v>
      </c>
      <c r="AG11" s="306">
        <v>1</v>
      </c>
      <c r="AH11" s="306">
        <v>36000</v>
      </c>
      <c r="AI11" s="445">
        <f t="shared" si="9"/>
        <v>36000</v>
      </c>
      <c r="AJ11" s="446"/>
      <c r="AK11" s="443"/>
      <c r="AL11" s="444">
        <f t="shared" si="10"/>
        <v>0</v>
      </c>
      <c r="AM11" s="307"/>
      <c r="AN11" s="307"/>
      <c r="AO11" s="447">
        <f t="shared" si="11"/>
        <v>0</v>
      </c>
      <c r="AP11" s="448">
        <v>127</v>
      </c>
      <c r="AQ11" s="443">
        <v>157541.07874015748</v>
      </c>
      <c r="AR11" s="444">
        <f t="shared" si="12"/>
        <v>16370314.0494</v>
      </c>
      <c r="AS11" s="306">
        <v>134</v>
      </c>
      <c r="AT11" s="306">
        <v>164336.39552238805</v>
      </c>
      <c r="AU11" s="441">
        <f t="shared" si="13"/>
        <v>18017645.201400001</v>
      </c>
      <c r="AV11" s="442">
        <v>120</v>
      </c>
      <c r="AW11" s="443">
        <v>107290.43333333333</v>
      </c>
      <c r="AX11" s="444">
        <f t="shared" si="14"/>
        <v>10534203.906400001</v>
      </c>
      <c r="AY11" s="306">
        <v>128</v>
      </c>
      <c r="AZ11" s="306">
        <v>113164.6953125</v>
      </c>
      <c r="BA11" s="445">
        <f t="shared" si="15"/>
        <v>11851693.2742</v>
      </c>
      <c r="BB11" s="442">
        <v>161</v>
      </c>
      <c r="BC11" s="443">
        <v>82102.459627329197</v>
      </c>
      <c r="BD11" s="444">
        <f t="shared" si="16"/>
        <v>10815373.427200001</v>
      </c>
      <c r="BE11" s="306">
        <v>159</v>
      </c>
      <c r="BF11" s="306">
        <v>84442.767295597485</v>
      </c>
      <c r="BG11" s="445">
        <f t="shared" si="17"/>
        <v>10985480.48</v>
      </c>
      <c r="BH11" s="442">
        <v>54</v>
      </c>
      <c r="BI11" s="443">
        <v>70416.222222222219</v>
      </c>
      <c r="BJ11" s="444">
        <f t="shared" si="18"/>
        <v>3111185.8632</v>
      </c>
      <c r="BK11" s="306">
        <v>59</v>
      </c>
      <c r="BL11" s="306">
        <v>73171.288135593219</v>
      </c>
      <c r="BM11" s="445">
        <f t="shared" si="19"/>
        <v>3532256.1292000003</v>
      </c>
      <c r="BN11" s="442"/>
      <c r="BO11" s="443"/>
      <c r="BP11" s="444">
        <f t="shared" si="20"/>
        <v>0</v>
      </c>
      <c r="BQ11" s="306"/>
      <c r="BR11" s="306"/>
      <c r="BS11" s="445">
        <f t="shared" si="21"/>
        <v>0</v>
      </c>
      <c r="BT11" s="442"/>
      <c r="BU11" s="443"/>
      <c r="BV11" s="444">
        <f t="shared" si="22"/>
        <v>0</v>
      </c>
      <c r="BW11" s="306"/>
      <c r="BX11" s="306"/>
      <c r="BY11" s="449">
        <f t="shared" si="23"/>
        <v>0</v>
      </c>
    </row>
    <row r="12" spans="1:77" s="309" customFormat="1" ht="13.5">
      <c r="A12" s="303" t="s">
        <v>329</v>
      </c>
      <c r="B12" s="483" t="s">
        <v>621</v>
      </c>
      <c r="C12" s="484" t="s">
        <v>1064</v>
      </c>
      <c r="D12" s="303">
        <v>100706</v>
      </c>
      <c r="E12" s="305">
        <v>2</v>
      </c>
      <c r="F12" s="437">
        <v>61</v>
      </c>
      <c r="G12" s="438">
        <v>101895.03278688525</v>
      </c>
      <c r="H12" s="439">
        <f t="shared" si="0"/>
        <v>6215597</v>
      </c>
      <c r="I12" s="440">
        <v>62</v>
      </c>
      <c r="J12" s="440">
        <v>105593.08064516129</v>
      </c>
      <c r="K12" s="441">
        <f t="shared" si="1"/>
        <v>6546771</v>
      </c>
      <c r="L12" s="442">
        <v>85</v>
      </c>
      <c r="M12" s="443">
        <v>77872.24705882353</v>
      </c>
      <c r="N12" s="444">
        <f t="shared" si="2"/>
        <v>6619141</v>
      </c>
      <c r="O12" s="306">
        <v>80</v>
      </c>
      <c r="P12" s="306">
        <v>79203.574999999997</v>
      </c>
      <c r="Q12" s="445">
        <f t="shared" si="3"/>
        <v>6336286</v>
      </c>
      <c r="R12" s="442">
        <v>83</v>
      </c>
      <c r="S12" s="443">
        <v>62490.493975903613</v>
      </c>
      <c r="T12" s="444">
        <f t="shared" si="4"/>
        <v>5186711</v>
      </c>
      <c r="U12" s="306">
        <v>82</v>
      </c>
      <c r="V12" s="306">
        <v>64947.402439024387</v>
      </c>
      <c r="W12" s="441">
        <f t="shared" si="5"/>
        <v>5325687</v>
      </c>
      <c r="X12" s="442">
        <v>11</v>
      </c>
      <c r="Y12" s="443">
        <v>54054.545454545456</v>
      </c>
      <c r="Z12" s="444">
        <f t="shared" si="6"/>
        <v>594600</v>
      </c>
      <c r="AA12" s="306">
        <v>13</v>
      </c>
      <c r="AB12" s="306">
        <v>49537.538461538461</v>
      </c>
      <c r="AC12" s="445">
        <f t="shared" si="7"/>
        <v>643988</v>
      </c>
      <c r="AD12" s="442">
        <v>25</v>
      </c>
      <c r="AE12" s="443">
        <v>42452.76</v>
      </c>
      <c r="AF12" s="444">
        <f t="shared" si="8"/>
        <v>1061319</v>
      </c>
      <c r="AG12" s="306">
        <v>29</v>
      </c>
      <c r="AH12" s="306">
        <v>46144.517241379312</v>
      </c>
      <c r="AI12" s="445">
        <f t="shared" si="9"/>
        <v>1338191</v>
      </c>
      <c r="AJ12" s="446"/>
      <c r="AK12" s="443"/>
      <c r="AL12" s="444">
        <f t="shared" si="10"/>
        <v>0</v>
      </c>
      <c r="AM12" s="307"/>
      <c r="AN12" s="307"/>
      <c r="AO12" s="447">
        <f t="shared" si="11"/>
        <v>0</v>
      </c>
      <c r="AP12" s="448">
        <v>15</v>
      </c>
      <c r="AQ12" s="443">
        <v>144250.73333333334</v>
      </c>
      <c r="AR12" s="444">
        <f t="shared" si="12"/>
        <v>1770389.2502000001</v>
      </c>
      <c r="AS12" s="306">
        <v>14</v>
      </c>
      <c r="AT12" s="306">
        <v>157617.21428571429</v>
      </c>
      <c r="AU12" s="441">
        <f t="shared" si="13"/>
        <v>1805473.6662000001</v>
      </c>
      <c r="AV12" s="442">
        <v>8</v>
      </c>
      <c r="AW12" s="443">
        <v>92339.375</v>
      </c>
      <c r="AX12" s="444">
        <f t="shared" si="14"/>
        <v>604416.61300000001</v>
      </c>
      <c r="AY12" s="306">
        <v>9</v>
      </c>
      <c r="AZ12" s="306">
        <v>93007.333333333328</v>
      </c>
      <c r="BA12" s="445">
        <f t="shared" si="15"/>
        <v>684887.40120000008</v>
      </c>
      <c r="BB12" s="442">
        <v>3</v>
      </c>
      <c r="BC12" s="443">
        <v>65013.666666666664</v>
      </c>
      <c r="BD12" s="444">
        <f t="shared" si="16"/>
        <v>159582.54620000001</v>
      </c>
      <c r="BE12" s="306">
        <v>3</v>
      </c>
      <c r="BF12" s="306">
        <v>68495.333333333328</v>
      </c>
      <c r="BG12" s="445">
        <f t="shared" si="17"/>
        <v>168128.6452</v>
      </c>
      <c r="BH12" s="442"/>
      <c r="BI12" s="443"/>
      <c r="BJ12" s="444">
        <f t="shared" si="18"/>
        <v>0</v>
      </c>
      <c r="BK12" s="306">
        <v>0</v>
      </c>
      <c r="BL12" s="306"/>
      <c r="BM12" s="445">
        <f t="shared" si="19"/>
        <v>0</v>
      </c>
      <c r="BN12" s="442">
        <v>12</v>
      </c>
      <c r="BO12" s="443">
        <v>50473.833333333336</v>
      </c>
      <c r="BP12" s="444">
        <f t="shared" si="20"/>
        <v>495572.28520000004</v>
      </c>
      <c r="BQ12" s="306">
        <v>11</v>
      </c>
      <c r="BR12" s="306">
        <v>57670.272727272728</v>
      </c>
      <c r="BS12" s="445">
        <f t="shared" si="21"/>
        <v>519043.98860000004</v>
      </c>
      <c r="BT12" s="442"/>
      <c r="BU12" s="443"/>
      <c r="BV12" s="444">
        <f t="shared" si="22"/>
        <v>0</v>
      </c>
      <c r="BW12" s="306"/>
      <c r="BX12" s="306"/>
      <c r="BY12" s="449">
        <f t="shared" si="23"/>
        <v>0</v>
      </c>
    </row>
    <row r="13" spans="1:77" s="309" customFormat="1">
      <c r="A13" s="303" t="s">
        <v>329</v>
      </c>
      <c r="B13" s="304" t="s">
        <v>622</v>
      </c>
      <c r="C13" s="304"/>
      <c r="D13" s="303">
        <v>100654</v>
      </c>
      <c r="E13" s="305">
        <v>3</v>
      </c>
      <c r="F13" s="437">
        <v>35</v>
      </c>
      <c r="G13" s="438">
        <v>84280.171428571426</v>
      </c>
      <c r="H13" s="439">
        <f t="shared" si="0"/>
        <v>2949806</v>
      </c>
      <c r="I13" s="440">
        <v>34</v>
      </c>
      <c r="J13" s="440">
        <v>84814.558823529413</v>
      </c>
      <c r="K13" s="441">
        <f t="shared" si="1"/>
        <v>2883695</v>
      </c>
      <c r="L13" s="442">
        <v>60</v>
      </c>
      <c r="M13" s="443">
        <v>68931.649999999994</v>
      </c>
      <c r="N13" s="444">
        <f t="shared" si="2"/>
        <v>4135898.9999999995</v>
      </c>
      <c r="O13" s="306">
        <v>53</v>
      </c>
      <c r="P13" s="306">
        <v>70266.679245283012</v>
      </c>
      <c r="Q13" s="445">
        <f t="shared" si="3"/>
        <v>3724133.9999999995</v>
      </c>
      <c r="R13" s="442">
        <v>130</v>
      </c>
      <c r="S13" s="443">
        <v>54764.661538461536</v>
      </c>
      <c r="T13" s="444">
        <f t="shared" si="4"/>
        <v>7119406</v>
      </c>
      <c r="U13" s="306">
        <v>109</v>
      </c>
      <c r="V13" s="306">
        <v>54326.211009174309</v>
      </c>
      <c r="W13" s="441">
        <f t="shared" si="5"/>
        <v>5921557</v>
      </c>
      <c r="X13" s="442">
        <v>52</v>
      </c>
      <c r="Y13" s="443">
        <v>40037.75</v>
      </c>
      <c r="Z13" s="444">
        <f t="shared" si="6"/>
        <v>2081963</v>
      </c>
      <c r="AA13" s="306">
        <v>49</v>
      </c>
      <c r="AB13" s="306">
        <v>43632.244897959186</v>
      </c>
      <c r="AC13" s="445">
        <f t="shared" si="7"/>
        <v>2137980</v>
      </c>
      <c r="AD13" s="442"/>
      <c r="AE13" s="443">
        <v>0</v>
      </c>
      <c r="AF13" s="444">
        <f t="shared" si="8"/>
        <v>0</v>
      </c>
      <c r="AG13" s="450"/>
      <c r="AH13" s="306"/>
      <c r="AI13" s="445">
        <f t="shared" si="9"/>
        <v>0</v>
      </c>
      <c r="AJ13" s="446"/>
      <c r="AK13" s="443"/>
      <c r="AL13" s="444">
        <f t="shared" si="10"/>
        <v>0</v>
      </c>
      <c r="AM13" s="307"/>
      <c r="AN13" s="307"/>
      <c r="AO13" s="447">
        <f t="shared" si="11"/>
        <v>0</v>
      </c>
      <c r="AP13" s="448">
        <v>16</v>
      </c>
      <c r="AQ13" s="443">
        <v>108337.375</v>
      </c>
      <c r="AR13" s="444">
        <f t="shared" si="12"/>
        <v>1418266.2436000002</v>
      </c>
      <c r="AS13" s="306">
        <v>15</v>
      </c>
      <c r="AT13" s="306">
        <v>108667.6</v>
      </c>
      <c r="AU13" s="441">
        <f t="shared" si="13"/>
        <v>1333677.4547999999</v>
      </c>
      <c r="AV13" s="442">
        <v>9</v>
      </c>
      <c r="AW13" s="443">
        <v>83788.333333333328</v>
      </c>
      <c r="AX13" s="444">
        <f t="shared" si="14"/>
        <v>617000.52899999998</v>
      </c>
      <c r="AY13" s="450">
        <v>8</v>
      </c>
      <c r="AZ13" s="306">
        <v>94602.5</v>
      </c>
      <c r="BA13" s="445">
        <f t="shared" si="15"/>
        <v>619230.12400000007</v>
      </c>
      <c r="BB13" s="442">
        <v>8</v>
      </c>
      <c r="BC13" s="443">
        <v>77901.875</v>
      </c>
      <c r="BD13" s="444">
        <f t="shared" si="16"/>
        <v>509914.51300000004</v>
      </c>
      <c r="BE13" s="450">
        <v>8</v>
      </c>
      <c r="BF13" s="306">
        <v>83487</v>
      </c>
      <c r="BG13" s="445">
        <f t="shared" si="17"/>
        <v>546472.50719999999</v>
      </c>
      <c r="BH13" s="442">
        <v>1</v>
      </c>
      <c r="BI13" s="443">
        <v>70534</v>
      </c>
      <c r="BJ13" s="444">
        <f t="shared" si="18"/>
        <v>57710.918799999999</v>
      </c>
      <c r="BK13" s="450">
        <v>0</v>
      </c>
      <c r="BL13" s="306"/>
      <c r="BM13" s="445">
        <f t="shared" si="19"/>
        <v>0</v>
      </c>
      <c r="BN13" s="442"/>
      <c r="BO13" s="443"/>
      <c r="BP13" s="444">
        <f t="shared" si="20"/>
        <v>0</v>
      </c>
      <c r="BQ13" s="450"/>
      <c r="BR13" s="306"/>
      <c r="BS13" s="445">
        <f t="shared" si="21"/>
        <v>0</v>
      </c>
      <c r="BT13" s="442"/>
      <c r="BU13" s="443"/>
      <c r="BV13" s="444">
        <f t="shared" si="22"/>
        <v>0</v>
      </c>
      <c r="BW13" s="450"/>
      <c r="BX13" s="306"/>
      <c r="BY13" s="449">
        <f t="shared" si="23"/>
        <v>0</v>
      </c>
    </row>
    <row r="14" spans="1:77" s="309" customFormat="1">
      <c r="A14" s="303" t="s">
        <v>329</v>
      </c>
      <c r="B14" s="304" t="s">
        <v>623</v>
      </c>
      <c r="C14" s="304"/>
      <c r="D14" s="303">
        <v>101480</v>
      </c>
      <c r="E14" s="305">
        <v>3</v>
      </c>
      <c r="F14" s="437">
        <v>60</v>
      </c>
      <c r="G14" s="438">
        <v>78014.383333333331</v>
      </c>
      <c r="H14" s="439">
        <f t="shared" si="0"/>
        <v>4680863</v>
      </c>
      <c r="I14" s="440">
        <v>65</v>
      </c>
      <c r="J14" s="440">
        <v>77104.661538461543</v>
      </c>
      <c r="K14" s="441">
        <f t="shared" si="1"/>
        <v>5011803</v>
      </c>
      <c r="L14" s="442">
        <v>63</v>
      </c>
      <c r="M14" s="443">
        <v>61625.253968253972</v>
      </c>
      <c r="N14" s="444">
        <f t="shared" si="2"/>
        <v>3882391</v>
      </c>
      <c r="O14" s="306">
        <v>70</v>
      </c>
      <c r="P14" s="306">
        <v>61498.185714285712</v>
      </c>
      <c r="Q14" s="445">
        <f t="shared" si="3"/>
        <v>4304873</v>
      </c>
      <c r="R14" s="442">
        <v>79</v>
      </c>
      <c r="S14" s="443">
        <v>53405.810126582277</v>
      </c>
      <c r="T14" s="444">
        <f t="shared" si="4"/>
        <v>4219059</v>
      </c>
      <c r="U14" s="306">
        <v>74</v>
      </c>
      <c r="V14" s="306">
        <v>52794.770270270274</v>
      </c>
      <c r="W14" s="441">
        <f t="shared" si="5"/>
        <v>3906813.0000000005</v>
      </c>
      <c r="X14" s="442">
        <v>87</v>
      </c>
      <c r="Y14" s="443">
        <v>46221.770114942527</v>
      </c>
      <c r="Z14" s="444">
        <f t="shared" si="6"/>
        <v>4021294</v>
      </c>
      <c r="AA14" s="306">
        <v>87</v>
      </c>
      <c r="AB14" s="306">
        <v>45997.919540229886</v>
      </c>
      <c r="AC14" s="445">
        <f t="shared" si="7"/>
        <v>4001819</v>
      </c>
      <c r="AD14" s="442">
        <v>0</v>
      </c>
      <c r="AE14" s="443">
        <v>0</v>
      </c>
      <c r="AF14" s="444">
        <f t="shared" si="8"/>
        <v>0</v>
      </c>
      <c r="AG14" s="306">
        <v>0</v>
      </c>
      <c r="AH14" s="306"/>
      <c r="AI14" s="445">
        <f t="shared" si="9"/>
        <v>0</v>
      </c>
      <c r="AJ14" s="446"/>
      <c r="AK14" s="443"/>
      <c r="AL14" s="444">
        <f t="shared" si="10"/>
        <v>0</v>
      </c>
      <c r="AM14" s="307"/>
      <c r="AN14" s="307"/>
      <c r="AO14" s="447">
        <f t="shared" si="11"/>
        <v>0</v>
      </c>
      <c r="AP14" s="448">
        <v>29</v>
      </c>
      <c r="AQ14" s="443">
        <v>94621.482758620696</v>
      </c>
      <c r="AR14" s="444">
        <f t="shared" si="12"/>
        <v>2245159.6186000002</v>
      </c>
      <c r="AS14" s="306">
        <v>25</v>
      </c>
      <c r="AT14" s="306">
        <v>95260.52</v>
      </c>
      <c r="AU14" s="441">
        <f t="shared" si="13"/>
        <v>1948553.9366000001</v>
      </c>
      <c r="AV14" s="442">
        <v>1</v>
      </c>
      <c r="AW14" s="443">
        <v>71000</v>
      </c>
      <c r="AX14" s="444">
        <f t="shared" si="14"/>
        <v>58092.200000000004</v>
      </c>
      <c r="AY14" s="306">
        <v>3</v>
      </c>
      <c r="AZ14" s="306">
        <v>81937.666666666672</v>
      </c>
      <c r="BA14" s="445">
        <f t="shared" si="15"/>
        <v>201124.1966</v>
      </c>
      <c r="BB14" s="442">
        <v>2</v>
      </c>
      <c r="BC14" s="443">
        <v>75142</v>
      </c>
      <c r="BD14" s="444">
        <f t="shared" si="16"/>
        <v>122962.36880000001</v>
      </c>
      <c r="BE14" s="306">
        <v>1</v>
      </c>
      <c r="BF14" s="306">
        <v>84000</v>
      </c>
      <c r="BG14" s="445">
        <f t="shared" si="17"/>
        <v>68728.800000000003</v>
      </c>
      <c r="BH14" s="442">
        <v>1</v>
      </c>
      <c r="BI14" s="443">
        <v>88382</v>
      </c>
      <c r="BJ14" s="444">
        <f t="shared" si="18"/>
        <v>72314.152400000006</v>
      </c>
      <c r="BK14" s="306">
        <v>1</v>
      </c>
      <c r="BL14" s="306">
        <v>88382</v>
      </c>
      <c r="BM14" s="445">
        <f t="shared" si="19"/>
        <v>72314.152400000006</v>
      </c>
      <c r="BN14" s="442"/>
      <c r="BO14" s="443"/>
      <c r="BP14" s="444">
        <f t="shared" si="20"/>
        <v>0</v>
      </c>
      <c r="BQ14" s="450"/>
      <c r="BR14" s="306"/>
      <c r="BS14" s="445">
        <f t="shared" si="21"/>
        <v>0</v>
      </c>
      <c r="BT14" s="442"/>
      <c r="BU14" s="443"/>
      <c r="BV14" s="444">
        <f t="shared" si="22"/>
        <v>0</v>
      </c>
      <c r="BW14" s="450"/>
      <c r="BX14" s="306"/>
      <c r="BY14" s="449">
        <f t="shared" si="23"/>
        <v>0</v>
      </c>
    </row>
    <row r="15" spans="1:77" s="309" customFormat="1">
      <c r="A15" s="303" t="s">
        <v>329</v>
      </c>
      <c r="B15" s="304" t="s">
        <v>624</v>
      </c>
      <c r="C15" s="304"/>
      <c r="D15" s="303">
        <v>102368</v>
      </c>
      <c r="E15" s="305">
        <v>3</v>
      </c>
      <c r="F15" s="437">
        <v>39</v>
      </c>
      <c r="G15" s="438">
        <v>75131.564102564109</v>
      </c>
      <c r="H15" s="439">
        <f t="shared" si="0"/>
        <v>2930131.0000000005</v>
      </c>
      <c r="I15" s="440">
        <v>41</v>
      </c>
      <c r="J15" s="440">
        <v>74425.658536585368</v>
      </c>
      <c r="K15" s="441">
        <f t="shared" si="1"/>
        <v>3051452</v>
      </c>
      <c r="L15" s="442">
        <v>74</v>
      </c>
      <c r="M15" s="443">
        <v>63253.554054054053</v>
      </c>
      <c r="N15" s="444">
        <f t="shared" si="2"/>
        <v>4680763</v>
      </c>
      <c r="O15" s="306">
        <v>66</v>
      </c>
      <c r="P15" s="306">
        <v>64259.696969696968</v>
      </c>
      <c r="Q15" s="445">
        <f t="shared" si="3"/>
        <v>4241140</v>
      </c>
      <c r="R15" s="442">
        <v>108</v>
      </c>
      <c r="S15" s="443">
        <v>55145.907407407409</v>
      </c>
      <c r="T15" s="444">
        <f t="shared" si="4"/>
        <v>5955758</v>
      </c>
      <c r="U15" s="306">
        <v>128</v>
      </c>
      <c r="V15" s="306">
        <v>54718.1171875</v>
      </c>
      <c r="W15" s="441">
        <f t="shared" si="5"/>
        <v>7003919</v>
      </c>
      <c r="X15" s="442">
        <v>9</v>
      </c>
      <c r="Y15" s="443">
        <v>44211.333333333336</v>
      </c>
      <c r="Z15" s="444">
        <f t="shared" si="6"/>
        <v>397902</v>
      </c>
      <c r="AA15" s="306">
        <v>8</v>
      </c>
      <c r="AB15" s="306">
        <v>41606.625</v>
      </c>
      <c r="AC15" s="445">
        <f t="shared" si="7"/>
        <v>332853</v>
      </c>
      <c r="AD15" s="442">
        <v>31</v>
      </c>
      <c r="AE15" s="443">
        <v>41386.580645161288</v>
      </c>
      <c r="AF15" s="444">
        <f t="shared" si="8"/>
        <v>1282984</v>
      </c>
      <c r="AG15" s="306">
        <v>51</v>
      </c>
      <c r="AH15" s="306">
        <v>43292.156862745098</v>
      </c>
      <c r="AI15" s="445">
        <f t="shared" si="9"/>
        <v>2207900</v>
      </c>
      <c r="AJ15" s="446"/>
      <c r="AK15" s="443"/>
      <c r="AL15" s="444">
        <f t="shared" si="10"/>
        <v>0</v>
      </c>
      <c r="AM15" s="307"/>
      <c r="AN15" s="307"/>
      <c r="AO15" s="447">
        <f t="shared" si="11"/>
        <v>0</v>
      </c>
      <c r="AP15" s="448">
        <v>33</v>
      </c>
      <c r="AQ15" s="443">
        <v>91401.212121212127</v>
      </c>
      <c r="AR15" s="444">
        <f t="shared" si="12"/>
        <v>2467887.568</v>
      </c>
      <c r="AS15" s="306">
        <v>40</v>
      </c>
      <c r="AT15" s="306">
        <v>95214.024999999994</v>
      </c>
      <c r="AU15" s="441">
        <f t="shared" si="13"/>
        <v>3116164.6102</v>
      </c>
      <c r="AV15" s="442">
        <v>38</v>
      </c>
      <c r="AW15" s="443">
        <v>76745.447368421053</v>
      </c>
      <c r="AX15" s="444">
        <f t="shared" si="14"/>
        <v>2386138.7514</v>
      </c>
      <c r="AY15" s="306">
        <v>40</v>
      </c>
      <c r="AZ15" s="306">
        <v>83431.3</v>
      </c>
      <c r="BA15" s="445">
        <f t="shared" si="15"/>
        <v>2730539.5863999999</v>
      </c>
      <c r="BB15" s="442">
        <v>35</v>
      </c>
      <c r="BC15" s="443">
        <v>63312.685714285712</v>
      </c>
      <c r="BD15" s="444">
        <f t="shared" si="16"/>
        <v>1813085.3808000002</v>
      </c>
      <c r="BE15" s="306">
        <v>35</v>
      </c>
      <c r="BF15" s="306">
        <v>61924.514285714286</v>
      </c>
      <c r="BG15" s="445">
        <f t="shared" si="17"/>
        <v>1773332.3156000001</v>
      </c>
      <c r="BH15" s="442">
        <v>7</v>
      </c>
      <c r="BI15" s="443">
        <v>39799</v>
      </c>
      <c r="BJ15" s="444">
        <f t="shared" si="18"/>
        <v>227944.79260000002</v>
      </c>
      <c r="BK15" s="306">
        <v>6</v>
      </c>
      <c r="BL15" s="306">
        <v>46432.166666666664</v>
      </c>
      <c r="BM15" s="445">
        <f t="shared" si="19"/>
        <v>227944.79260000002</v>
      </c>
      <c r="BN15" s="442">
        <v>11</v>
      </c>
      <c r="BO15" s="443">
        <v>43940.36363636364</v>
      </c>
      <c r="BP15" s="444">
        <f t="shared" si="20"/>
        <v>395472.06080000009</v>
      </c>
      <c r="BQ15" s="306">
        <v>18</v>
      </c>
      <c r="BR15" s="306">
        <v>41458.777777777781</v>
      </c>
      <c r="BS15" s="445">
        <f t="shared" si="21"/>
        <v>610588.29560000007</v>
      </c>
      <c r="BT15" s="442"/>
      <c r="BU15" s="443"/>
      <c r="BV15" s="444">
        <f t="shared" si="22"/>
        <v>0</v>
      </c>
      <c r="BW15" s="450"/>
      <c r="BX15" s="306"/>
      <c r="BY15" s="449">
        <f t="shared" si="23"/>
        <v>0</v>
      </c>
    </row>
    <row r="16" spans="1:77" s="309" customFormat="1">
      <c r="A16" s="303" t="s">
        <v>329</v>
      </c>
      <c r="B16" s="304" t="s">
        <v>625</v>
      </c>
      <c r="C16" s="304"/>
      <c r="D16" s="303">
        <v>102094</v>
      </c>
      <c r="E16" s="305">
        <v>3</v>
      </c>
      <c r="F16" s="437">
        <v>72</v>
      </c>
      <c r="G16" s="438">
        <v>89026.472222222219</v>
      </c>
      <c r="H16" s="439">
        <f t="shared" si="0"/>
        <v>6409906</v>
      </c>
      <c r="I16" s="440">
        <v>72</v>
      </c>
      <c r="J16" s="440">
        <v>88060.416666666672</v>
      </c>
      <c r="K16" s="441">
        <f t="shared" si="1"/>
        <v>6340350</v>
      </c>
      <c r="L16" s="442">
        <v>83</v>
      </c>
      <c r="M16" s="443">
        <v>65767.337349397596</v>
      </c>
      <c r="N16" s="444">
        <f t="shared" si="2"/>
        <v>5458689</v>
      </c>
      <c r="O16" s="306">
        <v>85</v>
      </c>
      <c r="P16" s="306">
        <v>65650.75294117647</v>
      </c>
      <c r="Q16" s="445">
        <f t="shared" si="3"/>
        <v>5580314</v>
      </c>
      <c r="R16" s="442">
        <v>113</v>
      </c>
      <c r="S16" s="443">
        <v>55435.088495575219</v>
      </c>
      <c r="T16" s="444">
        <f t="shared" si="4"/>
        <v>6264165</v>
      </c>
      <c r="U16" s="306">
        <v>106</v>
      </c>
      <c r="V16" s="306">
        <v>55380.547169811318</v>
      </c>
      <c r="W16" s="441">
        <f t="shared" si="5"/>
        <v>5870338</v>
      </c>
      <c r="X16" s="442">
        <v>62</v>
      </c>
      <c r="Y16" s="443">
        <v>43399.887096774197</v>
      </c>
      <c r="Z16" s="444">
        <f t="shared" si="6"/>
        <v>2690793</v>
      </c>
      <c r="AA16" s="306">
        <v>64</v>
      </c>
      <c r="AB16" s="306">
        <v>43305.640625</v>
      </c>
      <c r="AC16" s="445">
        <f t="shared" si="7"/>
        <v>2771561</v>
      </c>
      <c r="AD16" s="442">
        <v>1</v>
      </c>
      <c r="AE16" s="443">
        <v>47881</v>
      </c>
      <c r="AF16" s="444">
        <f t="shared" si="8"/>
        <v>47881</v>
      </c>
      <c r="AG16" s="306">
        <v>1</v>
      </c>
      <c r="AH16" s="306">
        <v>47881</v>
      </c>
      <c r="AI16" s="445">
        <f t="shared" si="9"/>
        <v>47881</v>
      </c>
      <c r="AJ16" s="446"/>
      <c r="AK16" s="443"/>
      <c r="AL16" s="444">
        <f t="shared" si="10"/>
        <v>0</v>
      </c>
      <c r="AM16" s="307"/>
      <c r="AN16" s="307"/>
      <c r="AO16" s="447">
        <f t="shared" si="11"/>
        <v>0</v>
      </c>
      <c r="AP16" s="448">
        <v>48</v>
      </c>
      <c r="AQ16" s="443">
        <v>102477.10416666667</v>
      </c>
      <c r="AR16" s="444">
        <f t="shared" si="12"/>
        <v>4024644.7982000001</v>
      </c>
      <c r="AS16" s="306">
        <v>47</v>
      </c>
      <c r="AT16" s="306">
        <v>100651.82978723405</v>
      </c>
      <c r="AU16" s="441">
        <f t="shared" si="13"/>
        <v>3870606.3752000001</v>
      </c>
      <c r="AV16" s="442">
        <v>28</v>
      </c>
      <c r="AW16" s="443">
        <v>85957.71428571429</v>
      </c>
      <c r="AX16" s="444">
        <f t="shared" si="14"/>
        <v>1969256.8512000002</v>
      </c>
      <c r="AY16" s="306">
        <v>27</v>
      </c>
      <c r="AZ16" s="306">
        <v>84719.037037037036</v>
      </c>
      <c r="BA16" s="445">
        <f t="shared" si="15"/>
        <v>1871562.1348000001</v>
      </c>
      <c r="BB16" s="442">
        <v>45</v>
      </c>
      <c r="BC16" s="443">
        <v>74297.022222222222</v>
      </c>
      <c r="BD16" s="444">
        <f t="shared" si="16"/>
        <v>2735542.0612000003</v>
      </c>
      <c r="BE16" s="306">
        <v>51</v>
      </c>
      <c r="BF16" s="306">
        <v>74455.627450980392</v>
      </c>
      <c r="BG16" s="445">
        <f t="shared" si="17"/>
        <v>3106899.3134000003</v>
      </c>
      <c r="BH16" s="442">
        <v>51</v>
      </c>
      <c r="BI16" s="443">
        <v>62050.549019607846</v>
      </c>
      <c r="BJ16" s="444">
        <f t="shared" si="18"/>
        <v>2589257.7196</v>
      </c>
      <c r="BK16" s="306">
        <v>61</v>
      </c>
      <c r="BL16" s="306">
        <v>61227.360655737706</v>
      </c>
      <c r="BM16" s="445">
        <f t="shared" si="19"/>
        <v>3055869.8158</v>
      </c>
      <c r="BN16" s="442"/>
      <c r="BO16" s="443"/>
      <c r="BP16" s="444">
        <f t="shared" si="20"/>
        <v>0</v>
      </c>
      <c r="BQ16" s="306"/>
      <c r="BR16" s="306"/>
      <c r="BS16" s="445">
        <f t="shared" si="21"/>
        <v>0</v>
      </c>
      <c r="BT16" s="442"/>
      <c r="BU16" s="443"/>
      <c r="BV16" s="444">
        <f t="shared" si="22"/>
        <v>0</v>
      </c>
      <c r="BW16" s="450"/>
      <c r="BX16" s="306"/>
      <c r="BY16" s="449">
        <f t="shared" si="23"/>
        <v>0</v>
      </c>
    </row>
    <row r="17" spans="1:77" s="309" customFormat="1" ht="12.75" customHeight="1">
      <c r="A17" s="303" t="s">
        <v>329</v>
      </c>
      <c r="B17" s="304" t="s">
        <v>626</v>
      </c>
      <c r="C17" s="304"/>
      <c r="D17" s="303">
        <v>100724</v>
      </c>
      <c r="E17" s="305">
        <v>4</v>
      </c>
      <c r="F17" s="437">
        <v>56</v>
      </c>
      <c r="G17" s="438">
        <v>86091.607142857145</v>
      </c>
      <c r="H17" s="439">
        <f t="shared" si="0"/>
        <v>4821130</v>
      </c>
      <c r="I17" s="440">
        <v>59</v>
      </c>
      <c r="J17" s="440">
        <v>87086.03389830509</v>
      </c>
      <c r="K17" s="441">
        <f t="shared" si="1"/>
        <v>5138076</v>
      </c>
      <c r="L17" s="442">
        <v>52</v>
      </c>
      <c r="M17" s="443">
        <v>66893.403846153844</v>
      </c>
      <c r="N17" s="444">
        <f t="shared" si="2"/>
        <v>3478457</v>
      </c>
      <c r="O17" s="306">
        <v>54</v>
      </c>
      <c r="P17" s="306">
        <v>67757.555555555562</v>
      </c>
      <c r="Q17" s="445">
        <f t="shared" si="3"/>
        <v>3658908.0000000005</v>
      </c>
      <c r="R17" s="442">
        <v>63</v>
      </c>
      <c r="S17" s="443">
        <v>55011.444444444445</v>
      </c>
      <c r="T17" s="444">
        <f t="shared" si="4"/>
        <v>3465721</v>
      </c>
      <c r="U17" s="306">
        <v>76</v>
      </c>
      <c r="V17" s="306">
        <v>56013.447368421053</v>
      </c>
      <c r="W17" s="441">
        <f t="shared" si="5"/>
        <v>4257022</v>
      </c>
      <c r="X17" s="442">
        <v>54</v>
      </c>
      <c r="Y17" s="443">
        <v>45054.370370370372</v>
      </c>
      <c r="Z17" s="444">
        <f t="shared" si="6"/>
        <v>2432936</v>
      </c>
      <c r="AA17" s="306">
        <v>53</v>
      </c>
      <c r="AB17" s="306">
        <v>46175.622641509435</v>
      </c>
      <c r="AC17" s="445">
        <f t="shared" si="7"/>
        <v>2447308</v>
      </c>
      <c r="AD17" s="442"/>
      <c r="AE17" s="443">
        <v>0</v>
      </c>
      <c r="AF17" s="444">
        <f t="shared" si="8"/>
        <v>0</v>
      </c>
      <c r="AG17" s="450"/>
      <c r="AH17" s="306"/>
      <c r="AI17" s="445">
        <f t="shared" si="9"/>
        <v>0</v>
      </c>
      <c r="AJ17" s="446"/>
      <c r="AK17" s="443"/>
      <c r="AL17" s="444">
        <f t="shared" si="10"/>
        <v>0</v>
      </c>
      <c r="AM17" s="307"/>
      <c r="AN17" s="307"/>
      <c r="AO17" s="447">
        <f t="shared" si="11"/>
        <v>0</v>
      </c>
      <c r="AP17" s="448">
        <v>2</v>
      </c>
      <c r="AQ17" s="443">
        <v>84629.5</v>
      </c>
      <c r="AR17" s="444">
        <f t="shared" si="12"/>
        <v>138487.7138</v>
      </c>
      <c r="AS17" s="306">
        <v>1</v>
      </c>
      <c r="AT17" s="306">
        <v>76752</v>
      </c>
      <c r="AU17" s="441">
        <f t="shared" si="13"/>
        <v>62798.486400000002</v>
      </c>
      <c r="AV17" s="442">
        <v>3</v>
      </c>
      <c r="AW17" s="443">
        <v>86570.333333333328</v>
      </c>
      <c r="AX17" s="444">
        <f t="shared" si="14"/>
        <v>212495.54020000002</v>
      </c>
      <c r="AY17" s="450">
        <v>2</v>
      </c>
      <c r="AZ17" s="306">
        <v>72855</v>
      </c>
      <c r="BA17" s="445">
        <f t="shared" si="15"/>
        <v>119219.92200000001</v>
      </c>
      <c r="BB17" s="442">
        <v>6</v>
      </c>
      <c r="BC17" s="443">
        <v>62415.833333333336</v>
      </c>
      <c r="BD17" s="444">
        <f t="shared" si="16"/>
        <v>306411.80900000001</v>
      </c>
      <c r="BE17" s="450">
        <v>4</v>
      </c>
      <c r="BF17" s="306">
        <v>67091</v>
      </c>
      <c r="BG17" s="445">
        <f t="shared" si="17"/>
        <v>219575.42480000001</v>
      </c>
      <c r="BH17" s="442">
        <v>5</v>
      </c>
      <c r="BI17" s="443">
        <v>48655.6</v>
      </c>
      <c r="BJ17" s="444">
        <f t="shared" si="18"/>
        <v>199050.05960000001</v>
      </c>
      <c r="BK17" s="450">
        <v>4</v>
      </c>
      <c r="BL17" s="306">
        <v>47257.5</v>
      </c>
      <c r="BM17" s="445">
        <f t="shared" si="19"/>
        <v>154664.34600000002</v>
      </c>
      <c r="BN17" s="442"/>
      <c r="BO17" s="443"/>
      <c r="BP17" s="444">
        <f t="shared" si="20"/>
        <v>0</v>
      </c>
      <c r="BQ17" s="450"/>
      <c r="BR17" s="306"/>
      <c r="BS17" s="445">
        <f t="shared" si="21"/>
        <v>0</v>
      </c>
      <c r="BT17" s="442"/>
      <c r="BU17" s="443"/>
      <c r="BV17" s="444">
        <f t="shared" si="22"/>
        <v>0</v>
      </c>
      <c r="BW17" s="450"/>
      <c r="BX17" s="306"/>
      <c r="BY17" s="449">
        <f t="shared" si="23"/>
        <v>0</v>
      </c>
    </row>
    <row r="18" spans="1:77" s="309" customFormat="1" ht="12.75" customHeight="1">
      <c r="A18" s="303" t="s">
        <v>329</v>
      </c>
      <c r="B18" s="304" t="s">
        <v>627</v>
      </c>
      <c r="C18" s="304"/>
      <c r="D18" s="303">
        <v>100830</v>
      </c>
      <c r="E18" s="305">
        <v>4</v>
      </c>
      <c r="F18" s="437">
        <v>43</v>
      </c>
      <c r="G18" s="438">
        <v>80384.534883720931</v>
      </c>
      <c r="H18" s="439">
        <f t="shared" si="0"/>
        <v>3456535</v>
      </c>
      <c r="I18" s="440">
        <v>37</v>
      </c>
      <c r="J18" s="440">
        <v>81686.810810810814</v>
      </c>
      <c r="K18" s="441">
        <f t="shared" si="1"/>
        <v>3022412</v>
      </c>
      <c r="L18" s="442">
        <v>49</v>
      </c>
      <c r="M18" s="443">
        <v>66288.775510204083</v>
      </c>
      <c r="N18" s="444">
        <f t="shared" si="2"/>
        <v>3248150</v>
      </c>
      <c r="O18" s="306">
        <v>49</v>
      </c>
      <c r="P18" s="306">
        <v>64441.428571428572</v>
      </c>
      <c r="Q18" s="445">
        <f t="shared" si="3"/>
        <v>3157630</v>
      </c>
      <c r="R18" s="442">
        <v>58</v>
      </c>
      <c r="S18" s="443">
        <v>52467.241379310348</v>
      </c>
      <c r="T18" s="444">
        <f t="shared" si="4"/>
        <v>3043100</v>
      </c>
      <c r="U18" s="306">
        <v>52</v>
      </c>
      <c r="V18" s="306">
        <v>52586.153846153844</v>
      </c>
      <c r="W18" s="441">
        <f t="shared" si="5"/>
        <v>2734480</v>
      </c>
      <c r="X18" s="442">
        <v>6</v>
      </c>
      <c r="Y18" s="443">
        <v>41200</v>
      </c>
      <c r="Z18" s="444">
        <f t="shared" si="6"/>
        <v>247200</v>
      </c>
      <c r="AA18" s="306">
        <v>6</v>
      </c>
      <c r="AB18" s="306">
        <v>36500</v>
      </c>
      <c r="AC18" s="445">
        <f t="shared" si="7"/>
        <v>219000</v>
      </c>
      <c r="AD18" s="442"/>
      <c r="AE18" s="443">
        <v>0</v>
      </c>
      <c r="AF18" s="444">
        <f t="shared" si="8"/>
        <v>0</v>
      </c>
      <c r="AG18" s="450"/>
      <c r="AH18" s="306"/>
      <c r="AI18" s="445">
        <f t="shared" si="9"/>
        <v>0</v>
      </c>
      <c r="AJ18" s="446"/>
      <c r="AK18" s="443"/>
      <c r="AL18" s="444">
        <f t="shared" si="10"/>
        <v>0</v>
      </c>
      <c r="AM18" s="307"/>
      <c r="AN18" s="307"/>
      <c r="AO18" s="447">
        <f t="shared" si="11"/>
        <v>0</v>
      </c>
      <c r="AP18" s="448">
        <v>10</v>
      </c>
      <c r="AQ18" s="443">
        <v>93443.199999999997</v>
      </c>
      <c r="AR18" s="444">
        <f t="shared" si="12"/>
        <v>764552.26240000001</v>
      </c>
      <c r="AS18" s="306">
        <v>9</v>
      </c>
      <c r="AT18" s="306">
        <v>89784.777777777781</v>
      </c>
      <c r="AU18" s="441">
        <f t="shared" si="13"/>
        <v>661157.14659999998</v>
      </c>
      <c r="AV18" s="442">
        <v>12</v>
      </c>
      <c r="AW18" s="443">
        <v>88536.166666666672</v>
      </c>
      <c r="AX18" s="444">
        <f t="shared" si="14"/>
        <v>869283.49880000006</v>
      </c>
      <c r="AY18" s="450">
        <v>14</v>
      </c>
      <c r="AZ18" s="306">
        <v>87504.857142857145</v>
      </c>
      <c r="BA18" s="445">
        <f t="shared" si="15"/>
        <v>1002350.6376</v>
      </c>
      <c r="BB18" s="442">
        <v>4</v>
      </c>
      <c r="BC18" s="443">
        <v>61764.5</v>
      </c>
      <c r="BD18" s="444">
        <f t="shared" si="16"/>
        <v>202142.85560000001</v>
      </c>
      <c r="BE18" s="450">
        <v>7</v>
      </c>
      <c r="BF18" s="306">
        <v>64331.714285714283</v>
      </c>
      <c r="BG18" s="445">
        <f t="shared" si="17"/>
        <v>368453.46040000004</v>
      </c>
      <c r="BH18" s="442">
        <v>3</v>
      </c>
      <c r="BI18" s="443">
        <v>58166.666666666664</v>
      </c>
      <c r="BJ18" s="444">
        <f t="shared" si="18"/>
        <v>142775.9</v>
      </c>
      <c r="BK18" s="450">
        <v>4</v>
      </c>
      <c r="BL18" s="306">
        <v>54919</v>
      </c>
      <c r="BM18" s="445">
        <f t="shared" si="19"/>
        <v>179738.9032</v>
      </c>
      <c r="BN18" s="442">
        <v>1</v>
      </c>
      <c r="BO18" s="443">
        <v>146320</v>
      </c>
      <c r="BP18" s="444">
        <f t="shared" si="20"/>
        <v>119719.024</v>
      </c>
      <c r="BQ18" s="450">
        <v>2</v>
      </c>
      <c r="BR18" s="306">
        <v>90660</v>
      </c>
      <c r="BS18" s="445">
        <f t="shared" si="21"/>
        <v>148356.024</v>
      </c>
      <c r="BT18" s="442"/>
      <c r="BU18" s="443"/>
      <c r="BV18" s="444">
        <f t="shared" si="22"/>
        <v>0</v>
      </c>
      <c r="BW18" s="450"/>
      <c r="BX18" s="451"/>
      <c r="BY18" s="449">
        <f t="shared" si="23"/>
        <v>0</v>
      </c>
    </row>
    <row r="19" spans="1:77" s="309" customFormat="1" ht="12.75" customHeight="1">
      <c r="A19" s="303" t="s">
        <v>329</v>
      </c>
      <c r="B19" s="304" t="s">
        <v>628</v>
      </c>
      <c r="C19" s="304"/>
      <c r="D19" s="303">
        <v>101879</v>
      </c>
      <c r="E19" s="305">
        <v>4</v>
      </c>
      <c r="F19" s="437">
        <v>70</v>
      </c>
      <c r="G19" s="438">
        <v>76198.042857142864</v>
      </c>
      <c r="H19" s="439">
        <f t="shared" si="0"/>
        <v>5333863</v>
      </c>
      <c r="I19" s="440">
        <v>74</v>
      </c>
      <c r="J19" s="440">
        <v>76153.689189189186</v>
      </c>
      <c r="K19" s="441">
        <f t="shared" si="1"/>
        <v>5635373</v>
      </c>
      <c r="L19" s="442">
        <v>51</v>
      </c>
      <c r="M19" s="443">
        <v>64685.705882352944</v>
      </c>
      <c r="N19" s="444">
        <f t="shared" si="2"/>
        <v>3298971</v>
      </c>
      <c r="O19" s="306">
        <v>52</v>
      </c>
      <c r="P19" s="306">
        <v>65875.153846153844</v>
      </c>
      <c r="Q19" s="445">
        <f t="shared" si="3"/>
        <v>3425508</v>
      </c>
      <c r="R19" s="442">
        <v>76</v>
      </c>
      <c r="S19" s="443">
        <v>54703.684210526313</v>
      </c>
      <c r="T19" s="444">
        <f t="shared" si="4"/>
        <v>4157480</v>
      </c>
      <c r="U19" s="306">
        <v>79</v>
      </c>
      <c r="V19" s="306">
        <v>54918.810126582277</v>
      </c>
      <c r="W19" s="441">
        <f t="shared" si="5"/>
        <v>4338586</v>
      </c>
      <c r="X19" s="442">
        <v>29</v>
      </c>
      <c r="Y19" s="443">
        <v>47880.65517241379</v>
      </c>
      <c r="Z19" s="444">
        <f t="shared" si="6"/>
        <v>1388539</v>
      </c>
      <c r="AA19" s="306">
        <v>24</v>
      </c>
      <c r="AB19" s="306">
        <v>47679.458333333336</v>
      </c>
      <c r="AC19" s="445">
        <f t="shared" si="7"/>
        <v>1144307</v>
      </c>
      <c r="AD19" s="442"/>
      <c r="AE19" s="443">
        <v>0</v>
      </c>
      <c r="AF19" s="444">
        <f t="shared" si="8"/>
        <v>0</v>
      </c>
      <c r="AG19" s="450"/>
      <c r="AH19" s="306"/>
      <c r="AI19" s="445">
        <f t="shared" si="9"/>
        <v>0</v>
      </c>
      <c r="AJ19" s="446"/>
      <c r="AK19" s="443"/>
      <c r="AL19" s="444">
        <f t="shared" si="10"/>
        <v>0</v>
      </c>
      <c r="AM19" s="307"/>
      <c r="AN19" s="307"/>
      <c r="AO19" s="447">
        <f t="shared" si="11"/>
        <v>0</v>
      </c>
      <c r="AP19" s="448">
        <v>5</v>
      </c>
      <c r="AQ19" s="443">
        <v>90974.6</v>
      </c>
      <c r="AR19" s="444">
        <f t="shared" si="12"/>
        <v>372177.08860000002</v>
      </c>
      <c r="AS19" s="306">
        <v>5</v>
      </c>
      <c r="AT19" s="306">
        <v>90974.6</v>
      </c>
      <c r="AU19" s="441">
        <f t="shared" si="13"/>
        <v>372177.08860000002</v>
      </c>
      <c r="AV19" s="442">
        <v>1</v>
      </c>
      <c r="AW19" s="443">
        <v>42258</v>
      </c>
      <c r="AX19" s="444">
        <f t="shared" si="14"/>
        <v>34575.495600000002</v>
      </c>
      <c r="AY19" s="450"/>
      <c r="AZ19" s="306"/>
      <c r="BA19" s="445">
        <f t="shared" si="15"/>
        <v>0</v>
      </c>
      <c r="BB19" s="442">
        <v>4</v>
      </c>
      <c r="BC19" s="443">
        <v>64207.25</v>
      </c>
      <c r="BD19" s="444">
        <f t="shared" si="16"/>
        <v>210137.4878</v>
      </c>
      <c r="BE19" s="450">
        <v>4</v>
      </c>
      <c r="BF19" s="306">
        <v>65743.75</v>
      </c>
      <c r="BG19" s="445">
        <f t="shared" si="17"/>
        <v>215166.14500000002</v>
      </c>
      <c r="BH19" s="442"/>
      <c r="BI19" s="443"/>
      <c r="BJ19" s="444">
        <f t="shared" si="18"/>
        <v>0</v>
      </c>
      <c r="BK19" s="450"/>
      <c r="BL19" s="306"/>
      <c r="BM19" s="445">
        <f t="shared" si="19"/>
        <v>0</v>
      </c>
      <c r="BN19" s="442"/>
      <c r="BO19" s="443"/>
      <c r="BP19" s="444">
        <f t="shared" si="20"/>
        <v>0</v>
      </c>
      <c r="BQ19" s="450"/>
      <c r="BR19" s="306"/>
      <c r="BS19" s="445">
        <f t="shared" si="21"/>
        <v>0</v>
      </c>
      <c r="BT19" s="442"/>
      <c r="BU19" s="443"/>
      <c r="BV19" s="444">
        <f t="shared" si="22"/>
        <v>0</v>
      </c>
      <c r="BW19" s="450"/>
      <c r="BX19" s="306"/>
      <c r="BY19" s="449">
        <f t="shared" si="23"/>
        <v>0</v>
      </c>
    </row>
    <row r="20" spans="1:77" s="309" customFormat="1" ht="12.75" customHeight="1">
      <c r="A20" s="303" t="s">
        <v>329</v>
      </c>
      <c r="B20" s="304" t="s">
        <v>629</v>
      </c>
      <c r="C20" s="304"/>
      <c r="D20" s="303">
        <v>101709</v>
      </c>
      <c r="E20" s="305">
        <v>5</v>
      </c>
      <c r="F20" s="437">
        <v>32</v>
      </c>
      <c r="G20" s="438">
        <v>77150.78125</v>
      </c>
      <c r="H20" s="439">
        <f t="shared" si="0"/>
        <v>2468825</v>
      </c>
      <c r="I20" s="440">
        <v>34</v>
      </c>
      <c r="J20" s="440">
        <v>75971.470588235301</v>
      </c>
      <c r="K20" s="441">
        <f t="shared" si="1"/>
        <v>2583030</v>
      </c>
      <c r="L20" s="442">
        <v>44</v>
      </c>
      <c r="M20" s="443">
        <v>60265.954545454544</v>
      </c>
      <c r="N20" s="444">
        <f t="shared" si="2"/>
        <v>2651702</v>
      </c>
      <c r="O20" s="306">
        <v>42</v>
      </c>
      <c r="P20" s="306">
        <v>61071.761904761908</v>
      </c>
      <c r="Q20" s="445">
        <f t="shared" si="3"/>
        <v>2565014</v>
      </c>
      <c r="R20" s="442">
        <v>53</v>
      </c>
      <c r="S20" s="443">
        <v>50026.377358490565</v>
      </c>
      <c r="T20" s="444">
        <f t="shared" si="4"/>
        <v>2651398</v>
      </c>
      <c r="U20" s="306">
        <v>52</v>
      </c>
      <c r="V20" s="306">
        <v>49170.538461538461</v>
      </c>
      <c r="W20" s="441">
        <f t="shared" si="5"/>
        <v>2556868</v>
      </c>
      <c r="X20" s="442">
        <v>8</v>
      </c>
      <c r="Y20" s="443">
        <v>41535</v>
      </c>
      <c r="Z20" s="444">
        <f t="shared" si="6"/>
        <v>332280</v>
      </c>
      <c r="AA20" s="306">
        <v>3</v>
      </c>
      <c r="AB20" s="306">
        <v>42909</v>
      </c>
      <c r="AC20" s="445">
        <f t="shared" si="7"/>
        <v>128727</v>
      </c>
      <c r="AD20" s="442"/>
      <c r="AE20" s="443">
        <v>0</v>
      </c>
      <c r="AF20" s="444">
        <f t="shared" si="8"/>
        <v>0</v>
      </c>
      <c r="AG20" s="450"/>
      <c r="AH20" s="306"/>
      <c r="AI20" s="445">
        <f t="shared" si="9"/>
        <v>0</v>
      </c>
      <c r="AJ20" s="446"/>
      <c r="AK20" s="443"/>
      <c r="AL20" s="444">
        <f t="shared" si="10"/>
        <v>0</v>
      </c>
      <c r="AM20" s="307"/>
      <c r="AN20" s="307"/>
      <c r="AO20" s="447">
        <f t="shared" si="11"/>
        <v>0</v>
      </c>
      <c r="AP20" s="448"/>
      <c r="AQ20" s="443"/>
      <c r="AR20" s="444">
        <f t="shared" si="12"/>
        <v>0</v>
      </c>
      <c r="AS20" s="306"/>
      <c r="AT20" s="306"/>
      <c r="AU20" s="441">
        <f t="shared" si="13"/>
        <v>0</v>
      </c>
      <c r="AV20" s="442"/>
      <c r="AW20" s="443"/>
      <c r="AX20" s="444">
        <f t="shared" si="14"/>
        <v>0</v>
      </c>
      <c r="AY20" s="450"/>
      <c r="AZ20" s="306"/>
      <c r="BA20" s="445">
        <f t="shared" si="15"/>
        <v>0</v>
      </c>
      <c r="BB20" s="442"/>
      <c r="BC20" s="443"/>
      <c r="BD20" s="444">
        <f t="shared" si="16"/>
        <v>0</v>
      </c>
      <c r="BE20" s="450"/>
      <c r="BF20" s="306"/>
      <c r="BG20" s="445">
        <f t="shared" si="17"/>
        <v>0</v>
      </c>
      <c r="BH20" s="442"/>
      <c r="BI20" s="443"/>
      <c r="BJ20" s="444">
        <f t="shared" si="18"/>
        <v>0</v>
      </c>
      <c r="BK20" s="450"/>
      <c r="BL20" s="306"/>
      <c r="BM20" s="445">
        <f t="shared" si="19"/>
        <v>0</v>
      </c>
      <c r="BN20" s="442"/>
      <c r="BO20" s="443"/>
      <c r="BP20" s="444">
        <f t="shared" si="20"/>
        <v>0</v>
      </c>
      <c r="BQ20" s="450"/>
      <c r="BR20" s="306"/>
      <c r="BS20" s="445">
        <f t="shared" si="21"/>
        <v>0</v>
      </c>
      <c r="BT20" s="442"/>
      <c r="BU20" s="443"/>
      <c r="BV20" s="444">
        <f t="shared" si="22"/>
        <v>0</v>
      </c>
      <c r="BW20" s="450"/>
      <c r="BX20" s="306"/>
      <c r="BY20" s="449">
        <f t="shared" si="23"/>
        <v>0</v>
      </c>
    </row>
    <row r="21" spans="1:77" s="309" customFormat="1" ht="12.75" customHeight="1">
      <c r="A21" s="303" t="s">
        <v>329</v>
      </c>
      <c r="B21" s="304" t="s">
        <v>630</v>
      </c>
      <c r="C21" s="304"/>
      <c r="D21" s="303">
        <v>101587</v>
      </c>
      <c r="E21" s="305">
        <v>5</v>
      </c>
      <c r="F21" s="437">
        <v>16</v>
      </c>
      <c r="G21" s="438">
        <v>68899.625</v>
      </c>
      <c r="H21" s="439">
        <f t="shared" si="0"/>
        <v>1102394</v>
      </c>
      <c r="I21" s="440">
        <v>27</v>
      </c>
      <c r="J21" s="440">
        <v>61491.296296296299</v>
      </c>
      <c r="K21" s="441">
        <f t="shared" si="1"/>
        <v>1660265</v>
      </c>
      <c r="L21" s="442">
        <v>21</v>
      </c>
      <c r="M21" s="443">
        <v>62229.571428571428</v>
      </c>
      <c r="N21" s="444">
        <f t="shared" si="2"/>
        <v>1306821</v>
      </c>
      <c r="O21" s="306">
        <v>24</v>
      </c>
      <c r="P21" s="306">
        <v>62906.333333333336</v>
      </c>
      <c r="Q21" s="445">
        <f t="shared" si="3"/>
        <v>1509752</v>
      </c>
      <c r="R21" s="442">
        <v>58</v>
      </c>
      <c r="S21" s="443">
        <v>49069.879310344826</v>
      </c>
      <c r="T21" s="444">
        <f t="shared" si="4"/>
        <v>2846053</v>
      </c>
      <c r="U21" s="306">
        <v>45</v>
      </c>
      <c r="V21" s="306">
        <v>49731.244444444441</v>
      </c>
      <c r="W21" s="441">
        <f t="shared" si="5"/>
        <v>2237906</v>
      </c>
      <c r="X21" s="442">
        <v>13</v>
      </c>
      <c r="Y21" s="443">
        <v>43952</v>
      </c>
      <c r="Z21" s="444">
        <f t="shared" si="6"/>
        <v>571376</v>
      </c>
      <c r="AA21" s="306">
        <v>9</v>
      </c>
      <c r="AB21" s="306">
        <v>41163.777777777781</v>
      </c>
      <c r="AC21" s="445">
        <f t="shared" si="7"/>
        <v>370474</v>
      </c>
      <c r="AD21" s="442">
        <v>4</v>
      </c>
      <c r="AE21" s="443">
        <v>33114</v>
      </c>
      <c r="AF21" s="444">
        <f t="shared" si="8"/>
        <v>132456</v>
      </c>
      <c r="AG21" s="306">
        <v>5</v>
      </c>
      <c r="AH21" s="306">
        <v>31210.400000000001</v>
      </c>
      <c r="AI21" s="445">
        <f t="shared" si="9"/>
        <v>156052</v>
      </c>
      <c r="AJ21" s="446"/>
      <c r="AK21" s="443"/>
      <c r="AL21" s="444">
        <f t="shared" si="10"/>
        <v>0</v>
      </c>
      <c r="AM21" s="307"/>
      <c r="AN21" s="307"/>
      <c r="AO21" s="447">
        <f t="shared" si="11"/>
        <v>0</v>
      </c>
      <c r="AP21" s="448"/>
      <c r="AQ21" s="443"/>
      <c r="AR21" s="444">
        <f t="shared" si="12"/>
        <v>0</v>
      </c>
      <c r="AS21" s="452"/>
      <c r="AT21" s="306"/>
      <c r="AU21" s="441">
        <f t="shared" si="13"/>
        <v>0</v>
      </c>
      <c r="AV21" s="442"/>
      <c r="AW21" s="443"/>
      <c r="AX21" s="444">
        <f t="shared" si="14"/>
        <v>0</v>
      </c>
      <c r="AY21" s="306"/>
      <c r="AZ21" s="306"/>
      <c r="BA21" s="445">
        <f t="shared" si="15"/>
        <v>0</v>
      </c>
      <c r="BB21" s="442"/>
      <c r="BC21" s="443"/>
      <c r="BD21" s="444">
        <f t="shared" si="16"/>
        <v>0</v>
      </c>
      <c r="BE21" s="306"/>
      <c r="BF21" s="306"/>
      <c r="BG21" s="445">
        <f t="shared" si="17"/>
        <v>0</v>
      </c>
      <c r="BH21" s="442"/>
      <c r="BI21" s="443"/>
      <c r="BJ21" s="444">
        <f t="shared" si="18"/>
        <v>0</v>
      </c>
      <c r="BK21" s="306"/>
      <c r="BL21" s="306"/>
      <c r="BM21" s="445">
        <f t="shared" si="19"/>
        <v>0</v>
      </c>
      <c r="BN21" s="442">
        <v>3</v>
      </c>
      <c r="BO21" s="443">
        <v>27244</v>
      </c>
      <c r="BP21" s="444">
        <f t="shared" si="20"/>
        <v>66873.122400000007</v>
      </c>
      <c r="BQ21" s="306">
        <v>3</v>
      </c>
      <c r="BR21" s="306">
        <v>31000</v>
      </c>
      <c r="BS21" s="445">
        <f t="shared" si="21"/>
        <v>76092.600000000006</v>
      </c>
      <c r="BT21" s="442"/>
      <c r="BU21" s="443"/>
      <c r="BV21" s="444">
        <f t="shared" si="22"/>
        <v>0</v>
      </c>
      <c r="BW21" s="451"/>
      <c r="BX21" s="451"/>
      <c r="BY21" s="449">
        <f t="shared" si="23"/>
        <v>0</v>
      </c>
    </row>
    <row r="22" spans="1:77" s="309" customFormat="1" ht="12.75" customHeight="1">
      <c r="A22" s="303" t="s">
        <v>329</v>
      </c>
      <c r="B22" s="310" t="s">
        <v>631</v>
      </c>
      <c r="C22" s="310"/>
      <c r="D22" s="303">
        <v>100812</v>
      </c>
      <c r="E22" s="305">
        <v>6</v>
      </c>
      <c r="F22" s="437">
        <v>17</v>
      </c>
      <c r="G22" s="438">
        <v>83712</v>
      </c>
      <c r="H22" s="439">
        <f t="shared" si="0"/>
        <v>1423104</v>
      </c>
      <c r="I22" s="440">
        <v>17</v>
      </c>
      <c r="J22" s="440">
        <v>84287</v>
      </c>
      <c r="K22" s="441">
        <f t="shared" si="1"/>
        <v>1432879</v>
      </c>
      <c r="L22" s="442">
        <v>15</v>
      </c>
      <c r="M22" s="443">
        <v>73009.2</v>
      </c>
      <c r="N22" s="444">
        <f t="shared" si="2"/>
        <v>1095138</v>
      </c>
      <c r="O22" s="306">
        <v>16</v>
      </c>
      <c r="P22" s="306">
        <v>70319.5</v>
      </c>
      <c r="Q22" s="445">
        <f t="shared" si="3"/>
        <v>1125112</v>
      </c>
      <c r="R22" s="442">
        <v>33</v>
      </c>
      <c r="S22" s="443">
        <v>59760.818181818184</v>
      </c>
      <c r="T22" s="444">
        <f t="shared" si="4"/>
        <v>1972107</v>
      </c>
      <c r="U22" s="306">
        <v>39</v>
      </c>
      <c r="V22" s="306">
        <v>60620.256410256414</v>
      </c>
      <c r="W22" s="441">
        <f t="shared" si="5"/>
        <v>2364190</v>
      </c>
      <c r="X22" s="442">
        <v>2</v>
      </c>
      <c r="Y22" s="443">
        <v>54976</v>
      </c>
      <c r="Z22" s="444">
        <f t="shared" si="6"/>
        <v>109952</v>
      </c>
      <c r="AA22" s="306">
        <v>2</v>
      </c>
      <c r="AB22" s="306">
        <v>63018</v>
      </c>
      <c r="AC22" s="445">
        <f t="shared" si="7"/>
        <v>126036</v>
      </c>
      <c r="AD22" s="442"/>
      <c r="AE22" s="443"/>
      <c r="AF22" s="444">
        <f t="shared" si="8"/>
        <v>0</v>
      </c>
      <c r="AG22" s="306"/>
      <c r="AH22" s="306"/>
      <c r="AI22" s="445">
        <f t="shared" si="9"/>
        <v>0</v>
      </c>
      <c r="AJ22" s="446"/>
      <c r="AK22" s="443"/>
      <c r="AL22" s="444">
        <f t="shared" si="10"/>
        <v>0</v>
      </c>
      <c r="AM22" s="307"/>
      <c r="AN22" s="307"/>
      <c r="AO22" s="447">
        <f t="shared" si="11"/>
        <v>0</v>
      </c>
      <c r="AP22" s="448">
        <v>4</v>
      </c>
      <c r="AQ22" s="443">
        <v>84782.25</v>
      </c>
      <c r="AR22" s="444">
        <f t="shared" si="12"/>
        <v>277475.34779999999</v>
      </c>
      <c r="AS22" s="452">
        <v>4</v>
      </c>
      <c r="AT22" s="306">
        <v>104502.25</v>
      </c>
      <c r="AU22" s="441">
        <f t="shared" si="13"/>
        <v>342014.96380000003</v>
      </c>
      <c r="AV22" s="442">
        <v>5</v>
      </c>
      <c r="AW22" s="443">
        <v>93267.8</v>
      </c>
      <c r="AX22" s="444">
        <f t="shared" si="14"/>
        <v>381558.5698</v>
      </c>
      <c r="AY22" s="306">
        <v>4</v>
      </c>
      <c r="AZ22" s="306">
        <v>91814</v>
      </c>
      <c r="BA22" s="445">
        <f t="shared" si="15"/>
        <v>300488.85920000001</v>
      </c>
      <c r="BB22" s="442">
        <v>5</v>
      </c>
      <c r="BC22" s="443">
        <v>81826.8</v>
      </c>
      <c r="BD22" s="444">
        <f t="shared" si="16"/>
        <v>334753.4388</v>
      </c>
      <c r="BE22" s="306">
        <v>3</v>
      </c>
      <c r="BF22" s="306">
        <v>82174</v>
      </c>
      <c r="BG22" s="445">
        <f t="shared" si="17"/>
        <v>201704.30040000001</v>
      </c>
      <c r="BH22" s="442">
        <v>1</v>
      </c>
      <c r="BI22" s="443">
        <v>22000</v>
      </c>
      <c r="BJ22" s="444">
        <f t="shared" si="18"/>
        <v>18000.400000000001</v>
      </c>
      <c r="BK22" s="306">
        <v>1</v>
      </c>
      <c r="BL22" s="306">
        <v>22000</v>
      </c>
      <c r="BM22" s="445">
        <f t="shared" si="19"/>
        <v>18000.400000000001</v>
      </c>
      <c r="BN22" s="442"/>
      <c r="BO22" s="443"/>
      <c r="BP22" s="444">
        <f t="shared" si="20"/>
        <v>0</v>
      </c>
      <c r="BQ22" s="306"/>
      <c r="BR22" s="306"/>
      <c r="BS22" s="445">
        <f t="shared" si="21"/>
        <v>0</v>
      </c>
      <c r="BT22" s="442"/>
      <c r="BU22" s="443"/>
      <c r="BV22" s="444">
        <f t="shared" si="22"/>
        <v>0</v>
      </c>
      <c r="BW22" s="306"/>
      <c r="BX22" s="306"/>
      <c r="BY22" s="449">
        <f t="shared" si="23"/>
        <v>0</v>
      </c>
    </row>
    <row r="23" spans="1:77" s="309" customFormat="1" ht="12.75" customHeight="1">
      <c r="A23" s="303" t="s">
        <v>329</v>
      </c>
      <c r="B23" s="304" t="s">
        <v>632</v>
      </c>
      <c r="C23" s="304"/>
      <c r="D23" s="303">
        <v>101505</v>
      </c>
      <c r="E23" s="305">
        <v>8</v>
      </c>
      <c r="F23" s="453"/>
      <c r="G23" s="454"/>
      <c r="H23" s="439">
        <f t="shared" si="0"/>
        <v>0</v>
      </c>
      <c r="I23" s="440"/>
      <c r="J23" s="311"/>
      <c r="K23" s="441">
        <f t="shared" si="1"/>
        <v>0</v>
      </c>
      <c r="L23" s="442"/>
      <c r="M23" s="443"/>
      <c r="N23" s="444">
        <f t="shared" si="2"/>
        <v>0</v>
      </c>
      <c r="O23" s="307"/>
      <c r="P23" s="307"/>
      <c r="Q23" s="445">
        <f t="shared" si="3"/>
        <v>0</v>
      </c>
      <c r="R23" s="442"/>
      <c r="S23" s="443"/>
      <c r="T23" s="444">
        <f t="shared" si="4"/>
        <v>0</v>
      </c>
      <c r="U23" s="306"/>
      <c r="V23" s="306"/>
      <c r="W23" s="441">
        <f t="shared" si="5"/>
        <v>0</v>
      </c>
      <c r="X23" s="442"/>
      <c r="Y23" s="443"/>
      <c r="Z23" s="444">
        <f t="shared" si="6"/>
        <v>0</v>
      </c>
      <c r="AA23" s="307"/>
      <c r="AB23" s="307"/>
      <c r="AC23" s="445">
        <f t="shared" si="7"/>
        <v>0</v>
      </c>
      <c r="AD23" s="442"/>
      <c r="AE23" s="443"/>
      <c r="AF23" s="444">
        <f t="shared" si="8"/>
        <v>0</v>
      </c>
      <c r="AG23" s="307"/>
      <c r="AH23" s="307"/>
      <c r="AI23" s="445">
        <f t="shared" si="9"/>
        <v>0</v>
      </c>
      <c r="AJ23" s="446">
        <v>128</v>
      </c>
      <c r="AK23" s="443">
        <v>53127.234375</v>
      </c>
      <c r="AL23" s="444">
        <f t="shared" si="10"/>
        <v>6800286</v>
      </c>
      <c r="AM23" s="306">
        <v>120</v>
      </c>
      <c r="AN23" s="306">
        <v>53171.566666666666</v>
      </c>
      <c r="AO23" s="447">
        <f t="shared" si="11"/>
        <v>6380588</v>
      </c>
      <c r="AP23" s="448"/>
      <c r="AQ23" s="443"/>
      <c r="AR23" s="444">
        <f t="shared" si="12"/>
        <v>0</v>
      </c>
      <c r="AS23" s="307"/>
      <c r="AT23" s="307"/>
      <c r="AU23" s="441">
        <f t="shared" si="13"/>
        <v>0</v>
      </c>
      <c r="AV23" s="442"/>
      <c r="AW23" s="443"/>
      <c r="AX23" s="444">
        <f t="shared" si="14"/>
        <v>0</v>
      </c>
      <c r="AY23" s="307"/>
      <c r="AZ23" s="307"/>
      <c r="BA23" s="445">
        <f t="shared" si="15"/>
        <v>0</v>
      </c>
      <c r="BB23" s="442"/>
      <c r="BC23" s="443"/>
      <c r="BD23" s="444">
        <f t="shared" si="16"/>
        <v>0</v>
      </c>
      <c r="BE23" s="307"/>
      <c r="BF23" s="307"/>
      <c r="BG23" s="445">
        <f t="shared" si="17"/>
        <v>0</v>
      </c>
      <c r="BH23" s="442"/>
      <c r="BI23" s="443"/>
      <c r="BJ23" s="444">
        <f t="shared" si="18"/>
        <v>0</v>
      </c>
      <c r="BK23" s="307"/>
      <c r="BL23" s="307"/>
      <c r="BM23" s="445">
        <f t="shared" si="19"/>
        <v>0</v>
      </c>
      <c r="BN23" s="442"/>
      <c r="BO23" s="443"/>
      <c r="BP23" s="444">
        <f t="shared" si="20"/>
        <v>0</v>
      </c>
      <c r="BQ23" s="307"/>
      <c r="BR23" s="307"/>
      <c r="BS23" s="445">
        <f t="shared" si="21"/>
        <v>0</v>
      </c>
      <c r="BT23" s="442">
        <v>26</v>
      </c>
      <c r="BU23" s="443">
        <v>67560.11538461539</v>
      </c>
      <c r="BV23" s="444">
        <f t="shared" si="22"/>
        <v>1437219.8466000003</v>
      </c>
      <c r="BW23" s="307">
        <v>16</v>
      </c>
      <c r="BX23" s="307">
        <v>60408.4375</v>
      </c>
      <c r="BY23" s="449">
        <f t="shared" si="23"/>
        <v>790818.93700000003</v>
      </c>
    </row>
    <row r="24" spans="1:77" s="309" customFormat="1" ht="12.75" customHeight="1">
      <c r="A24" s="303" t="s">
        <v>329</v>
      </c>
      <c r="B24" s="304" t="s">
        <v>633</v>
      </c>
      <c r="C24" s="304"/>
      <c r="D24" s="303">
        <v>101514</v>
      </c>
      <c r="E24" s="305">
        <v>8</v>
      </c>
      <c r="F24" s="453"/>
      <c r="G24" s="454"/>
      <c r="H24" s="439">
        <f t="shared" si="0"/>
        <v>0</v>
      </c>
      <c r="I24" s="440"/>
      <c r="J24" s="311"/>
      <c r="K24" s="441">
        <f t="shared" si="1"/>
        <v>0</v>
      </c>
      <c r="L24" s="442"/>
      <c r="M24" s="443"/>
      <c r="N24" s="444">
        <f t="shared" si="2"/>
        <v>0</v>
      </c>
      <c r="O24" s="307"/>
      <c r="P24" s="307"/>
      <c r="Q24" s="445">
        <f t="shared" si="3"/>
        <v>0</v>
      </c>
      <c r="R24" s="442"/>
      <c r="S24" s="443"/>
      <c r="T24" s="444">
        <f t="shared" si="4"/>
        <v>0</v>
      </c>
      <c r="U24" s="306"/>
      <c r="V24" s="306"/>
      <c r="W24" s="441">
        <f t="shared" si="5"/>
        <v>0</v>
      </c>
      <c r="X24" s="442"/>
      <c r="Y24" s="443"/>
      <c r="Z24" s="444">
        <f t="shared" si="6"/>
        <v>0</v>
      </c>
      <c r="AA24" s="307"/>
      <c r="AB24" s="307"/>
      <c r="AC24" s="445">
        <f t="shared" si="7"/>
        <v>0</v>
      </c>
      <c r="AD24" s="442"/>
      <c r="AE24" s="443"/>
      <c r="AF24" s="444">
        <f t="shared" si="8"/>
        <v>0</v>
      </c>
      <c r="AG24" s="307"/>
      <c r="AH24" s="307"/>
      <c r="AI24" s="445">
        <f t="shared" si="9"/>
        <v>0</v>
      </c>
      <c r="AJ24" s="446">
        <v>141</v>
      </c>
      <c r="AK24" s="443">
        <v>54329.163120567377</v>
      </c>
      <c r="AL24" s="444">
        <f t="shared" si="10"/>
        <v>7660412</v>
      </c>
      <c r="AM24" s="306">
        <v>145</v>
      </c>
      <c r="AN24" s="306">
        <v>54137.331034482755</v>
      </c>
      <c r="AO24" s="447">
        <f t="shared" si="11"/>
        <v>7849912.9999999991</v>
      </c>
      <c r="AP24" s="448"/>
      <c r="AQ24" s="443"/>
      <c r="AR24" s="444">
        <f t="shared" si="12"/>
        <v>0</v>
      </c>
      <c r="AS24" s="307"/>
      <c r="AT24" s="307"/>
      <c r="AU24" s="441">
        <f t="shared" si="13"/>
        <v>0</v>
      </c>
      <c r="AV24" s="442"/>
      <c r="AW24" s="443"/>
      <c r="AX24" s="444">
        <f t="shared" si="14"/>
        <v>0</v>
      </c>
      <c r="AY24" s="307"/>
      <c r="AZ24" s="307"/>
      <c r="BA24" s="445">
        <f t="shared" si="15"/>
        <v>0</v>
      </c>
      <c r="BB24" s="442"/>
      <c r="BC24" s="443"/>
      <c r="BD24" s="444">
        <f t="shared" si="16"/>
        <v>0</v>
      </c>
      <c r="BE24" s="307"/>
      <c r="BF24" s="307"/>
      <c r="BG24" s="445">
        <f t="shared" si="17"/>
        <v>0</v>
      </c>
      <c r="BH24" s="442"/>
      <c r="BI24" s="443"/>
      <c r="BJ24" s="444">
        <f t="shared" si="18"/>
        <v>0</v>
      </c>
      <c r="BK24" s="307"/>
      <c r="BL24" s="307"/>
      <c r="BM24" s="445">
        <f t="shared" si="19"/>
        <v>0</v>
      </c>
      <c r="BN24" s="442"/>
      <c r="BO24" s="443"/>
      <c r="BP24" s="444">
        <f t="shared" si="20"/>
        <v>0</v>
      </c>
      <c r="BQ24" s="307"/>
      <c r="BR24" s="307"/>
      <c r="BS24" s="445">
        <f t="shared" si="21"/>
        <v>0</v>
      </c>
      <c r="BT24" s="442"/>
      <c r="BU24" s="443">
        <v>0</v>
      </c>
      <c r="BV24" s="444">
        <f t="shared" si="22"/>
        <v>0</v>
      </c>
      <c r="BW24" s="307"/>
      <c r="BX24" s="307"/>
      <c r="BY24" s="449">
        <f t="shared" si="23"/>
        <v>0</v>
      </c>
    </row>
    <row r="25" spans="1:77" s="309" customFormat="1" ht="12.75" customHeight="1">
      <c r="A25" s="303" t="s">
        <v>329</v>
      </c>
      <c r="B25" s="304" t="s">
        <v>634</v>
      </c>
      <c r="C25" s="304"/>
      <c r="D25" s="303">
        <v>102429</v>
      </c>
      <c r="E25" s="305">
        <v>9</v>
      </c>
      <c r="F25" s="453"/>
      <c r="G25" s="454"/>
      <c r="H25" s="439">
        <f t="shared" si="0"/>
        <v>0</v>
      </c>
      <c r="I25" s="440"/>
      <c r="J25" s="311"/>
      <c r="K25" s="441">
        <f t="shared" si="1"/>
        <v>0</v>
      </c>
      <c r="L25" s="442"/>
      <c r="M25" s="443"/>
      <c r="N25" s="444">
        <f t="shared" si="2"/>
        <v>0</v>
      </c>
      <c r="O25" s="307"/>
      <c r="P25" s="307"/>
      <c r="Q25" s="445">
        <f t="shared" si="3"/>
        <v>0</v>
      </c>
      <c r="R25" s="442"/>
      <c r="S25" s="443"/>
      <c r="T25" s="444">
        <f t="shared" si="4"/>
        <v>0</v>
      </c>
      <c r="U25" s="306"/>
      <c r="V25" s="306"/>
      <c r="W25" s="441">
        <f t="shared" si="5"/>
        <v>0</v>
      </c>
      <c r="X25" s="442"/>
      <c r="Y25" s="443"/>
      <c r="Z25" s="444">
        <f t="shared" si="6"/>
        <v>0</v>
      </c>
      <c r="AA25" s="307"/>
      <c r="AB25" s="307"/>
      <c r="AC25" s="445">
        <f t="shared" si="7"/>
        <v>0</v>
      </c>
      <c r="AD25" s="442"/>
      <c r="AE25" s="443"/>
      <c r="AF25" s="444">
        <f t="shared" si="8"/>
        <v>0</v>
      </c>
      <c r="AG25" s="307"/>
      <c r="AH25" s="307"/>
      <c r="AI25" s="445">
        <f t="shared" si="9"/>
        <v>0</v>
      </c>
      <c r="AJ25" s="446">
        <v>112</v>
      </c>
      <c r="AK25" s="443">
        <v>56419.955357142855</v>
      </c>
      <c r="AL25" s="444">
        <f t="shared" si="10"/>
        <v>6319035</v>
      </c>
      <c r="AM25" s="306">
        <v>114</v>
      </c>
      <c r="AN25" s="306">
        <v>56041.26315789474</v>
      </c>
      <c r="AO25" s="447">
        <f t="shared" si="11"/>
        <v>6388704</v>
      </c>
      <c r="AP25" s="448"/>
      <c r="AQ25" s="443"/>
      <c r="AR25" s="444">
        <f t="shared" si="12"/>
        <v>0</v>
      </c>
      <c r="AS25" s="307"/>
      <c r="AT25" s="307"/>
      <c r="AU25" s="441">
        <f t="shared" si="13"/>
        <v>0</v>
      </c>
      <c r="AV25" s="442"/>
      <c r="AW25" s="443"/>
      <c r="AX25" s="444">
        <f t="shared" si="14"/>
        <v>0</v>
      </c>
      <c r="AY25" s="307"/>
      <c r="AZ25" s="307"/>
      <c r="BA25" s="445">
        <f t="shared" si="15"/>
        <v>0</v>
      </c>
      <c r="BB25" s="442"/>
      <c r="BC25" s="443"/>
      <c r="BD25" s="444">
        <f t="shared" si="16"/>
        <v>0</v>
      </c>
      <c r="BE25" s="307"/>
      <c r="BF25" s="307"/>
      <c r="BG25" s="445">
        <f t="shared" si="17"/>
        <v>0</v>
      </c>
      <c r="BH25" s="442"/>
      <c r="BI25" s="443"/>
      <c r="BJ25" s="444">
        <f t="shared" si="18"/>
        <v>0</v>
      </c>
      <c r="BK25" s="307"/>
      <c r="BL25" s="307"/>
      <c r="BM25" s="445">
        <f t="shared" si="19"/>
        <v>0</v>
      </c>
      <c r="BN25" s="442"/>
      <c r="BO25" s="443"/>
      <c r="BP25" s="444">
        <f t="shared" si="20"/>
        <v>0</v>
      </c>
      <c r="BQ25" s="307"/>
      <c r="BR25" s="307"/>
      <c r="BS25" s="445">
        <f t="shared" si="21"/>
        <v>0</v>
      </c>
      <c r="BT25" s="442"/>
      <c r="BU25" s="443">
        <v>0</v>
      </c>
      <c r="BV25" s="444">
        <f t="shared" si="22"/>
        <v>0</v>
      </c>
      <c r="BW25" s="307">
        <v>5</v>
      </c>
      <c r="BX25" s="307">
        <v>23447.599999999999</v>
      </c>
      <c r="BY25" s="449">
        <f t="shared" si="23"/>
        <v>95924.131600000008</v>
      </c>
    </row>
    <row r="26" spans="1:77" s="309" customFormat="1" ht="12.75" customHeight="1">
      <c r="A26" s="303" t="s">
        <v>329</v>
      </c>
      <c r="B26" s="312" t="s">
        <v>635</v>
      </c>
      <c r="C26" s="312"/>
      <c r="D26" s="303">
        <v>102030</v>
      </c>
      <c r="E26" s="305">
        <v>9</v>
      </c>
      <c r="F26" s="453"/>
      <c r="G26" s="454"/>
      <c r="H26" s="439">
        <f t="shared" si="0"/>
        <v>0</v>
      </c>
      <c r="I26" s="440"/>
      <c r="J26" s="311"/>
      <c r="K26" s="441">
        <f t="shared" si="1"/>
        <v>0</v>
      </c>
      <c r="L26" s="442"/>
      <c r="M26" s="443"/>
      <c r="N26" s="444">
        <f t="shared" si="2"/>
        <v>0</v>
      </c>
      <c r="O26" s="307"/>
      <c r="P26" s="307"/>
      <c r="Q26" s="445">
        <f t="shared" si="3"/>
        <v>0</v>
      </c>
      <c r="R26" s="442"/>
      <c r="S26" s="443"/>
      <c r="T26" s="444">
        <f t="shared" si="4"/>
        <v>0</v>
      </c>
      <c r="U26" s="306"/>
      <c r="V26" s="306"/>
      <c r="W26" s="441">
        <f t="shared" si="5"/>
        <v>0</v>
      </c>
      <c r="X26" s="442"/>
      <c r="Y26" s="443"/>
      <c r="Z26" s="444">
        <f t="shared" si="6"/>
        <v>0</v>
      </c>
      <c r="AA26" s="307"/>
      <c r="AB26" s="307"/>
      <c r="AC26" s="445">
        <f t="shared" si="7"/>
        <v>0</v>
      </c>
      <c r="AD26" s="442"/>
      <c r="AE26" s="443"/>
      <c r="AF26" s="444">
        <f t="shared" si="8"/>
        <v>0</v>
      </c>
      <c r="AG26" s="307"/>
      <c r="AH26" s="307"/>
      <c r="AI26" s="445">
        <f t="shared" si="9"/>
        <v>0</v>
      </c>
      <c r="AJ26" s="446">
        <v>88</v>
      </c>
      <c r="AK26" s="443">
        <v>53671.318181818184</v>
      </c>
      <c r="AL26" s="444">
        <f t="shared" si="10"/>
        <v>4723076</v>
      </c>
      <c r="AM26" s="306">
        <v>82</v>
      </c>
      <c r="AN26" s="306">
        <v>55248.341463414632</v>
      </c>
      <c r="AO26" s="447">
        <f t="shared" si="11"/>
        <v>4530364</v>
      </c>
      <c r="AP26" s="448"/>
      <c r="AQ26" s="443"/>
      <c r="AR26" s="444">
        <f t="shared" si="12"/>
        <v>0</v>
      </c>
      <c r="AS26" s="307"/>
      <c r="AT26" s="307"/>
      <c r="AU26" s="441">
        <f t="shared" si="13"/>
        <v>0</v>
      </c>
      <c r="AV26" s="442"/>
      <c r="AW26" s="443"/>
      <c r="AX26" s="444">
        <f t="shared" si="14"/>
        <v>0</v>
      </c>
      <c r="AY26" s="307"/>
      <c r="AZ26" s="307"/>
      <c r="BA26" s="445">
        <f t="shared" si="15"/>
        <v>0</v>
      </c>
      <c r="BB26" s="442"/>
      <c r="BC26" s="443"/>
      <c r="BD26" s="444">
        <f t="shared" si="16"/>
        <v>0</v>
      </c>
      <c r="BE26" s="307"/>
      <c r="BF26" s="307"/>
      <c r="BG26" s="445">
        <f t="shared" si="17"/>
        <v>0</v>
      </c>
      <c r="BH26" s="442"/>
      <c r="BI26" s="443"/>
      <c r="BJ26" s="444">
        <f t="shared" si="18"/>
        <v>0</v>
      </c>
      <c r="BK26" s="307"/>
      <c r="BL26" s="307"/>
      <c r="BM26" s="445">
        <f t="shared" si="19"/>
        <v>0</v>
      </c>
      <c r="BN26" s="442"/>
      <c r="BO26" s="443"/>
      <c r="BP26" s="444">
        <f t="shared" si="20"/>
        <v>0</v>
      </c>
      <c r="BQ26" s="307"/>
      <c r="BR26" s="307"/>
      <c r="BS26" s="445">
        <f t="shared" si="21"/>
        <v>0</v>
      </c>
      <c r="BT26" s="442">
        <v>10</v>
      </c>
      <c r="BU26" s="443">
        <v>48545.2</v>
      </c>
      <c r="BV26" s="444">
        <f t="shared" si="22"/>
        <v>397196.82640000002</v>
      </c>
      <c r="BW26" s="307">
        <v>9</v>
      </c>
      <c r="BX26" s="307">
        <v>51090.888888888891</v>
      </c>
      <c r="BY26" s="449">
        <f t="shared" si="23"/>
        <v>376223.08760000003</v>
      </c>
    </row>
    <row r="27" spans="1:77" s="309" customFormat="1" ht="12.75" customHeight="1">
      <c r="A27" s="303" t="s">
        <v>329</v>
      </c>
      <c r="B27" s="304" t="s">
        <v>636</v>
      </c>
      <c r="C27" s="485" t="s">
        <v>1065</v>
      </c>
      <c r="D27" s="303">
        <v>101240</v>
      </c>
      <c r="E27" s="305">
        <v>9</v>
      </c>
      <c r="F27" s="453"/>
      <c r="G27" s="454"/>
      <c r="H27" s="439">
        <f t="shared" si="0"/>
        <v>0</v>
      </c>
      <c r="I27" s="440"/>
      <c r="J27" s="311"/>
      <c r="K27" s="441">
        <f t="shared" si="1"/>
        <v>0</v>
      </c>
      <c r="L27" s="442"/>
      <c r="M27" s="443"/>
      <c r="N27" s="444">
        <f t="shared" si="2"/>
        <v>0</v>
      </c>
      <c r="O27" s="307"/>
      <c r="P27" s="307"/>
      <c r="Q27" s="445">
        <f t="shared" si="3"/>
        <v>0</v>
      </c>
      <c r="R27" s="442"/>
      <c r="S27" s="443"/>
      <c r="T27" s="444">
        <f t="shared" si="4"/>
        <v>0</v>
      </c>
      <c r="U27" s="306"/>
      <c r="V27" s="306"/>
      <c r="W27" s="441">
        <f t="shared" si="5"/>
        <v>0</v>
      </c>
      <c r="X27" s="442"/>
      <c r="Y27" s="443"/>
      <c r="Z27" s="444">
        <f t="shared" si="6"/>
        <v>0</v>
      </c>
      <c r="AA27" s="307"/>
      <c r="AB27" s="307"/>
      <c r="AC27" s="445">
        <f t="shared" si="7"/>
        <v>0</v>
      </c>
      <c r="AD27" s="442"/>
      <c r="AE27" s="443"/>
      <c r="AF27" s="444">
        <f t="shared" si="8"/>
        <v>0</v>
      </c>
      <c r="AG27" s="307"/>
      <c r="AH27" s="307"/>
      <c r="AI27" s="445">
        <f t="shared" si="9"/>
        <v>0</v>
      </c>
      <c r="AJ27" s="446">
        <v>153</v>
      </c>
      <c r="AK27" s="443">
        <v>53377.503267973858</v>
      </c>
      <c r="AL27" s="444">
        <f t="shared" si="10"/>
        <v>8166758</v>
      </c>
      <c r="AM27" s="306">
        <v>152</v>
      </c>
      <c r="AN27" s="306">
        <v>53533.230263157893</v>
      </c>
      <c r="AO27" s="447">
        <f t="shared" si="11"/>
        <v>8137051</v>
      </c>
      <c r="AP27" s="448"/>
      <c r="AQ27" s="443"/>
      <c r="AR27" s="444">
        <f t="shared" si="12"/>
        <v>0</v>
      </c>
      <c r="AS27" s="307"/>
      <c r="AT27" s="307"/>
      <c r="AU27" s="441">
        <f t="shared" si="13"/>
        <v>0</v>
      </c>
      <c r="AV27" s="442"/>
      <c r="AW27" s="443"/>
      <c r="AX27" s="444">
        <f t="shared" si="14"/>
        <v>0</v>
      </c>
      <c r="AY27" s="307"/>
      <c r="AZ27" s="307"/>
      <c r="BA27" s="445">
        <f t="shared" si="15"/>
        <v>0</v>
      </c>
      <c r="BB27" s="442"/>
      <c r="BC27" s="443"/>
      <c r="BD27" s="444">
        <f t="shared" si="16"/>
        <v>0</v>
      </c>
      <c r="BE27" s="307"/>
      <c r="BF27" s="307"/>
      <c r="BG27" s="445">
        <f t="shared" si="17"/>
        <v>0</v>
      </c>
      <c r="BH27" s="442"/>
      <c r="BI27" s="443"/>
      <c r="BJ27" s="444">
        <f t="shared" si="18"/>
        <v>0</v>
      </c>
      <c r="BK27" s="307"/>
      <c r="BL27" s="307"/>
      <c r="BM27" s="445">
        <f t="shared" si="19"/>
        <v>0</v>
      </c>
      <c r="BN27" s="442"/>
      <c r="BO27" s="443"/>
      <c r="BP27" s="444">
        <f t="shared" si="20"/>
        <v>0</v>
      </c>
      <c r="BQ27" s="307"/>
      <c r="BR27" s="307"/>
      <c r="BS27" s="445">
        <f t="shared" si="21"/>
        <v>0</v>
      </c>
      <c r="BT27" s="442"/>
      <c r="BU27" s="443">
        <v>0</v>
      </c>
      <c r="BV27" s="444">
        <f t="shared" si="22"/>
        <v>0</v>
      </c>
      <c r="BW27" s="307">
        <v>1</v>
      </c>
      <c r="BX27" s="307">
        <v>90487</v>
      </c>
      <c r="BY27" s="449">
        <f t="shared" si="23"/>
        <v>74036.463400000008</v>
      </c>
    </row>
    <row r="28" spans="1:77" s="309" customFormat="1" ht="12.75" customHeight="1">
      <c r="A28" s="303" t="s">
        <v>329</v>
      </c>
      <c r="B28" s="304" t="s">
        <v>680</v>
      </c>
      <c r="C28" s="304"/>
      <c r="D28" s="303">
        <v>101286</v>
      </c>
      <c r="E28" s="305">
        <v>9</v>
      </c>
      <c r="F28" s="453"/>
      <c r="G28" s="454"/>
      <c r="H28" s="439">
        <f t="shared" si="0"/>
        <v>0</v>
      </c>
      <c r="I28" s="440"/>
      <c r="J28" s="311"/>
      <c r="K28" s="441">
        <f t="shared" si="1"/>
        <v>0</v>
      </c>
      <c r="L28" s="442"/>
      <c r="M28" s="443"/>
      <c r="N28" s="444">
        <f t="shared" si="2"/>
        <v>0</v>
      </c>
      <c r="O28" s="307"/>
      <c r="P28" s="307"/>
      <c r="Q28" s="445">
        <f t="shared" si="3"/>
        <v>0</v>
      </c>
      <c r="R28" s="442"/>
      <c r="S28" s="443"/>
      <c r="T28" s="444">
        <f t="shared" si="4"/>
        <v>0</v>
      </c>
      <c r="U28" s="306"/>
      <c r="V28" s="306"/>
      <c r="W28" s="441">
        <f t="shared" si="5"/>
        <v>0</v>
      </c>
      <c r="X28" s="442"/>
      <c r="Y28" s="443"/>
      <c r="Z28" s="444">
        <f t="shared" si="6"/>
        <v>0</v>
      </c>
      <c r="AA28" s="307"/>
      <c r="AB28" s="307"/>
      <c r="AC28" s="445">
        <f t="shared" si="7"/>
        <v>0</v>
      </c>
      <c r="AD28" s="442"/>
      <c r="AE28" s="443"/>
      <c r="AF28" s="444">
        <f t="shared" si="8"/>
        <v>0</v>
      </c>
      <c r="AG28" s="307"/>
      <c r="AH28" s="307"/>
      <c r="AI28" s="445">
        <f t="shared" si="9"/>
        <v>0</v>
      </c>
      <c r="AJ28" s="446">
        <v>127</v>
      </c>
      <c r="AK28" s="443">
        <v>51055.330708661415</v>
      </c>
      <c r="AL28" s="444">
        <f t="shared" si="10"/>
        <v>6484027</v>
      </c>
      <c r="AM28" s="306">
        <v>124</v>
      </c>
      <c r="AN28" s="306">
        <v>50961.645161290326</v>
      </c>
      <c r="AO28" s="447">
        <f t="shared" si="11"/>
        <v>6319244</v>
      </c>
      <c r="AP28" s="448"/>
      <c r="AQ28" s="443"/>
      <c r="AR28" s="444">
        <f t="shared" si="12"/>
        <v>0</v>
      </c>
      <c r="AS28" s="307"/>
      <c r="AT28" s="307"/>
      <c r="AU28" s="441">
        <f t="shared" si="13"/>
        <v>0</v>
      </c>
      <c r="AV28" s="442"/>
      <c r="AW28" s="443"/>
      <c r="AX28" s="444">
        <f t="shared" si="14"/>
        <v>0</v>
      </c>
      <c r="AY28" s="307"/>
      <c r="AZ28" s="307"/>
      <c r="BA28" s="445">
        <f t="shared" si="15"/>
        <v>0</v>
      </c>
      <c r="BB28" s="442"/>
      <c r="BC28" s="443"/>
      <c r="BD28" s="444">
        <f t="shared" si="16"/>
        <v>0</v>
      </c>
      <c r="BE28" s="307"/>
      <c r="BF28" s="307"/>
      <c r="BG28" s="445">
        <f t="shared" si="17"/>
        <v>0</v>
      </c>
      <c r="BH28" s="442"/>
      <c r="BI28" s="443"/>
      <c r="BJ28" s="444">
        <f t="shared" si="18"/>
        <v>0</v>
      </c>
      <c r="BK28" s="307"/>
      <c r="BL28" s="307"/>
      <c r="BM28" s="445">
        <f t="shared" si="19"/>
        <v>0</v>
      </c>
      <c r="BN28" s="442"/>
      <c r="BO28" s="443"/>
      <c r="BP28" s="444">
        <f t="shared" si="20"/>
        <v>0</v>
      </c>
      <c r="BQ28" s="307"/>
      <c r="BR28" s="307"/>
      <c r="BS28" s="445">
        <f t="shared" si="21"/>
        <v>0</v>
      </c>
      <c r="BT28" s="442">
        <v>2</v>
      </c>
      <c r="BU28" s="443">
        <v>61925.5</v>
      </c>
      <c r="BV28" s="444">
        <f t="shared" si="22"/>
        <v>101334.8882</v>
      </c>
      <c r="BW28" s="307">
        <v>3</v>
      </c>
      <c r="BX28" s="307">
        <v>71805</v>
      </c>
      <c r="BY28" s="449">
        <f t="shared" si="23"/>
        <v>176252.55300000001</v>
      </c>
    </row>
    <row r="29" spans="1:77" s="309" customFormat="1" ht="12.75" customHeight="1">
      <c r="A29" s="303" t="s">
        <v>329</v>
      </c>
      <c r="B29" s="304" t="s">
        <v>637</v>
      </c>
      <c r="C29" s="304"/>
      <c r="D29" s="303">
        <v>101161</v>
      </c>
      <c r="E29" s="305">
        <v>9</v>
      </c>
      <c r="F29" s="453"/>
      <c r="G29" s="454"/>
      <c r="H29" s="439">
        <f t="shared" si="0"/>
        <v>0</v>
      </c>
      <c r="I29" s="440"/>
      <c r="J29" s="311"/>
      <c r="K29" s="441">
        <f t="shared" si="1"/>
        <v>0</v>
      </c>
      <c r="L29" s="442"/>
      <c r="M29" s="443"/>
      <c r="N29" s="444">
        <f t="shared" si="2"/>
        <v>0</v>
      </c>
      <c r="O29" s="307"/>
      <c r="P29" s="307"/>
      <c r="Q29" s="445">
        <f t="shared" si="3"/>
        <v>0</v>
      </c>
      <c r="R29" s="442"/>
      <c r="S29" s="443"/>
      <c r="T29" s="444">
        <f t="shared" si="4"/>
        <v>0</v>
      </c>
      <c r="U29" s="306"/>
      <c r="V29" s="306"/>
      <c r="W29" s="441">
        <f t="shared" si="5"/>
        <v>0</v>
      </c>
      <c r="X29" s="442"/>
      <c r="Y29" s="443"/>
      <c r="Z29" s="444">
        <f t="shared" si="6"/>
        <v>0</v>
      </c>
      <c r="AA29" s="307"/>
      <c r="AB29" s="307"/>
      <c r="AC29" s="445">
        <f t="shared" si="7"/>
        <v>0</v>
      </c>
      <c r="AD29" s="442"/>
      <c r="AE29" s="443"/>
      <c r="AF29" s="444">
        <f t="shared" si="8"/>
        <v>0</v>
      </c>
      <c r="AG29" s="307"/>
      <c r="AH29" s="307"/>
      <c r="AI29" s="445">
        <f t="shared" si="9"/>
        <v>0</v>
      </c>
      <c r="AJ29" s="446">
        <v>57</v>
      </c>
      <c r="AK29" s="443">
        <v>54693.315789473687</v>
      </c>
      <c r="AL29" s="444">
        <f t="shared" si="10"/>
        <v>3117519</v>
      </c>
      <c r="AM29" s="306">
        <v>61</v>
      </c>
      <c r="AN29" s="306">
        <v>53318.229508196724</v>
      </c>
      <c r="AO29" s="447">
        <f t="shared" si="11"/>
        <v>3252412</v>
      </c>
      <c r="AP29" s="448"/>
      <c r="AQ29" s="443"/>
      <c r="AR29" s="444">
        <f t="shared" si="12"/>
        <v>0</v>
      </c>
      <c r="AS29" s="307"/>
      <c r="AT29" s="307"/>
      <c r="AU29" s="441">
        <f t="shared" si="13"/>
        <v>0</v>
      </c>
      <c r="AV29" s="442"/>
      <c r="AW29" s="443"/>
      <c r="AX29" s="444">
        <f t="shared" si="14"/>
        <v>0</v>
      </c>
      <c r="AY29" s="307"/>
      <c r="AZ29" s="307"/>
      <c r="BA29" s="445">
        <f t="shared" si="15"/>
        <v>0</v>
      </c>
      <c r="BB29" s="442"/>
      <c r="BC29" s="443"/>
      <c r="BD29" s="444">
        <f t="shared" si="16"/>
        <v>0</v>
      </c>
      <c r="BE29" s="307"/>
      <c r="BF29" s="307"/>
      <c r="BG29" s="445">
        <f t="shared" si="17"/>
        <v>0</v>
      </c>
      <c r="BH29" s="442"/>
      <c r="BI29" s="443"/>
      <c r="BJ29" s="444">
        <f t="shared" si="18"/>
        <v>0</v>
      </c>
      <c r="BK29" s="307"/>
      <c r="BL29" s="307"/>
      <c r="BM29" s="445">
        <f t="shared" si="19"/>
        <v>0</v>
      </c>
      <c r="BN29" s="442"/>
      <c r="BO29" s="443"/>
      <c r="BP29" s="444">
        <f t="shared" si="20"/>
        <v>0</v>
      </c>
      <c r="BQ29" s="307"/>
      <c r="BR29" s="307"/>
      <c r="BS29" s="445">
        <f t="shared" si="21"/>
        <v>0</v>
      </c>
      <c r="BT29" s="442">
        <v>10</v>
      </c>
      <c r="BU29" s="443">
        <v>78271.399999999994</v>
      </c>
      <c r="BV29" s="444">
        <f t="shared" si="22"/>
        <v>640416.59480000008</v>
      </c>
      <c r="BW29" s="307">
        <v>10</v>
      </c>
      <c r="BX29" s="307">
        <v>79222.3</v>
      </c>
      <c r="BY29" s="449">
        <f t="shared" si="23"/>
        <v>648196.85860000004</v>
      </c>
    </row>
    <row r="30" spans="1:77" s="309" customFormat="1" ht="12.75" customHeight="1">
      <c r="A30" s="303" t="s">
        <v>329</v>
      </c>
      <c r="B30" s="304" t="s">
        <v>638</v>
      </c>
      <c r="C30" s="304"/>
      <c r="D30" s="303">
        <v>101569</v>
      </c>
      <c r="E30" s="305">
        <v>9</v>
      </c>
      <c r="F30" s="453"/>
      <c r="G30" s="454"/>
      <c r="H30" s="439">
        <f t="shared" si="0"/>
        <v>0</v>
      </c>
      <c r="I30" s="440"/>
      <c r="J30" s="311"/>
      <c r="K30" s="441">
        <f t="shared" si="1"/>
        <v>0</v>
      </c>
      <c r="L30" s="442"/>
      <c r="M30" s="443"/>
      <c r="N30" s="444">
        <f t="shared" si="2"/>
        <v>0</v>
      </c>
      <c r="O30" s="307"/>
      <c r="P30" s="307"/>
      <c r="Q30" s="445">
        <f t="shared" si="3"/>
        <v>0</v>
      </c>
      <c r="R30" s="442"/>
      <c r="S30" s="443"/>
      <c r="T30" s="444">
        <f t="shared" si="4"/>
        <v>0</v>
      </c>
      <c r="U30" s="306"/>
      <c r="V30" s="306"/>
      <c r="W30" s="441">
        <f t="shared" si="5"/>
        <v>0</v>
      </c>
      <c r="X30" s="442"/>
      <c r="Y30" s="443"/>
      <c r="Z30" s="444">
        <f t="shared" si="6"/>
        <v>0</v>
      </c>
      <c r="AA30" s="307"/>
      <c r="AB30" s="307"/>
      <c r="AC30" s="445">
        <f t="shared" si="7"/>
        <v>0</v>
      </c>
      <c r="AD30" s="442"/>
      <c r="AE30" s="443"/>
      <c r="AF30" s="444">
        <f t="shared" si="8"/>
        <v>0</v>
      </c>
      <c r="AG30" s="307"/>
      <c r="AH30" s="307"/>
      <c r="AI30" s="445">
        <f t="shared" si="9"/>
        <v>0</v>
      </c>
      <c r="AJ30" s="446">
        <v>94</v>
      </c>
      <c r="AK30" s="443">
        <v>53429.180851063829</v>
      </c>
      <c r="AL30" s="444">
        <f t="shared" si="10"/>
        <v>5022343</v>
      </c>
      <c r="AM30" s="306">
        <v>95</v>
      </c>
      <c r="AN30" s="306">
        <v>53957.715789473681</v>
      </c>
      <c r="AO30" s="447">
        <f t="shared" si="11"/>
        <v>5125983</v>
      </c>
      <c r="AP30" s="448"/>
      <c r="AQ30" s="443"/>
      <c r="AR30" s="444">
        <f t="shared" si="12"/>
        <v>0</v>
      </c>
      <c r="AS30" s="307"/>
      <c r="AT30" s="307"/>
      <c r="AU30" s="441">
        <f t="shared" si="13"/>
        <v>0</v>
      </c>
      <c r="AV30" s="442"/>
      <c r="AW30" s="443"/>
      <c r="AX30" s="444">
        <f t="shared" si="14"/>
        <v>0</v>
      </c>
      <c r="AY30" s="307"/>
      <c r="AZ30" s="307"/>
      <c r="BA30" s="445">
        <f t="shared" si="15"/>
        <v>0</v>
      </c>
      <c r="BB30" s="442"/>
      <c r="BC30" s="443"/>
      <c r="BD30" s="444">
        <f t="shared" si="16"/>
        <v>0</v>
      </c>
      <c r="BE30" s="307"/>
      <c r="BF30" s="307"/>
      <c r="BG30" s="445">
        <f t="shared" si="17"/>
        <v>0</v>
      </c>
      <c r="BH30" s="442"/>
      <c r="BI30" s="443"/>
      <c r="BJ30" s="444">
        <f t="shared" si="18"/>
        <v>0</v>
      </c>
      <c r="BK30" s="307"/>
      <c r="BL30" s="307"/>
      <c r="BM30" s="445">
        <f t="shared" si="19"/>
        <v>0</v>
      </c>
      <c r="BN30" s="442"/>
      <c r="BO30" s="443"/>
      <c r="BP30" s="444">
        <f t="shared" si="20"/>
        <v>0</v>
      </c>
      <c r="BQ30" s="307"/>
      <c r="BR30" s="307"/>
      <c r="BS30" s="445">
        <f t="shared" si="21"/>
        <v>0</v>
      </c>
      <c r="BT30" s="442"/>
      <c r="BU30" s="443">
        <v>0</v>
      </c>
      <c r="BV30" s="444">
        <f t="shared" si="22"/>
        <v>0</v>
      </c>
      <c r="BW30" s="307"/>
      <c r="BX30" s="307"/>
      <c r="BY30" s="449">
        <f t="shared" si="23"/>
        <v>0</v>
      </c>
    </row>
    <row r="31" spans="1:77" s="309" customFormat="1" ht="12.75" customHeight="1">
      <c r="A31" s="303" t="s">
        <v>329</v>
      </c>
      <c r="B31" s="486" t="s">
        <v>649</v>
      </c>
      <c r="C31" s="487" t="s">
        <v>1066</v>
      </c>
      <c r="D31" s="303">
        <v>101897</v>
      </c>
      <c r="E31" s="488">
        <v>9</v>
      </c>
      <c r="F31" s="453"/>
      <c r="G31" s="454"/>
      <c r="H31" s="439">
        <f t="shared" si="0"/>
        <v>0</v>
      </c>
      <c r="I31" s="311"/>
      <c r="J31" s="311"/>
      <c r="K31" s="441">
        <f t="shared" si="1"/>
        <v>0</v>
      </c>
      <c r="L31" s="442"/>
      <c r="M31" s="443"/>
      <c r="N31" s="444">
        <f t="shared" si="2"/>
        <v>0</v>
      </c>
      <c r="O31" s="307"/>
      <c r="P31" s="307"/>
      <c r="Q31" s="445">
        <f t="shared" si="3"/>
        <v>0</v>
      </c>
      <c r="R31" s="442"/>
      <c r="S31" s="443"/>
      <c r="T31" s="444">
        <f t="shared" si="4"/>
        <v>0</v>
      </c>
      <c r="U31" s="306"/>
      <c r="V31" s="306"/>
      <c r="W31" s="441">
        <f t="shared" si="5"/>
        <v>0</v>
      </c>
      <c r="X31" s="442"/>
      <c r="Y31" s="443"/>
      <c r="Z31" s="444">
        <f t="shared" si="6"/>
        <v>0</v>
      </c>
      <c r="AA31" s="307"/>
      <c r="AB31" s="307"/>
      <c r="AC31" s="445">
        <f t="shared" si="7"/>
        <v>0</v>
      </c>
      <c r="AD31" s="442"/>
      <c r="AE31" s="443"/>
      <c r="AF31" s="444">
        <f t="shared" si="8"/>
        <v>0</v>
      </c>
      <c r="AG31" s="307"/>
      <c r="AH31" s="307"/>
      <c r="AI31" s="445">
        <f t="shared" si="9"/>
        <v>0</v>
      </c>
      <c r="AJ31" s="446">
        <v>43</v>
      </c>
      <c r="AK31" s="443">
        <v>56037.255813953489</v>
      </c>
      <c r="AL31" s="444">
        <f t="shared" si="10"/>
        <v>2409602</v>
      </c>
      <c r="AM31" s="306">
        <v>39</v>
      </c>
      <c r="AN31" s="306">
        <v>55499.230769230766</v>
      </c>
      <c r="AO31" s="447">
        <f t="shared" si="11"/>
        <v>2164470</v>
      </c>
      <c r="AP31" s="448"/>
      <c r="AQ31" s="443"/>
      <c r="AR31" s="444">
        <f t="shared" si="12"/>
        <v>0</v>
      </c>
      <c r="AS31" s="307"/>
      <c r="AT31" s="307"/>
      <c r="AU31" s="441">
        <f t="shared" si="13"/>
        <v>0</v>
      </c>
      <c r="AV31" s="442"/>
      <c r="AW31" s="443"/>
      <c r="AX31" s="444">
        <f t="shared" si="14"/>
        <v>0</v>
      </c>
      <c r="AY31" s="307"/>
      <c r="AZ31" s="307"/>
      <c r="BA31" s="445">
        <f t="shared" si="15"/>
        <v>0</v>
      </c>
      <c r="BB31" s="442"/>
      <c r="BC31" s="443"/>
      <c r="BD31" s="444">
        <f t="shared" si="16"/>
        <v>0</v>
      </c>
      <c r="BE31" s="307"/>
      <c r="BF31" s="307"/>
      <c r="BG31" s="445">
        <f t="shared" si="17"/>
        <v>0</v>
      </c>
      <c r="BH31" s="442"/>
      <c r="BI31" s="443"/>
      <c r="BJ31" s="444">
        <f t="shared" si="18"/>
        <v>0</v>
      </c>
      <c r="BK31" s="307"/>
      <c r="BL31" s="307"/>
      <c r="BM31" s="445">
        <f t="shared" si="19"/>
        <v>0</v>
      </c>
      <c r="BN31" s="442"/>
      <c r="BO31" s="443"/>
      <c r="BP31" s="444">
        <f t="shared" si="20"/>
        <v>0</v>
      </c>
      <c r="BQ31" s="307"/>
      <c r="BR31" s="307"/>
      <c r="BS31" s="445">
        <f t="shared" si="21"/>
        <v>0</v>
      </c>
      <c r="BT31" s="442">
        <v>6</v>
      </c>
      <c r="BU31" s="443">
        <v>84808</v>
      </c>
      <c r="BV31" s="444">
        <f t="shared" si="22"/>
        <v>416339.43360000005</v>
      </c>
      <c r="BW31" s="307">
        <v>12</v>
      </c>
      <c r="BX31" s="307">
        <v>70001.333333333328</v>
      </c>
      <c r="BY31" s="449">
        <f t="shared" si="23"/>
        <v>687301.09120000002</v>
      </c>
    </row>
    <row r="32" spans="1:77" s="309" customFormat="1" ht="12.75" customHeight="1">
      <c r="A32" s="303" t="s">
        <v>329</v>
      </c>
      <c r="B32" s="304" t="s">
        <v>639</v>
      </c>
      <c r="C32" s="304"/>
      <c r="D32" s="303">
        <v>101736</v>
      </c>
      <c r="E32" s="305">
        <v>9</v>
      </c>
      <c r="F32" s="453"/>
      <c r="G32" s="454"/>
      <c r="H32" s="439">
        <f t="shared" si="0"/>
        <v>0</v>
      </c>
      <c r="I32" s="311"/>
      <c r="J32" s="311"/>
      <c r="K32" s="441">
        <f t="shared" si="1"/>
        <v>0</v>
      </c>
      <c r="L32" s="442"/>
      <c r="M32" s="443"/>
      <c r="N32" s="444">
        <f t="shared" si="2"/>
        <v>0</v>
      </c>
      <c r="O32" s="307"/>
      <c r="P32" s="307"/>
      <c r="Q32" s="445">
        <f t="shared" si="3"/>
        <v>0</v>
      </c>
      <c r="R32" s="442"/>
      <c r="S32" s="443"/>
      <c r="T32" s="444">
        <f t="shared" si="4"/>
        <v>0</v>
      </c>
      <c r="U32" s="306"/>
      <c r="V32" s="306"/>
      <c r="W32" s="441">
        <f t="shared" si="5"/>
        <v>0</v>
      </c>
      <c r="X32" s="442"/>
      <c r="Y32" s="443"/>
      <c r="Z32" s="444">
        <f t="shared" si="6"/>
        <v>0</v>
      </c>
      <c r="AA32" s="307"/>
      <c r="AB32" s="307"/>
      <c r="AC32" s="445">
        <f t="shared" si="7"/>
        <v>0</v>
      </c>
      <c r="AD32" s="442"/>
      <c r="AE32" s="443"/>
      <c r="AF32" s="444">
        <f t="shared" si="8"/>
        <v>0</v>
      </c>
      <c r="AG32" s="307"/>
      <c r="AH32" s="307"/>
      <c r="AI32" s="445">
        <f t="shared" si="9"/>
        <v>0</v>
      </c>
      <c r="AJ32" s="446">
        <v>81</v>
      </c>
      <c r="AK32" s="443">
        <v>54130.358024691355</v>
      </c>
      <c r="AL32" s="444">
        <f t="shared" si="10"/>
        <v>4384559</v>
      </c>
      <c r="AM32" s="306">
        <v>81</v>
      </c>
      <c r="AN32" s="306">
        <v>54319.444444444445</v>
      </c>
      <c r="AO32" s="447">
        <f t="shared" si="11"/>
        <v>4399875</v>
      </c>
      <c r="AP32" s="448"/>
      <c r="AQ32" s="443"/>
      <c r="AR32" s="444">
        <f t="shared" si="12"/>
        <v>0</v>
      </c>
      <c r="AS32" s="307"/>
      <c r="AT32" s="307"/>
      <c r="AU32" s="441">
        <f t="shared" si="13"/>
        <v>0</v>
      </c>
      <c r="AV32" s="442"/>
      <c r="AW32" s="443"/>
      <c r="AX32" s="444">
        <f t="shared" si="14"/>
        <v>0</v>
      </c>
      <c r="AY32" s="307"/>
      <c r="AZ32" s="307"/>
      <c r="BA32" s="445">
        <f t="shared" si="15"/>
        <v>0</v>
      </c>
      <c r="BB32" s="442"/>
      <c r="BC32" s="443"/>
      <c r="BD32" s="444">
        <f t="shared" si="16"/>
        <v>0</v>
      </c>
      <c r="BE32" s="307"/>
      <c r="BF32" s="307"/>
      <c r="BG32" s="445">
        <f t="shared" si="17"/>
        <v>0</v>
      </c>
      <c r="BH32" s="442"/>
      <c r="BI32" s="443"/>
      <c r="BJ32" s="444">
        <f t="shared" si="18"/>
        <v>0</v>
      </c>
      <c r="BK32" s="307"/>
      <c r="BL32" s="307"/>
      <c r="BM32" s="445">
        <f t="shared" si="19"/>
        <v>0</v>
      </c>
      <c r="BN32" s="442"/>
      <c r="BO32" s="443"/>
      <c r="BP32" s="444">
        <f t="shared" si="20"/>
        <v>0</v>
      </c>
      <c r="BQ32" s="307"/>
      <c r="BR32" s="307"/>
      <c r="BS32" s="445">
        <f t="shared" si="21"/>
        <v>0</v>
      </c>
      <c r="BT32" s="442">
        <v>9</v>
      </c>
      <c r="BU32" s="443">
        <v>48397.888888888891</v>
      </c>
      <c r="BV32" s="444">
        <f t="shared" si="22"/>
        <v>356392.37420000002</v>
      </c>
      <c r="BW32" s="307">
        <v>8</v>
      </c>
      <c r="BX32" s="307">
        <v>49222.625</v>
      </c>
      <c r="BY32" s="449">
        <f t="shared" si="23"/>
        <v>322191.61420000001</v>
      </c>
    </row>
    <row r="33" spans="1:77" s="309" customFormat="1">
      <c r="A33" s="303" t="s">
        <v>329</v>
      </c>
      <c r="B33" s="483" t="s">
        <v>640</v>
      </c>
      <c r="C33" s="489" t="s">
        <v>1067</v>
      </c>
      <c r="D33" s="303">
        <v>102067</v>
      </c>
      <c r="E33" s="305">
        <v>9</v>
      </c>
      <c r="F33" s="453"/>
      <c r="G33" s="454"/>
      <c r="H33" s="439">
        <f t="shared" si="0"/>
        <v>0</v>
      </c>
      <c r="I33" s="311"/>
      <c r="J33" s="311"/>
      <c r="K33" s="441">
        <f t="shared" si="1"/>
        <v>0</v>
      </c>
      <c r="L33" s="442"/>
      <c r="M33" s="443"/>
      <c r="N33" s="444">
        <f t="shared" si="2"/>
        <v>0</v>
      </c>
      <c r="O33" s="307"/>
      <c r="P33" s="307"/>
      <c r="Q33" s="445">
        <f t="shared" si="3"/>
        <v>0</v>
      </c>
      <c r="R33" s="442"/>
      <c r="S33" s="443"/>
      <c r="T33" s="444">
        <f t="shared" si="4"/>
        <v>0</v>
      </c>
      <c r="U33" s="306"/>
      <c r="V33" s="306"/>
      <c r="W33" s="441">
        <f t="shared" si="5"/>
        <v>0</v>
      </c>
      <c r="X33" s="442"/>
      <c r="Y33" s="443"/>
      <c r="Z33" s="444">
        <f t="shared" si="6"/>
        <v>0</v>
      </c>
      <c r="AA33" s="307"/>
      <c r="AB33" s="307"/>
      <c r="AC33" s="445">
        <f t="shared" si="7"/>
        <v>0</v>
      </c>
      <c r="AD33" s="442"/>
      <c r="AE33" s="443"/>
      <c r="AF33" s="444">
        <f t="shared" si="8"/>
        <v>0</v>
      </c>
      <c r="AG33" s="307"/>
      <c r="AH33" s="307"/>
      <c r="AI33" s="445">
        <f t="shared" si="9"/>
        <v>0</v>
      </c>
      <c r="AJ33" s="446">
        <v>82</v>
      </c>
      <c r="AK33" s="443">
        <v>55554.317073170729</v>
      </c>
      <c r="AL33" s="444">
        <f t="shared" si="10"/>
        <v>4555454</v>
      </c>
      <c r="AM33" s="306">
        <v>81</v>
      </c>
      <c r="AN33" s="306">
        <v>54925.888888888891</v>
      </c>
      <c r="AO33" s="447">
        <f t="shared" si="11"/>
        <v>4448997</v>
      </c>
      <c r="AP33" s="448"/>
      <c r="AQ33" s="443"/>
      <c r="AR33" s="444">
        <f t="shared" si="12"/>
        <v>0</v>
      </c>
      <c r="AS33" s="307"/>
      <c r="AT33" s="307"/>
      <c r="AU33" s="441">
        <f t="shared" si="13"/>
        <v>0</v>
      </c>
      <c r="AV33" s="442"/>
      <c r="AW33" s="443"/>
      <c r="AX33" s="444">
        <f t="shared" si="14"/>
        <v>0</v>
      </c>
      <c r="AY33" s="307"/>
      <c r="AZ33" s="307"/>
      <c r="BA33" s="445">
        <f t="shared" si="15"/>
        <v>0</v>
      </c>
      <c r="BB33" s="442"/>
      <c r="BC33" s="443"/>
      <c r="BD33" s="444">
        <f t="shared" si="16"/>
        <v>0</v>
      </c>
      <c r="BE33" s="307"/>
      <c r="BF33" s="307"/>
      <c r="BG33" s="445">
        <f t="shared" si="17"/>
        <v>0</v>
      </c>
      <c r="BH33" s="442"/>
      <c r="BI33" s="443"/>
      <c r="BJ33" s="444">
        <f t="shared" si="18"/>
        <v>0</v>
      </c>
      <c r="BK33" s="307"/>
      <c r="BL33" s="307"/>
      <c r="BM33" s="445">
        <f t="shared" si="19"/>
        <v>0</v>
      </c>
      <c r="BN33" s="442"/>
      <c r="BO33" s="443"/>
      <c r="BP33" s="444">
        <f t="shared" si="20"/>
        <v>0</v>
      </c>
      <c r="BQ33" s="307"/>
      <c r="BR33" s="307"/>
      <c r="BS33" s="445">
        <f t="shared" si="21"/>
        <v>0</v>
      </c>
      <c r="BT33" s="442"/>
      <c r="BU33" s="443">
        <v>0</v>
      </c>
      <c r="BV33" s="444">
        <f t="shared" si="22"/>
        <v>0</v>
      </c>
      <c r="BW33" s="307">
        <v>6</v>
      </c>
      <c r="BX33" s="307">
        <v>49602</v>
      </c>
      <c r="BY33" s="449">
        <f t="shared" si="23"/>
        <v>243506.13840000003</v>
      </c>
    </row>
    <row r="34" spans="1:77" s="309" customFormat="1">
      <c r="A34" s="303" t="s">
        <v>329</v>
      </c>
      <c r="B34" s="304" t="s">
        <v>641</v>
      </c>
      <c r="C34" s="304"/>
      <c r="D34" s="303">
        <v>251260</v>
      </c>
      <c r="E34" s="305">
        <v>9</v>
      </c>
      <c r="F34" s="453"/>
      <c r="G34" s="454"/>
      <c r="H34" s="439">
        <f t="shared" si="0"/>
        <v>0</v>
      </c>
      <c r="I34" s="311"/>
      <c r="J34" s="311"/>
      <c r="K34" s="441">
        <f t="shared" si="1"/>
        <v>0</v>
      </c>
      <c r="L34" s="442"/>
      <c r="M34" s="443"/>
      <c r="N34" s="444">
        <f t="shared" si="2"/>
        <v>0</v>
      </c>
      <c r="O34" s="307"/>
      <c r="P34" s="307"/>
      <c r="Q34" s="445">
        <f t="shared" si="3"/>
        <v>0</v>
      </c>
      <c r="R34" s="442"/>
      <c r="S34" s="443"/>
      <c r="T34" s="444">
        <f t="shared" si="4"/>
        <v>0</v>
      </c>
      <c r="U34" s="306"/>
      <c r="V34" s="306"/>
      <c r="W34" s="441">
        <f t="shared" si="5"/>
        <v>0</v>
      </c>
      <c r="X34" s="442"/>
      <c r="Y34" s="443"/>
      <c r="Z34" s="444">
        <f t="shared" si="6"/>
        <v>0</v>
      </c>
      <c r="AA34" s="307"/>
      <c r="AB34" s="307"/>
      <c r="AC34" s="445">
        <f t="shared" si="7"/>
        <v>0</v>
      </c>
      <c r="AD34" s="442"/>
      <c r="AE34" s="443"/>
      <c r="AF34" s="444">
        <f t="shared" si="8"/>
        <v>0</v>
      </c>
      <c r="AG34" s="307"/>
      <c r="AH34" s="307"/>
      <c r="AI34" s="445">
        <f t="shared" si="9"/>
        <v>0</v>
      </c>
      <c r="AJ34" s="446">
        <v>90</v>
      </c>
      <c r="AK34" s="443">
        <v>52130.155555555553</v>
      </c>
      <c r="AL34" s="444">
        <f t="shared" si="10"/>
        <v>4691714</v>
      </c>
      <c r="AM34" s="306">
        <v>82</v>
      </c>
      <c r="AN34" s="306">
        <v>51593.024390243903</v>
      </c>
      <c r="AO34" s="447">
        <f t="shared" si="11"/>
        <v>4230628</v>
      </c>
      <c r="AP34" s="448"/>
      <c r="AQ34" s="443"/>
      <c r="AR34" s="444">
        <f t="shared" si="12"/>
        <v>0</v>
      </c>
      <c r="AS34" s="307"/>
      <c r="AT34" s="307"/>
      <c r="AU34" s="441">
        <f t="shared" si="13"/>
        <v>0</v>
      </c>
      <c r="AV34" s="442"/>
      <c r="AW34" s="443"/>
      <c r="AX34" s="444">
        <f t="shared" si="14"/>
        <v>0</v>
      </c>
      <c r="AY34" s="307"/>
      <c r="AZ34" s="307"/>
      <c r="BA34" s="445">
        <f t="shared" si="15"/>
        <v>0</v>
      </c>
      <c r="BB34" s="442"/>
      <c r="BC34" s="443"/>
      <c r="BD34" s="444">
        <f t="shared" si="16"/>
        <v>0</v>
      </c>
      <c r="BE34" s="307"/>
      <c r="BF34" s="307"/>
      <c r="BG34" s="445">
        <f t="shared" si="17"/>
        <v>0</v>
      </c>
      <c r="BH34" s="442"/>
      <c r="BI34" s="443"/>
      <c r="BJ34" s="444">
        <f t="shared" si="18"/>
        <v>0</v>
      </c>
      <c r="BK34" s="307"/>
      <c r="BL34" s="307"/>
      <c r="BM34" s="445">
        <f t="shared" si="19"/>
        <v>0</v>
      </c>
      <c r="BN34" s="442"/>
      <c r="BO34" s="443"/>
      <c r="BP34" s="444">
        <f t="shared" si="20"/>
        <v>0</v>
      </c>
      <c r="BQ34" s="307"/>
      <c r="BR34" s="307"/>
      <c r="BS34" s="445">
        <f t="shared" si="21"/>
        <v>0</v>
      </c>
      <c r="BT34" s="442"/>
      <c r="BU34" s="443">
        <v>0</v>
      </c>
      <c r="BV34" s="444">
        <f t="shared" si="22"/>
        <v>0</v>
      </c>
      <c r="BW34" s="307">
        <v>4</v>
      </c>
      <c r="BX34" s="307">
        <v>38890</v>
      </c>
      <c r="BY34" s="449">
        <f t="shared" si="23"/>
        <v>127279.19200000001</v>
      </c>
    </row>
    <row r="35" spans="1:77" s="309" customFormat="1">
      <c r="A35" s="303" t="s">
        <v>329</v>
      </c>
      <c r="B35" s="304" t="s">
        <v>642</v>
      </c>
      <c r="C35" s="485" t="s">
        <v>1065</v>
      </c>
      <c r="D35" s="303">
        <v>101295</v>
      </c>
      <c r="E35" s="305">
        <v>9</v>
      </c>
      <c r="F35" s="453"/>
      <c r="G35" s="454"/>
      <c r="H35" s="439">
        <f t="shared" si="0"/>
        <v>0</v>
      </c>
      <c r="I35" s="311"/>
      <c r="J35" s="311"/>
      <c r="K35" s="441">
        <f t="shared" si="1"/>
        <v>0</v>
      </c>
      <c r="L35" s="442"/>
      <c r="M35" s="443"/>
      <c r="N35" s="444">
        <f t="shared" si="2"/>
        <v>0</v>
      </c>
      <c r="O35" s="307"/>
      <c r="P35" s="307"/>
      <c r="Q35" s="445">
        <f t="shared" si="3"/>
        <v>0</v>
      </c>
      <c r="R35" s="442"/>
      <c r="S35" s="443"/>
      <c r="T35" s="444">
        <f t="shared" si="4"/>
        <v>0</v>
      </c>
      <c r="U35" s="306"/>
      <c r="V35" s="306"/>
      <c r="W35" s="441">
        <f t="shared" si="5"/>
        <v>0</v>
      </c>
      <c r="X35" s="442"/>
      <c r="Y35" s="443"/>
      <c r="Z35" s="444">
        <f t="shared" si="6"/>
        <v>0</v>
      </c>
      <c r="AA35" s="307"/>
      <c r="AB35" s="307"/>
      <c r="AC35" s="445">
        <f t="shared" si="7"/>
        <v>0</v>
      </c>
      <c r="AD35" s="442"/>
      <c r="AE35" s="443"/>
      <c r="AF35" s="444">
        <f t="shared" si="8"/>
        <v>0</v>
      </c>
      <c r="AG35" s="307"/>
      <c r="AH35" s="307"/>
      <c r="AI35" s="445">
        <f t="shared" si="9"/>
        <v>0</v>
      </c>
      <c r="AJ35" s="446">
        <v>123</v>
      </c>
      <c r="AK35" s="443">
        <v>52524.504065040652</v>
      </c>
      <c r="AL35" s="444">
        <f t="shared" si="10"/>
        <v>6460514</v>
      </c>
      <c r="AM35" s="306">
        <v>123</v>
      </c>
      <c r="AN35" s="306">
        <v>52211.235772357722</v>
      </c>
      <c r="AO35" s="447">
        <f t="shared" si="11"/>
        <v>6421982</v>
      </c>
      <c r="AP35" s="448"/>
      <c r="AQ35" s="443"/>
      <c r="AR35" s="444">
        <f t="shared" si="12"/>
        <v>0</v>
      </c>
      <c r="AS35" s="307"/>
      <c r="AT35" s="307"/>
      <c r="AU35" s="441">
        <f t="shared" si="13"/>
        <v>0</v>
      </c>
      <c r="AV35" s="442"/>
      <c r="AW35" s="443"/>
      <c r="AX35" s="444">
        <f t="shared" si="14"/>
        <v>0</v>
      </c>
      <c r="AY35" s="307"/>
      <c r="AZ35" s="307"/>
      <c r="BA35" s="445">
        <f t="shared" si="15"/>
        <v>0</v>
      </c>
      <c r="BB35" s="442"/>
      <c r="BC35" s="443"/>
      <c r="BD35" s="444">
        <f t="shared" si="16"/>
        <v>0</v>
      </c>
      <c r="BE35" s="307"/>
      <c r="BF35" s="307"/>
      <c r="BG35" s="445">
        <f t="shared" si="17"/>
        <v>0</v>
      </c>
      <c r="BH35" s="442"/>
      <c r="BI35" s="443"/>
      <c r="BJ35" s="444">
        <f t="shared" si="18"/>
        <v>0</v>
      </c>
      <c r="BK35" s="307"/>
      <c r="BL35" s="307"/>
      <c r="BM35" s="445">
        <f t="shared" si="19"/>
        <v>0</v>
      </c>
      <c r="BN35" s="442"/>
      <c r="BO35" s="443"/>
      <c r="BP35" s="444">
        <f t="shared" si="20"/>
        <v>0</v>
      </c>
      <c r="BQ35" s="307"/>
      <c r="BR35" s="307"/>
      <c r="BS35" s="445">
        <f t="shared" si="21"/>
        <v>0</v>
      </c>
      <c r="BT35" s="442"/>
      <c r="BU35" s="443">
        <v>0</v>
      </c>
      <c r="BV35" s="444">
        <f t="shared" si="22"/>
        <v>0</v>
      </c>
      <c r="BW35" s="307">
        <v>4</v>
      </c>
      <c r="BX35" s="307">
        <v>42430.25</v>
      </c>
      <c r="BY35" s="449">
        <f t="shared" si="23"/>
        <v>138865.72220000002</v>
      </c>
    </row>
    <row r="36" spans="1:77" s="309" customFormat="1">
      <c r="A36" s="303" t="s">
        <v>329</v>
      </c>
      <c r="B36" s="304" t="s">
        <v>643</v>
      </c>
      <c r="C36" s="304"/>
      <c r="D36" s="303">
        <v>101949</v>
      </c>
      <c r="E36" s="305">
        <v>10</v>
      </c>
      <c r="F36" s="453"/>
      <c r="G36" s="454"/>
      <c r="H36" s="439">
        <f t="shared" si="0"/>
        <v>0</v>
      </c>
      <c r="I36" s="311"/>
      <c r="J36" s="311"/>
      <c r="K36" s="441">
        <f t="shared" si="1"/>
        <v>0</v>
      </c>
      <c r="L36" s="442"/>
      <c r="M36" s="443"/>
      <c r="N36" s="444">
        <f t="shared" si="2"/>
        <v>0</v>
      </c>
      <c r="O36" s="307"/>
      <c r="P36" s="307"/>
      <c r="Q36" s="445">
        <f t="shared" si="3"/>
        <v>0</v>
      </c>
      <c r="R36" s="442"/>
      <c r="S36" s="443"/>
      <c r="T36" s="444">
        <f t="shared" si="4"/>
        <v>0</v>
      </c>
      <c r="U36" s="306"/>
      <c r="V36" s="306"/>
      <c r="W36" s="441">
        <f t="shared" si="5"/>
        <v>0</v>
      </c>
      <c r="X36" s="442"/>
      <c r="Y36" s="443"/>
      <c r="Z36" s="444">
        <f t="shared" si="6"/>
        <v>0</v>
      </c>
      <c r="AA36" s="307"/>
      <c r="AB36" s="307"/>
      <c r="AC36" s="445">
        <f t="shared" si="7"/>
        <v>0</v>
      </c>
      <c r="AD36" s="442"/>
      <c r="AE36" s="443"/>
      <c r="AF36" s="444">
        <f t="shared" si="8"/>
        <v>0</v>
      </c>
      <c r="AG36" s="307"/>
      <c r="AH36" s="307"/>
      <c r="AI36" s="445">
        <f t="shared" si="9"/>
        <v>0</v>
      </c>
      <c r="AJ36" s="446">
        <v>39</v>
      </c>
      <c r="AK36" s="443">
        <v>52079.948717948719</v>
      </c>
      <c r="AL36" s="444">
        <f t="shared" si="10"/>
        <v>2031118</v>
      </c>
      <c r="AM36" s="306">
        <v>39</v>
      </c>
      <c r="AN36" s="306">
        <v>52220.564102564102</v>
      </c>
      <c r="AO36" s="447">
        <f t="shared" si="11"/>
        <v>2036602</v>
      </c>
      <c r="AP36" s="448"/>
      <c r="AQ36" s="443"/>
      <c r="AR36" s="444">
        <f t="shared" si="12"/>
        <v>0</v>
      </c>
      <c r="AS36" s="307"/>
      <c r="AT36" s="307"/>
      <c r="AU36" s="441">
        <f t="shared" si="13"/>
        <v>0</v>
      </c>
      <c r="AV36" s="442"/>
      <c r="AW36" s="443"/>
      <c r="AX36" s="444">
        <f t="shared" si="14"/>
        <v>0</v>
      </c>
      <c r="AY36" s="307"/>
      <c r="AZ36" s="307"/>
      <c r="BA36" s="445">
        <f t="shared" si="15"/>
        <v>0</v>
      </c>
      <c r="BB36" s="442"/>
      <c r="BC36" s="443"/>
      <c r="BD36" s="444">
        <f t="shared" si="16"/>
        <v>0</v>
      </c>
      <c r="BE36" s="307"/>
      <c r="BF36" s="307"/>
      <c r="BG36" s="445">
        <f t="shared" si="17"/>
        <v>0</v>
      </c>
      <c r="BH36" s="442"/>
      <c r="BI36" s="443"/>
      <c r="BJ36" s="444">
        <f t="shared" si="18"/>
        <v>0</v>
      </c>
      <c r="BK36" s="307"/>
      <c r="BL36" s="307"/>
      <c r="BM36" s="445">
        <f t="shared" si="19"/>
        <v>0</v>
      </c>
      <c r="BN36" s="442"/>
      <c r="BO36" s="443"/>
      <c r="BP36" s="444">
        <f t="shared" si="20"/>
        <v>0</v>
      </c>
      <c r="BQ36" s="307"/>
      <c r="BR36" s="307"/>
      <c r="BS36" s="445">
        <f t="shared" si="21"/>
        <v>0</v>
      </c>
      <c r="BT36" s="442">
        <v>21</v>
      </c>
      <c r="BU36" s="443">
        <v>48555.142857142855</v>
      </c>
      <c r="BV36" s="444">
        <f t="shared" si="22"/>
        <v>834284.17560000008</v>
      </c>
      <c r="BW36" s="307">
        <v>17</v>
      </c>
      <c r="BX36" s="307">
        <v>49493.470588235294</v>
      </c>
      <c r="BY36" s="449">
        <f t="shared" si="23"/>
        <v>688424.47980000009</v>
      </c>
    </row>
    <row r="37" spans="1:77" s="309" customFormat="1">
      <c r="A37" s="303" t="s">
        <v>329</v>
      </c>
      <c r="B37" s="304" t="s">
        <v>644</v>
      </c>
      <c r="C37" s="485" t="s">
        <v>1068</v>
      </c>
      <c r="D37" s="303">
        <v>100760</v>
      </c>
      <c r="E37" s="305">
        <v>10</v>
      </c>
      <c r="F37" s="453"/>
      <c r="G37" s="454"/>
      <c r="H37" s="439">
        <f t="shared" si="0"/>
        <v>0</v>
      </c>
      <c r="I37" s="311"/>
      <c r="J37" s="311"/>
      <c r="K37" s="441">
        <f t="shared" si="1"/>
        <v>0</v>
      </c>
      <c r="L37" s="442"/>
      <c r="M37" s="443"/>
      <c r="N37" s="444">
        <f t="shared" si="2"/>
        <v>0</v>
      </c>
      <c r="O37" s="307"/>
      <c r="P37" s="307"/>
      <c r="Q37" s="445">
        <f t="shared" si="3"/>
        <v>0</v>
      </c>
      <c r="R37" s="442"/>
      <c r="S37" s="443"/>
      <c r="T37" s="444">
        <f t="shared" si="4"/>
        <v>0</v>
      </c>
      <c r="U37" s="306"/>
      <c r="V37" s="306"/>
      <c r="W37" s="441">
        <f t="shared" si="5"/>
        <v>0</v>
      </c>
      <c r="X37" s="442"/>
      <c r="Y37" s="443"/>
      <c r="Z37" s="444">
        <f t="shared" si="6"/>
        <v>0</v>
      </c>
      <c r="AA37" s="307"/>
      <c r="AB37" s="307"/>
      <c r="AC37" s="445">
        <f t="shared" si="7"/>
        <v>0</v>
      </c>
      <c r="AD37" s="442"/>
      <c r="AE37" s="443"/>
      <c r="AF37" s="444">
        <f t="shared" si="8"/>
        <v>0</v>
      </c>
      <c r="AG37" s="307"/>
      <c r="AH37" s="307"/>
      <c r="AI37" s="445">
        <f t="shared" si="9"/>
        <v>0</v>
      </c>
      <c r="AJ37" s="446">
        <v>56</v>
      </c>
      <c r="AK37" s="443">
        <v>53358.285714285717</v>
      </c>
      <c r="AL37" s="444">
        <f t="shared" si="10"/>
        <v>2988064</v>
      </c>
      <c r="AM37" s="306">
        <v>52</v>
      </c>
      <c r="AN37" s="306">
        <v>54204.788461538461</v>
      </c>
      <c r="AO37" s="447">
        <f t="shared" si="11"/>
        <v>2818649</v>
      </c>
      <c r="AP37" s="448"/>
      <c r="AQ37" s="443"/>
      <c r="AR37" s="444">
        <f t="shared" si="12"/>
        <v>0</v>
      </c>
      <c r="AS37" s="307"/>
      <c r="AT37" s="307"/>
      <c r="AU37" s="441">
        <f t="shared" si="13"/>
        <v>0</v>
      </c>
      <c r="AV37" s="442"/>
      <c r="AW37" s="443"/>
      <c r="AX37" s="444">
        <f t="shared" si="14"/>
        <v>0</v>
      </c>
      <c r="AY37" s="307"/>
      <c r="AZ37" s="307"/>
      <c r="BA37" s="445">
        <f t="shared" si="15"/>
        <v>0</v>
      </c>
      <c r="BB37" s="442"/>
      <c r="BC37" s="443"/>
      <c r="BD37" s="444">
        <f t="shared" si="16"/>
        <v>0</v>
      </c>
      <c r="BE37" s="307"/>
      <c r="BF37" s="307"/>
      <c r="BG37" s="445">
        <f t="shared" si="17"/>
        <v>0</v>
      </c>
      <c r="BH37" s="442"/>
      <c r="BI37" s="443"/>
      <c r="BJ37" s="444">
        <f t="shared" si="18"/>
        <v>0</v>
      </c>
      <c r="BK37" s="307"/>
      <c r="BL37" s="307"/>
      <c r="BM37" s="445">
        <f t="shared" si="19"/>
        <v>0</v>
      </c>
      <c r="BN37" s="442"/>
      <c r="BO37" s="443"/>
      <c r="BP37" s="444">
        <f t="shared" si="20"/>
        <v>0</v>
      </c>
      <c r="BQ37" s="307"/>
      <c r="BR37" s="307"/>
      <c r="BS37" s="445">
        <f t="shared" si="21"/>
        <v>0</v>
      </c>
      <c r="BT37" s="442"/>
      <c r="BU37" s="443">
        <v>0</v>
      </c>
      <c r="BV37" s="444">
        <f t="shared" si="22"/>
        <v>0</v>
      </c>
      <c r="BW37" s="307">
        <v>4</v>
      </c>
      <c r="BX37" s="307">
        <v>67093.5</v>
      </c>
      <c r="BY37" s="449">
        <f t="shared" si="23"/>
        <v>219583.60680000001</v>
      </c>
    </row>
    <row r="38" spans="1:77" s="309" customFormat="1">
      <c r="A38" s="303" t="s">
        <v>329</v>
      </c>
      <c r="B38" s="304" t="s">
        <v>645</v>
      </c>
      <c r="C38" s="304"/>
      <c r="D38" s="303">
        <v>101028</v>
      </c>
      <c r="E38" s="305">
        <v>10</v>
      </c>
      <c r="F38" s="453"/>
      <c r="G38" s="454"/>
      <c r="H38" s="439">
        <f t="shared" si="0"/>
        <v>0</v>
      </c>
      <c r="I38" s="311"/>
      <c r="J38" s="311"/>
      <c r="K38" s="441">
        <f t="shared" si="1"/>
        <v>0</v>
      </c>
      <c r="L38" s="442"/>
      <c r="M38" s="443"/>
      <c r="N38" s="444">
        <f t="shared" si="2"/>
        <v>0</v>
      </c>
      <c r="O38" s="307"/>
      <c r="P38" s="307"/>
      <c r="Q38" s="445">
        <f t="shared" si="3"/>
        <v>0</v>
      </c>
      <c r="R38" s="442"/>
      <c r="S38" s="443"/>
      <c r="T38" s="444">
        <f t="shared" si="4"/>
        <v>0</v>
      </c>
      <c r="U38" s="306"/>
      <c r="V38" s="306"/>
      <c r="W38" s="441">
        <f t="shared" si="5"/>
        <v>0</v>
      </c>
      <c r="X38" s="442"/>
      <c r="Y38" s="443"/>
      <c r="Z38" s="444">
        <f t="shared" si="6"/>
        <v>0</v>
      </c>
      <c r="AA38" s="307"/>
      <c r="AB38" s="307"/>
      <c r="AC38" s="445">
        <f t="shared" si="7"/>
        <v>0</v>
      </c>
      <c r="AD38" s="442"/>
      <c r="AE38" s="443"/>
      <c r="AF38" s="444">
        <f t="shared" si="8"/>
        <v>0</v>
      </c>
      <c r="AG38" s="307"/>
      <c r="AH38" s="307"/>
      <c r="AI38" s="445">
        <f t="shared" si="9"/>
        <v>0</v>
      </c>
      <c r="AJ38" s="446">
        <v>36</v>
      </c>
      <c r="AK38" s="443">
        <v>55551.777777777781</v>
      </c>
      <c r="AL38" s="444">
        <f t="shared" si="10"/>
        <v>1999864</v>
      </c>
      <c r="AM38" s="306">
        <v>34</v>
      </c>
      <c r="AN38" s="306">
        <v>54935.26470588235</v>
      </c>
      <c r="AO38" s="447">
        <f t="shared" si="11"/>
        <v>1867799</v>
      </c>
      <c r="AP38" s="448"/>
      <c r="AQ38" s="443"/>
      <c r="AR38" s="444">
        <f t="shared" si="12"/>
        <v>0</v>
      </c>
      <c r="AS38" s="307"/>
      <c r="AT38" s="307"/>
      <c r="AU38" s="441">
        <f t="shared" si="13"/>
        <v>0</v>
      </c>
      <c r="AV38" s="442"/>
      <c r="AW38" s="443"/>
      <c r="AX38" s="444">
        <f t="shared" si="14"/>
        <v>0</v>
      </c>
      <c r="AY38" s="307"/>
      <c r="AZ38" s="307"/>
      <c r="BA38" s="445">
        <f t="shared" si="15"/>
        <v>0</v>
      </c>
      <c r="BB38" s="442"/>
      <c r="BC38" s="443"/>
      <c r="BD38" s="444">
        <f t="shared" si="16"/>
        <v>0</v>
      </c>
      <c r="BE38" s="307"/>
      <c r="BF38" s="307"/>
      <c r="BG38" s="445">
        <f t="shared" si="17"/>
        <v>0</v>
      </c>
      <c r="BH38" s="442"/>
      <c r="BI38" s="443"/>
      <c r="BJ38" s="444">
        <f t="shared" si="18"/>
        <v>0</v>
      </c>
      <c r="BK38" s="307"/>
      <c r="BL38" s="307"/>
      <c r="BM38" s="445">
        <f t="shared" si="19"/>
        <v>0</v>
      </c>
      <c r="BN38" s="442"/>
      <c r="BO38" s="443"/>
      <c r="BP38" s="444">
        <f t="shared" si="20"/>
        <v>0</v>
      </c>
      <c r="BQ38" s="307"/>
      <c r="BR38" s="307"/>
      <c r="BS38" s="445">
        <f t="shared" si="21"/>
        <v>0</v>
      </c>
      <c r="BT38" s="442"/>
      <c r="BU38" s="443">
        <v>0</v>
      </c>
      <c r="BV38" s="444">
        <f t="shared" si="22"/>
        <v>0</v>
      </c>
      <c r="BW38" s="307"/>
      <c r="BX38" s="307"/>
      <c r="BY38" s="449">
        <f t="shared" si="23"/>
        <v>0</v>
      </c>
    </row>
    <row r="39" spans="1:77" s="309" customFormat="1">
      <c r="A39" s="303" t="s">
        <v>329</v>
      </c>
      <c r="B39" s="304" t="s">
        <v>681</v>
      </c>
      <c r="C39" s="485" t="s">
        <v>1068</v>
      </c>
      <c r="D39" s="303">
        <v>101143</v>
      </c>
      <c r="E39" s="305">
        <v>10</v>
      </c>
      <c r="F39" s="453"/>
      <c r="G39" s="454"/>
      <c r="H39" s="439">
        <f t="shared" si="0"/>
        <v>0</v>
      </c>
      <c r="I39" s="311"/>
      <c r="J39" s="311"/>
      <c r="K39" s="441">
        <f t="shared" si="1"/>
        <v>0</v>
      </c>
      <c r="L39" s="442"/>
      <c r="M39" s="443"/>
      <c r="N39" s="444">
        <f t="shared" si="2"/>
        <v>0</v>
      </c>
      <c r="O39" s="307"/>
      <c r="P39" s="307"/>
      <c r="Q39" s="445">
        <f t="shared" si="3"/>
        <v>0</v>
      </c>
      <c r="R39" s="442"/>
      <c r="S39" s="443"/>
      <c r="T39" s="444">
        <f t="shared" si="4"/>
        <v>0</v>
      </c>
      <c r="U39" s="306"/>
      <c r="V39" s="306"/>
      <c r="W39" s="441">
        <f t="shared" si="5"/>
        <v>0</v>
      </c>
      <c r="X39" s="442"/>
      <c r="Y39" s="443"/>
      <c r="Z39" s="444">
        <f t="shared" si="6"/>
        <v>0</v>
      </c>
      <c r="AA39" s="307"/>
      <c r="AB39" s="307"/>
      <c r="AC39" s="445">
        <f t="shared" si="7"/>
        <v>0</v>
      </c>
      <c r="AD39" s="442"/>
      <c r="AE39" s="443"/>
      <c r="AF39" s="444">
        <f t="shared" si="8"/>
        <v>0</v>
      </c>
      <c r="AG39" s="307"/>
      <c r="AH39" s="307"/>
      <c r="AI39" s="445">
        <f t="shared" si="9"/>
        <v>0</v>
      </c>
      <c r="AJ39" s="446">
        <v>63</v>
      </c>
      <c r="AK39" s="443">
        <v>51570.253968253972</v>
      </c>
      <c r="AL39" s="444">
        <f t="shared" si="10"/>
        <v>3248926</v>
      </c>
      <c r="AM39" s="306">
        <v>69</v>
      </c>
      <c r="AN39" s="306">
        <v>51427.304347826088</v>
      </c>
      <c r="AO39" s="447">
        <f t="shared" si="11"/>
        <v>3548484</v>
      </c>
      <c r="AP39" s="448"/>
      <c r="AQ39" s="443"/>
      <c r="AR39" s="444">
        <f t="shared" si="12"/>
        <v>0</v>
      </c>
      <c r="AS39" s="307"/>
      <c r="AT39" s="307"/>
      <c r="AU39" s="441">
        <f t="shared" si="13"/>
        <v>0</v>
      </c>
      <c r="AV39" s="442"/>
      <c r="AW39" s="443"/>
      <c r="AX39" s="444">
        <f t="shared" si="14"/>
        <v>0</v>
      </c>
      <c r="AY39" s="307"/>
      <c r="AZ39" s="307"/>
      <c r="BA39" s="445">
        <f t="shared" si="15"/>
        <v>0</v>
      </c>
      <c r="BB39" s="442"/>
      <c r="BC39" s="443"/>
      <c r="BD39" s="444">
        <f t="shared" si="16"/>
        <v>0</v>
      </c>
      <c r="BE39" s="307"/>
      <c r="BF39" s="307"/>
      <c r="BG39" s="445">
        <f t="shared" si="17"/>
        <v>0</v>
      </c>
      <c r="BH39" s="442"/>
      <c r="BI39" s="443"/>
      <c r="BJ39" s="444">
        <f t="shared" si="18"/>
        <v>0</v>
      </c>
      <c r="BK39" s="307"/>
      <c r="BL39" s="307"/>
      <c r="BM39" s="445">
        <f t="shared" si="19"/>
        <v>0</v>
      </c>
      <c r="BN39" s="442"/>
      <c r="BO39" s="443"/>
      <c r="BP39" s="444">
        <f t="shared" si="20"/>
        <v>0</v>
      </c>
      <c r="BQ39" s="307"/>
      <c r="BR39" s="307"/>
      <c r="BS39" s="445">
        <f t="shared" si="21"/>
        <v>0</v>
      </c>
      <c r="BT39" s="442"/>
      <c r="BU39" s="443">
        <v>0</v>
      </c>
      <c r="BV39" s="444">
        <f t="shared" si="22"/>
        <v>0</v>
      </c>
      <c r="BW39" s="307"/>
      <c r="BX39" s="307"/>
      <c r="BY39" s="449">
        <f t="shared" si="23"/>
        <v>0</v>
      </c>
    </row>
    <row r="40" spans="1:77" s="309" customFormat="1">
      <c r="A40" s="303" t="s">
        <v>329</v>
      </c>
      <c r="B40" s="304" t="s">
        <v>646</v>
      </c>
      <c r="C40" s="304"/>
      <c r="D40" s="303">
        <v>101301</v>
      </c>
      <c r="E40" s="305">
        <v>10</v>
      </c>
      <c r="F40" s="453"/>
      <c r="G40" s="454"/>
      <c r="H40" s="439">
        <f t="shared" si="0"/>
        <v>0</v>
      </c>
      <c r="I40" s="311"/>
      <c r="J40" s="311"/>
      <c r="K40" s="441">
        <f t="shared" si="1"/>
        <v>0</v>
      </c>
      <c r="L40" s="442"/>
      <c r="M40" s="443"/>
      <c r="N40" s="444">
        <f t="shared" si="2"/>
        <v>0</v>
      </c>
      <c r="O40" s="307"/>
      <c r="P40" s="307"/>
      <c r="Q40" s="445">
        <f t="shared" si="3"/>
        <v>0</v>
      </c>
      <c r="R40" s="442"/>
      <c r="S40" s="443"/>
      <c r="T40" s="444">
        <f t="shared" si="4"/>
        <v>0</v>
      </c>
      <c r="U40" s="306"/>
      <c r="V40" s="306"/>
      <c r="W40" s="441">
        <f t="shared" si="5"/>
        <v>0</v>
      </c>
      <c r="X40" s="442"/>
      <c r="Y40" s="443"/>
      <c r="Z40" s="444">
        <f t="shared" si="6"/>
        <v>0</v>
      </c>
      <c r="AA40" s="307"/>
      <c r="AB40" s="307"/>
      <c r="AC40" s="445">
        <f t="shared" si="7"/>
        <v>0</v>
      </c>
      <c r="AD40" s="442"/>
      <c r="AE40" s="443"/>
      <c r="AF40" s="444">
        <f t="shared" si="8"/>
        <v>0</v>
      </c>
      <c r="AG40" s="307"/>
      <c r="AH40" s="307"/>
      <c r="AI40" s="445">
        <f t="shared" si="9"/>
        <v>0</v>
      </c>
      <c r="AJ40" s="446">
        <v>48</v>
      </c>
      <c r="AK40" s="443">
        <v>50403.833333333336</v>
      </c>
      <c r="AL40" s="444">
        <f t="shared" si="10"/>
        <v>2419384</v>
      </c>
      <c r="AM40" s="306">
        <v>52</v>
      </c>
      <c r="AN40" s="306">
        <v>50041.865384615383</v>
      </c>
      <c r="AO40" s="447">
        <f t="shared" si="11"/>
        <v>2602177</v>
      </c>
      <c r="AP40" s="448"/>
      <c r="AQ40" s="443"/>
      <c r="AR40" s="444">
        <f t="shared" si="12"/>
        <v>0</v>
      </c>
      <c r="AS40" s="307"/>
      <c r="AT40" s="307"/>
      <c r="AU40" s="441">
        <f t="shared" si="13"/>
        <v>0</v>
      </c>
      <c r="AV40" s="442"/>
      <c r="AW40" s="443"/>
      <c r="AX40" s="444">
        <f t="shared" si="14"/>
        <v>0</v>
      </c>
      <c r="AY40" s="307"/>
      <c r="AZ40" s="307"/>
      <c r="BA40" s="445">
        <f t="shared" si="15"/>
        <v>0</v>
      </c>
      <c r="BB40" s="442"/>
      <c r="BC40" s="443"/>
      <c r="BD40" s="444">
        <f t="shared" si="16"/>
        <v>0</v>
      </c>
      <c r="BE40" s="307"/>
      <c r="BF40" s="307"/>
      <c r="BG40" s="445">
        <f t="shared" si="17"/>
        <v>0</v>
      </c>
      <c r="BH40" s="442"/>
      <c r="BI40" s="443"/>
      <c r="BJ40" s="444">
        <f t="shared" si="18"/>
        <v>0</v>
      </c>
      <c r="BK40" s="307"/>
      <c r="BL40" s="307"/>
      <c r="BM40" s="445">
        <f t="shared" si="19"/>
        <v>0</v>
      </c>
      <c r="BN40" s="442"/>
      <c r="BO40" s="443"/>
      <c r="BP40" s="444">
        <f t="shared" si="20"/>
        <v>0</v>
      </c>
      <c r="BQ40" s="307"/>
      <c r="BR40" s="307"/>
      <c r="BS40" s="445">
        <f t="shared" si="21"/>
        <v>0</v>
      </c>
      <c r="BT40" s="442"/>
      <c r="BU40" s="443">
        <v>0</v>
      </c>
      <c r="BV40" s="444">
        <f t="shared" si="22"/>
        <v>0</v>
      </c>
      <c r="BW40" s="307">
        <v>3</v>
      </c>
      <c r="BX40" s="307">
        <v>38447.333333333336</v>
      </c>
      <c r="BY40" s="449">
        <f t="shared" si="23"/>
        <v>94372.824399999998</v>
      </c>
    </row>
    <row r="41" spans="1:77" s="309" customFormat="1">
      <c r="A41" s="303" t="s">
        <v>329</v>
      </c>
      <c r="B41" s="304" t="s">
        <v>647</v>
      </c>
      <c r="C41" s="304"/>
      <c r="D41" s="303">
        <v>101499</v>
      </c>
      <c r="E41" s="305">
        <v>10</v>
      </c>
      <c r="F41" s="453"/>
      <c r="G41" s="454"/>
      <c r="H41" s="439">
        <f t="shared" si="0"/>
        <v>0</v>
      </c>
      <c r="I41" s="311"/>
      <c r="J41" s="311"/>
      <c r="K41" s="441">
        <f t="shared" si="1"/>
        <v>0</v>
      </c>
      <c r="L41" s="442"/>
      <c r="M41" s="443"/>
      <c r="N41" s="444">
        <f t="shared" si="2"/>
        <v>0</v>
      </c>
      <c r="O41" s="307"/>
      <c r="P41" s="307"/>
      <c r="Q41" s="445">
        <f t="shared" si="3"/>
        <v>0</v>
      </c>
      <c r="R41" s="442"/>
      <c r="S41" s="443"/>
      <c r="T41" s="444">
        <f t="shared" si="4"/>
        <v>0</v>
      </c>
      <c r="U41" s="306"/>
      <c r="V41" s="306"/>
      <c r="W41" s="441">
        <f t="shared" si="5"/>
        <v>0</v>
      </c>
      <c r="X41" s="442"/>
      <c r="Y41" s="443"/>
      <c r="Z41" s="444">
        <f t="shared" si="6"/>
        <v>0</v>
      </c>
      <c r="AA41" s="307"/>
      <c r="AB41" s="307"/>
      <c r="AC41" s="445">
        <f t="shared" si="7"/>
        <v>0</v>
      </c>
      <c r="AD41" s="442"/>
      <c r="AE41" s="443"/>
      <c r="AF41" s="444">
        <f t="shared" si="8"/>
        <v>0</v>
      </c>
      <c r="AG41" s="307"/>
      <c r="AH41" s="307"/>
      <c r="AI41" s="445">
        <f t="shared" si="9"/>
        <v>0</v>
      </c>
      <c r="AJ41" s="446">
        <v>34</v>
      </c>
      <c r="AK41" s="443">
        <v>52342.73529411765</v>
      </c>
      <c r="AL41" s="444">
        <f t="shared" si="10"/>
        <v>1779653</v>
      </c>
      <c r="AM41" s="306">
        <v>33</v>
      </c>
      <c r="AN41" s="306">
        <v>52716.909090909088</v>
      </c>
      <c r="AO41" s="447">
        <f t="shared" si="11"/>
        <v>1739658</v>
      </c>
      <c r="AP41" s="448"/>
      <c r="AQ41" s="443"/>
      <c r="AR41" s="444">
        <f t="shared" si="12"/>
        <v>0</v>
      </c>
      <c r="AS41" s="307"/>
      <c r="AT41" s="307"/>
      <c r="AU41" s="441">
        <f t="shared" si="13"/>
        <v>0</v>
      </c>
      <c r="AV41" s="442"/>
      <c r="AW41" s="443"/>
      <c r="AX41" s="444">
        <f t="shared" si="14"/>
        <v>0</v>
      </c>
      <c r="AY41" s="307"/>
      <c r="AZ41" s="307"/>
      <c r="BA41" s="445">
        <f t="shared" si="15"/>
        <v>0</v>
      </c>
      <c r="BB41" s="442"/>
      <c r="BC41" s="443"/>
      <c r="BD41" s="444">
        <f t="shared" si="16"/>
        <v>0</v>
      </c>
      <c r="BE41" s="307"/>
      <c r="BF41" s="307"/>
      <c r="BG41" s="445">
        <f t="shared" si="17"/>
        <v>0</v>
      </c>
      <c r="BH41" s="442"/>
      <c r="BI41" s="443"/>
      <c r="BJ41" s="444">
        <f t="shared" si="18"/>
        <v>0</v>
      </c>
      <c r="BK41" s="307"/>
      <c r="BL41" s="307"/>
      <c r="BM41" s="445">
        <f t="shared" si="19"/>
        <v>0</v>
      </c>
      <c r="BN41" s="442"/>
      <c r="BO41" s="443"/>
      <c r="BP41" s="444">
        <f t="shared" si="20"/>
        <v>0</v>
      </c>
      <c r="BQ41" s="307"/>
      <c r="BR41" s="307"/>
      <c r="BS41" s="445">
        <f t="shared" si="21"/>
        <v>0</v>
      </c>
      <c r="BT41" s="442">
        <v>5</v>
      </c>
      <c r="BU41" s="443">
        <v>80440.399999999994</v>
      </c>
      <c r="BV41" s="444">
        <f t="shared" si="22"/>
        <v>329081.6764</v>
      </c>
      <c r="BW41" s="307">
        <v>4</v>
      </c>
      <c r="BX41" s="307">
        <v>85681.5</v>
      </c>
      <c r="BY41" s="449">
        <f t="shared" si="23"/>
        <v>280418.41320000001</v>
      </c>
    </row>
    <row r="42" spans="1:77" s="309" customFormat="1">
      <c r="A42" s="303" t="s">
        <v>329</v>
      </c>
      <c r="B42" s="304" t="s">
        <v>648</v>
      </c>
      <c r="C42" s="304"/>
      <c r="D42" s="303">
        <v>101602</v>
      </c>
      <c r="E42" s="305">
        <v>10</v>
      </c>
      <c r="F42" s="453"/>
      <c r="G42" s="454"/>
      <c r="H42" s="439">
        <f t="shared" si="0"/>
        <v>0</v>
      </c>
      <c r="I42" s="311"/>
      <c r="J42" s="311"/>
      <c r="K42" s="441">
        <f t="shared" si="1"/>
        <v>0</v>
      </c>
      <c r="L42" s="442"/>
      <c r="M42" s="443"/>
      <c r="N42" s="444">
        <f t="shared" si="2"/>
        <v>0</v>
      </c>
      <c r="O42" s="307"/>
      <c r="P42" s="307"/>
      <c r="Q42" s="445">
        <f t="shared" si="3"/>
        <v>0</v>
      </c>
      <c r="R42" s="442"/>
      <c r="S42" s="443"/>
      <c r="T42" s="444">
        <f t="shared" si="4"/>
        <v>0</v>
      </c>
      <c r="U42" s="306"/>
      <c r="V42" s="306"/>
      <c r="W42" s="441">
        <f t="shared" si="5"/>
        <v>0</v>
      </c>
      <c r="X42" s="442"/>
      <c r="Y42" s="443"/>
      <c r="Z42" s="444">
        <f t="shared" si="6"/>
        <v>0</v>
      </c>
      <c r="AA42" s="307"/>
      <c r="AB42" s="307"/>
      <c r="AC42" s="445">
        <f t="shared" si="7"/>
        <v>0</v>
      </c>
      <c r="AD42" s="442"/>
      <c r="AE42" s="443"/>
      <c r="AF42" s="444">
        <f t="shared" si="8"/>
        <v>0</v>
      </c>
      <c r="AG42" s="307"/>
      <c r="AH42" s="307"/>
      <c r="AI42" s="445">
        <f t="shared" si="9"/>
        <v>0</v>
      </c>
      <c r="AJ42" s="446">
        <v>51</v>
      </c>
      <c r="AK42" s="443">
        <v>53242.627450980392</v>
      </c>
      <c r="AL42" s="444">
        <f t="shared" si="10"/>
        <v>2715374</v>
      </c>
      <c r="AM42" s="306">
        <v>52</v>
      </c>
      <c r="AN42" s="306">
        <v>51103.076923076922</v>
      </c>
      <c r="AO42" s="447">
        <f t="shared" si="11"/>
        <v>2657360</v>
      </c>
      <c r="AP42" s="448"/>
      <c r="AQ42" s="443"/>
      <c r="AR42" s="444">
        <f t="shared" si="12"/>
        <v>0</v>
      </c>
      <c r="AS42" s="307"/>
      <c r="AT42" s="307"/>
      <c r="AU42" s="441">
        <f t="shared" si="13"/>
        <v>0</v>
      </c>
      <c r="AV42" s="442"/>
      <c r="AW42" s="443"/>
      <c r="AX42" s="444">
        <f t="shared" si="14"/>
        <v>0</v>
      </c>
      <c r="AY42" s="307"/>
      <c r="AZ42" s="307"/>
      <c r="BA42" s="445">
        <f t="shared" si="15"/>
        <v>0</v>
      </c>
      <c r="BB42" s="442"/>
      <c r="BC42" s="443"/>
      <c r="BD42" s="444">
        <f t="shared" si="16"/>
        <v>0</v>
      </c>
      <c r="BE42" s="307"/>
      <c r="BF42" s="307"/>
      <c r="BG42" s="445">
        <f t="shared" si="17"/>
        <v>0</v>
      </c>
      <c r="BH42" s="442"/>
      <c r="BI42" s="443"/>
      <c r="BJ42" s="444">
        <f t="shared" si="18"/>
        <v>0</v>
      </c>
      <c r="BK42" s="307"/>
      <c r="BL42" s="307"/>
      <c r="BM42" s="445">
        <f t="shared" si="19"/>
        <v>0</v>
      </c>
      <c r="BN42" s="442"/>
      <c r="BO42" s="443"/>
      <c r="BP42" s="444">
        <f t="shared" si="20"/>
        <v>0</v>
      </c>
      <c r="BQ42" s="307"/>
      <c r="BR42" s="307"/>
      <c r="BS42" s="445">
        <f t="shared" si="21"/>
        <v>0</v>
      </c>
      <c r="BT42" s="442"/>
      <c r="BU42" s="443">
        <v>0</v>
      </c>
      <c r="BV42" s="444">
        <f t="shared" si="22"/>
        <v>0</v>
      </c>
      <c r="BW42" s="307"/>
      <c r="BX42" s="307"/>
      <c r="BY42" s="449">
        <f t="shared" si="23"/>
        <v>0</v>
      </c>
    </row>
    <row r="43" spans="1:77" s="309" customFormat="1">
      <c r="A43" s="303" t="s">
        <v>329</v>
      </c>
      <c r="B43" s="483" t="s">
        <v>650</v>
      </c>
      <c r="C43" s="489" t="s">
        <v>1069</v>
      </c>
      <c r="D43" s="303">
        <v>102076</v>
      </c>
      <c r="E43" s="305">
        <v>10</v>
      </c>
      <c r="F43" s="453"/>
      <c r="G43" s="454"/>
      <c r="H43" s="439">
        <f t="shared" si="0"/>
        <v>0</v>
      </c>
      <c r="I43" s="311"/>
      <c r="J43" s="311"/>
      <c r="K43" s="441">
        <f t="shared" si="1"/>
        <v>0</v>
      </c>
      <c r="L43" s="442"/>
      <c r="M43" s="443"/>
      <c r="N43" s="444">
        <f t="shared" si="2"/>
        <v>0</v>
      </c>
      <c r="O43" s="307"/>
      <c r="P43" s="307"/>
      <c r="Q43" s="445">
        <f t="shared" si="3"/>
        <v>0</v>
      </c>
      <c r="R43" s="442"/>
      <c r="S43" s="443"/>
      <c r="T43" s="444">
        <f t="shared" si="4"/>
        <v>0</v>
      </c>
      <c r="U43" s="306"/>
      <c r="V43" s="306"/>
      <c r="W43" s="441">
        <f t="shared" si="5"/>
        <v>0</v>
      </c>
      <c r="X43" s="442"/>
      <c r="Y43" s="443"/>
      <c r="Z43" s="444">
        <f t="shared" si="6"/>
        <v>0</v>
      </c>
      <c r="AA43" s="307"/>
      <c r="AB43" s="307"/>
      <c r="AC43" s="445">
        <f t="shared" si="7"/>
        <v>0</v>
      </c>
      <c r="AD43" s="442"/>
      <c r="AE43" s="443"/>
      <c r="AF43" s="444">
        <f t="shared" si="8"/>
        <v>0</v>
      </c>
      <c r="AG43" s="307"/>
      <c r="AH43" s="307"/>
      <c r="AI43" s="445">
        <f t="shared" si="9"/>
        <v>0</v>
      </c>
      <c r="AJ43" s="446">
        <v>18</v>
      </c>
      <c r="AK43" s="443">
        <v>55519.055555555555</v>
      </c>
      <c r="AL43" s="444">
        <f t="shared" si="10"/>
        <v>999343</v>
      </c>
      <c r="AM43" s="306">
        <v>22</v>
      </c>
      <c r="AN43" s="306">
        <v>54464.045454545456</v>
      </c>
      <c r="AO43" s="447">
        <f t="shared" si="11"/>
        <v>1198209</v>
      </c>
      <c r="AP43" s="448"/>
      <c r="AQ43" s="443"/>
      <c r="AR43" s="444">
        <f t="shared" si="12"/>
        <v>0</v>
      </c>
      <c r="AS43" s="307"/>
      <c r="AT43" s="307"/>
      <c r="AU43" s="441">
        <f t="shared" si="13"/>
        <v>0</v>
      </c>
      <c r="AV43" s="442"/>
      <c r="AW43" s="443"/>
      <c r="AX43" s="444">
        <f t="shared" si="14"/>
        <v>0</v>
      </c>
      <c r="AY43" s="307"/>
      <c r="AZ43" s="307"/>
      <c r="BA43" s="445">
        <f t="shared" si="15"/>
        <v>0</v>
      </c>
      <c r="BB43" s="442"/>
      <c r="BC43" s="443"/>
      <c r="BD43" s="444">
        <f t="shared" si="16"/>
        <v>0</v>
      </c>
      <c r="BE43" s="307"/>
      <c r="BF43" s="307"/>
      <c r="BG43" s="445">
        <f t="shared" si="17"/>
        <v>0</v>
      </c>
      <c r="BH43" s="442"/>
      <c r="BI43" s="443"/>
      <c r="BJ43" s="444">
        <f t="shared" si="18"/>
        <v>0</v>
      </c>
      <c r="BK43" s="307"/>
      <c r="BL43" s="307"/>
      <c r="BM43" s="445">
        <f t="shared" si="19"/>
        <v>0</v>
      </c>
      <c r="BN43" s="442"/>
      <c r="BO43" s="443"/>
      <c r="BP43" s="444">
        <f t="shared" si="20"/>
        <v>0</v>
      </c>
      <c r="BQ43" s="307"/>
      <c r="BR43" s="307"/>
      <c r="BS43" s="445">
        <f t="shared" si="21"/>
        <v>0</v>
      </c>
      <c r="BT43" s="442">
        <v>17</v>
      </c>
      <c r="BU43" s="443">
        <v>76851.941176470587</v>
      </c>
      <c r="BV43" s="444">
        <f t="shared" si="22"/>
        <v>1068964.3906</v>
      </c>
      <c r="BW43" s="307">
        <v>15</v>
      </c>
      <c r="BX43" s="307">
        <v>74964.600000000006</v>
      </c>
      <c r="BY43" s="449">
        <f t="shared" si="23"/>
        <v>920040.53580000007</v>
      </c>
    </row>
    <row r="44" spans="1:77" s="309" customFormat="1">
      <c r="A44" s="303" t="s">
        <v>329</v>
      </c>
      <c r="B44" s="304" t="s">
        <v>651</v>
      </c>
      <c r="C44" s="304"/>
      <c r="D44" s="303">
        <v>102313</v>
      </c>
      <c r="E44" s="305">
        <v>12</v>
      </c>
      <c r="F44" s="453"/>
      <c r="G44" s="454"/>
      <c r="H44" s="439">
        <f t="shared" si="0"/>
        <v>0</v>
      </c>
      <c r="I44" s="311"/>
      <c r="J44" s="311"/>
      <c r="K44" s="441">
        <f t="shared" si="1"/>
        <v>0</v>
      </c>
      <c r="L44" s="442"/>
      <c r="M44" s="443"/>
      <c r="N44" s="444">
        <f t="shared" si="2"/>
        <v>0</v>
      </c>
      <c r="O44" s="307"/>
      <c r="P44" s="307"/>
      <c r="Q44" s="445">
        <f t="shared" si="3"/>
        <v>0</v>
      </c>
      <c r="R44" s="442"/>
      <c r="S44" s="443"/>
      <c r="T44" s="444">
        <f t="shared" si="4"/>
        <v>0</v>
      </c>
      <c r="U44" s="306"/>
      <c r="V44" s="306"/>
      <c r="W44" s="441">
        <f t="shared" si="5"/>
        <v>0</v>
      </c>
      <c r="X44" s="442"/>
      <c r="Y44" s="443"/>
      <c r="Z44" s="444">
        <f t="shared" si="6"/>
        <v>0</v>
      </c>
      <c r="AA44" s="307"/>
      <c r="AB44" s="307"/>
      <c r="AC44" s="445">
        <f t="shared" si="7"/>
        <v>0</v>
      </c>
      <c r="AD44" s="442"/>
      <c r="AE44" s="443"/>
      <c r="AF44" s="444">
        <f t="shared" si="8"/>
        <v>0</v>
      </c>
      <c r="AG44" s="307"/>
      <c r="AH44" s="307"/>
      <c r="AI44" s="445">
        <f t="shared" si="9"/>
        <v>0</v>
      </c>
      <c r="AJ44" s="446">
        <v>67</v>
      </c>
      <c r="AK44" s="443">
        <v>52134.014925373136</v>
      </c>
      <c r="AL44" s="444">
        <f t="shared" si="10"/>
        <v>3492979</v>
      </c>
      <c r="AM44" s="306">
        <v>69</v>
      </c>
      <c r="AN44" s="306">
        <v>52717.434782608696</v>
      </c>
      <c r="AO44" s="447">
        <f t="shared" si="11"/>
        <v>3637503</v>
      </c>
      <c r="AP44" s="448"/>
      <c r="AQ44" s="443"/>
      <c r="AR44" s="444">
        <f t="shared" si="12"/>
        <v>0</v>
      </c>
      <c r="AS44" s="307"/>
      <c r="AT44" s="307"/>
      <c r="AU44" s="441">
        <f t="shared" si="13"/>
        <v>0</v>
      </c>
      <c r="AV44" s="442"/>
      <c r="AW44" s="443"/>
      <c r="AX44" s="444">
        <f t="shared" si="14"/>
        <v>0</v>
      </c>
      <c r="AY44" s="307"/>
      <c r="AZ44" s="307"/>
      <c r="BA44" s="445">
        <f t="shared" si="15"/>
        <v>0</v>
      </c>
      <c r="BB44" s="442"/>
      <c r="BC44" s="443"/>
      <c r="BD44" s="444">
        <f t="shared" si="16"/>
        <v>0</v>
      </c>
      <c r="BE44" s="307"/>
      <c r="BF44" s="307"/>
      <c r="BG44" s="445">
        <f t="shared" si="17"/>
        <v>0</v>
      </c>
      <c r="BH44" s="442"/>
      <c r="BI44" s="443"/>
      <c r="BJ44" s="444">
        <f t="shared" si="18"/>
        <v>0</v>
      </c>
      <c r="BK44" s="307"/>
      <c r="BL44" s="307"/>
      <c r="BM44" s="445">
        <f t="shared" si="19"/>
        <v>0</v>
      </c>
      <c r="BN44" s="442"/>
      <c r="BO44" s="443"/>
      <c r="BP44" s="444">
        <f t="shared" si="20"/>
        <v>0</v>
      </c>
      <c r="BQ44" s="307"/>
      <c r="BR44" s="307"/>
      <c r="BS44" s="445">
        <f t="shared" si="21"/>
        <v>0</v>
      </c>
      <c r="BT44" s="442">
        <v>7</v>
      </c>
      <c r="BU44" s="443">
        <v>88150.28571428571</v>
      </c>
      <c r="BV44" s="444">
        <f t="shared" si="22"/>
        <v>504871.94640000002</v>
      </c>
      <c r="BW44" s="307">
        <v>7</v>
      </c>
      <c r="BX44" s="307">
        <v>88150.28571428571</v>
      </c>
      <c r="BY44" s="449">
        <f t="shared" si="23"/>
        <v>504871.94640000002</v>
      </c>
    </row>
    <row r="45" spans="1:77" s="309" customFormat="1">
      <c r="A45" s="303" t="s">
        <v>329</v>
      </c>
      <c r="B45" s="483" t="s">
        <v>652</v>
      </c>
      <c r="C45" s="489" t="s">
        <v>1070</v>
      </c>
      <c r="D45" s="303">
        <v>101462</v>
      </c>
      <c r="E45" s="305">
        <v>13</v>
      </c>
      <c r="F45" s="453"/>
      <c r="G45" s="454"/>
      <c r="H45" s="439">
        <f t="shared" si="0"/>
        <v>0</v>
      </c>
      <c r="I45" s="311"/>
      <c r="J45" s="311"/>
      <c r="K45" s="441">
        <f t="shared" si="1"/>
        <v>0</v>
      </c>
      <c r="L45" s="442"/>
      <c r="M45" s="443"/>
      <c r="N45" s="444">
        <f t="shared" si="2"/>
        <v>0</v>
      </c>
      <c r="O45" s="307"/>
      <c r="P45" s="307"/>
      <c r="Q45" s="445">
        <f t="shared" si="3"/>
        <v>0</v>
      </c>
      <c r="R45" s="442"/>
      <c r="S45" s="443"/>
      <c r="T45" s="444">
        <f t="shared" si="4"/>
        <v>0</v>
      </c>
      <c r="U45" s="306"/>
      <c r="V45" s="306"/>
      <c r="W45" s="441">
        <f t="shared" si="5"/>
        <v>0</v>
      </c>
      <c r="X45" s="442"/>
      <c r="Y45" s="443"/>
      <c r="Z45" s="444">
        <f t="shared" si="6"/>
        <v>0</v>
      </c>
      <c r="AA45" s="307"/>
      <c r="AB45" s="307"/>
      <c r="AC45" s="445">
        <f t="shared" si="7"/>
        <v>0</v>
      </c>
      <c r="AD45" s="442"/>
      <c r="AE45" s="443"/>
      <c r="AF45" s="444">
        <f t="shared" si="8"/>
        <v>0</v>
      </c>
      <c r="AG45" s="307"/>
      <c r="AH45" s="307"/>
      <c r="AI45" s="445">
        <f t="shared" si="9"/>
        <v>0</v>
      </c>
      <c r="AJ45" s="446">
        <v>25</v>
      </c>
      <c r="AK45" s="443">
        <v>54039.44</v>
      </c>
      <c r="AL45" s="444">
        <f t="shared" si="10"/>
        <v>1350986</v>
      </c>
      <c r="AM45" s="306">
        <v>24</v>
      </c>
      <c r="AN45" s="306">
        <v>53448.583333333336</v>
      </c>
      <c r="AO45" s="447">
        <f t="shared" si="11"/>
        <v>1282766</v>
      </c>
      <c r="AP45" s="448"/>
      <c r="AQ45" s="443"/>
      <c r="AR45" s="444">
        <f t="shared" si="12"/>
        <v>0</v>
      </c>
      <c r="AS45" s="307"/>
      <c r="AT45" s="307"/>
      <c r="AU45" s="441">
        <f t="shared" si="13"/>
        <v>0</v>
      </c>
      <c r="AV45" s="442"/>
      <c r="AW45" s="443"/>
      <c r="AX45" s="444">
        <f t="shared" si="14"/>
        <v>0</v>
      </c>
      <c r="AY45" s="307"/>
      <c r="AZ45" s="307"/>
      <c r="BA45" s="445">
        <f t="shared" si="15"/>
        <v>0</v>
      </c>
      <c r="BB45" s="442"/>
      <c r="BC45" s="443"/>
      <c r="BD45" s="444">
        <f t="shared" si="16"/>
        <v>0</v>
      </c>
      <c r="BE45" s="307"/>
      <c r="BF45" s="307"/>
      <c r="BG45" s="445">
        <f t="shared" si="17"/>
        <v>0</v>
      </c>
      <c r="BH45" s="442"/>
      <c r="BI45" s="443"/>
      <c r="BJ45" s="444">
        <f t="shared" si="18"/>
        <v>0</v>
      </c>
      <c r="BK45" s="307"/>
      <c r="BL45" s="307"/>
      <c r="BM45" s="445">
        <f t="shared" si="19"/>
        <v>0</v>
      </c>
      <c r="BN45" s="442"/>
      <c r="BO45" s="443"/>
      <c r="BP45" s="444">
        <f t="shared" si="20"/>
        <v>0</v>
      </c>
      <c r="BQ45" s="307"/>
      <c r="BR45" s="307"/>
      <c r="BS45" s="445">
        <f t="shared" si="21"/>
        <v>0</v>
      </c>
      <c r="BT45" s="442"/>
      <c r="BU45" s="443">
        <v>0</v>
      </c>
      <c r="BV45" s="444">
        <f t="shared" si="22"/>
        <v>0</v>
      </c>
      <c r="BW45" s="307">
        <v>4</v>
      </c>
      <c r="BX45" s="307">
        <v>30154.5</v>
      </c>
      <c r="BY45" s="449">
        <f t="shared" si="23"/>
        <v>98689.647600000011</v>
      </c>
    </row>
    <row r="46" spans="1:77" s="309" customFormat="1">
      <c r="A46" s="303" t="s">
        <v>329</v>
      </c>
      <c r="B46" s="304" t="s">
        <v>653</v>
      </c>
      <c r="C46" s="304"/>
      <c r="D46" s="303">
        <v>101471</v>
      </c>
      <c r="E46" s="305">
        <v>13</v>
      </c>
      <c r="F46" s="453"/>
      <c r="G46" s="454"/>
      <c r="H46" s="439">
        <f t="shared" si="0"/>
        <v>0</v>
      </c>
      <c r="I46" s="311"/>
      <c r="J46" s="311"/>
      <c r="K46" s="441">
        <f t="shared" si="1"/>
        <v>0</v>
      </c>
      <c r="L46" s="442"/>
      <c r="M46" s="443"/>
      <c r="N46" s="444">
        <f t="shared" si="2"/>
        <v>0</v>
      </c>
      <c r="O46" s="307"/>
      <c r="P46" s="307"/>
      <c r="Q46" s="445">
        <f t="shared" si="3"/>
        <v>0</v>
      </c>
      <c r="R46" s="442"/>
      <c r="S46" s="443"/>
      <c r="T46" s="444">
        <f t="shared" si="4"/>
        <v>0</v>
      </c>
      <c r="U46" s="306"/>
      <c r="V46" s="306"/>
      <c r="W46" s="441">
        <f t="shared" si="5"/>
        <v>0</v>
      </c>
      <c r="X46" s="442"/>
      <c r="Y46" s="443"/>
      <c r="Z46" s="444">
        <f t="shared" si="6"/>
        <v>0</v>
      </c>
      <c r="AA46" s="307"/>
      <c r="AB46" s="307"/>
      <c r="AC46" s="445">
        <f t="shared" si="7"/>
        <v>0</v>
      </c>
      <c r="AD46" s="442"/>
      <c r="AE46" s="443"/>
      <c r="AF46" s="444">
        <f t="shared" si="8"/>
        <v>0</v>
      </c>
      <c r="AG46" s="307"/>
      <c r="AH46" s="307"/>
      <c r="AI46" s="445">
        <f t="shared" si="9"/>
        <v>0</v>
      </c>
      <c r="AJ46" s="446">
        <v>17</v>
      </c>
      <c r="AK46" s="443">
        <v>48234.823529411762</v>
      </c>
      <c r="AL46" s="444">
        <f t="shared" si="10"/>
        <v>819992</v>
      </c>
      <c r="AM46" s="306">
        <v>17</v>
      </c>
      <c r="AN46" s="306">
        <v>48086.941176470587</v>
      </c>
      <c r="AO46" s="447">
        <f t="shared" si="11"/>
        <v>817478</v>
      </c>
      <c r="AP46" s="448"/>
      <c r="AQ46" s="443"/>
      <c r="AR46" s="444">
        <f t="shared" si="12"/>
        <v>0</v>
      </c>
      <c r="AS46" s="307"/>
      <c r="AT46" s="307"/>
      <c r="AU46" s="441">
        <f t="shared" si="13"/>
        <v>0</v>
      </c>
      <c r="AV46" s="442"/>
      <c r="AW46" s="443"/>
      <c r="AX46" s="444">
        <f t="shared" si="14"/>
        <v>0</v>
      </c>
      <c r="AY46" s="307"/>
      <c r="AZ46" s="307"/>
      <c r="BA46" s="445">
        <f t="shared" si="15"/>
        <v>0</v>
      </c>
      <c r="BB46" s="442"/>
      <c r="BC46" s="443"/>
      <c r="BD46" s="444">
        <f t="shared" si="16"/>
        <v>0</v>
      </c>
      <c r="BE46" s="307"/>
      <c r="BF46" s="307"/>
      <c r="BG46" s="445">
        <f t="shared" si="17"/>
        <v>0</v>
      </c>
      <c r="BH46" s="442"/>
      <c r="BI46" s="443"/>
      <c r="BJ46" s="444">
        <f t="shared" si="18"/>
        <v>0</v>
      </c>
      <c r="BK46" s="307"/>
      <c r="BL46" s="307"/>
      <c r="BM46" s="445">
        <f t="shared" si="19"/>
        <v>0</v>
      </c>
      <c r="BN46" s="442"/>
      <c r="BO46" s="443"/>
      <c r="BP46" s="444">
        <f t="shared" si="20"/>
        <v>0</v>
      </c>
      <c r="BQ46" s="307"/>
      <c r="BR46" s="307"/>
      <c r="BS46" s="445">
        <f t="shared" si="21"/>
        <v>0</v>
      </c>
      <c r="BT46" s="442">
        <v>21</v>
      </c>
      <c r="BU46" s="443">
        <v>76884.904761904763</v>
      </c>
      <c r="BV46" s="444">
        <f t="shared" si="22"/>
        <v>1321051.8106</v>
      </c>
      <c r="BW46" s="307">
        <v>14</v>
      </c>
      <c r="BX46" s="307">
        <v>86097.928571428565</v>
      </c>
      <c r="BY46" s="449">
        <f t="shared" si="23"/>
        <v>986234.55220000003</v>
      </c>
    </row>
    <row r="47" spans="1:77" s="309" customFormat="1">
      <c r="A47" s="303" t="s">
        <v>329</v>
      </c>
      <c r="B47" s="304" t="s">
        <v>654</v>
      </c>
      <c r="C47" s="304"/>
      <c r="D47" s="303">
        <v>101994</v>
      </c>
      <c r="E47" s="305">
        <v>13</v>
      </c>
      <c r="F47" s="453"/>
      <c r="G47" s="454"/>
      <c r="H47" s="439">
        <f t="shared" si="0"/>
        <v>0</v>
      </c>
      <c r="I47" s="311"/>
      <c r="J47" s="311"/>
      <c r="K47" s="441">
        <f t="shared" si="1"/>
        <v>0</v>
      </c>
      <c r="L47" s="442"/>
      <c r="M47" s="443"/>
      <c r="N47" s="444">
        <f t="shared" si="2"/>
        <v>0</v>
      </c>
      <c r="O47" s="307"/>
      <c r="P47" s="307"/>
      <c r="Q47" s="445">
        <f t="shared" si="3"/>
        <v>0</v>
      </c>
      <c r="R47" s="442"/>
      <c r="S47" s="443"/>
      <c r="T47" s="444">
        <f t="shared" si="4"/>
        <v>0</v>
      </c>
      <c r="U47" s="306"/>
      <c r="V47" s="306"/>
      <c r="W47" s="441">
        <f t="shared" si="5"/>
        <v>0</v>
      </c>
      <c r="X47" s="442"/>
      <c r="Y47" s="443"/>
      <c r="Z47" s="444">
        <f t="shared" si="6"/>
        <v>0</v>
      </c>
      <c r="AA47" s="307"/>
      <c r="AB47" s="307"/>
      <c r="AC47" s="445">
        <f t="shared" si="7"/>
        <v>0</v>
      </c>
      <c r="AD47" s="442"/>
      <c r="AE47" s="443"/>
      <c r="AF47" s="444">
        <f t="shared" si="8"/>
        <v>0</v>
      </c>
      <c r="AG47" s="307"/>
      <c r="AH47" s="307"/>
      <c r="AI47" s="445">
        <f t="shared" si="9"/>
        <v>0</v>
      </c>
      <c r="AJ47" s="446">
        <v>20</v>
      </c>
      <c r="AK47" s="443">
        <v>50049.75</v>
      </c>
      <c r="AL47" s="444">
        <f t="shared" si="10"/>
        <v>1000995</v>
      </c>
      <c r="AM47" s="306">
        <v>20</v>
      </c>
      <c r="AN47" s="306">
        <v>50390.2</v>
      </c>
      <c r="AO47" s="447">
        <f t="shared" si="11"/>
        <v>1007804</v>
      </c>
      <c r="AP47" s="448"/>
      <c r="AQ47" s="443"/>
      <c r="AR47" s="444">
        <f t="shared" si="12"/>
        <v>0</v>
      </c>
      <c r="AS47" s="307"/>
      <c r="AT47" s="307"/>
      <c r="AU47" s="441">
        <f t="shared" si="13"/>
        <v>0</v>
      </c>
      <c r="AV47" s="442"/>
      <c r="AW47" s="443"/>
      <c r="AX47" s="444">
        <f t="shared" si="14"/>
        <v>0</v>
      </c>
      <c r="AY47" s="307"/>
      <c r="AZ47" s="307"/>
      <c r="BA47" s="445">
        <f t="shared" si="15"/>
        <v>0</v>
      </c>
      <c r="BB47" s="442"/>
      <c r="BC47" s="443"/>
      <c r="BD47" s="444">
        <f t="shared" si="16"/>
        <v>0</v>
      </c>
      <c r="BE47" s="307"/>
      <c r="BF47" s="307"/>
      <c r="BG47" s="445">
        <f t="shared" si="17"/>
        <v>0</v>
      </c>
      <c r="BH47" s="442"/>
      <c r="BI47" s="443"/>
      <c r="BJ47" s="444">
        <f t="shared" si="18"/>
        <v>0</v>
      </c>
      <c r="BK47" s="307"/>
      <c r="BL47" s="307"/>
      <c r="BM47" s="445">
        <f t="shared" si="19"/>
        <v>0</v>
      </c>
      <c r="BN47" s="442"/>
      <c r="BO47" s="443"/>
      <c r="BP47" s="444">
        <f t="shared" si="20"/>
        <v>0</v>
      </c>
      <c r="BQ47" s="307"/>
      <c r="BR47" s="307"/>
      <c r="BS47" s="445">
        <f t="shared" si="21"/>
        <v>0</v>
      </c>
      <c r="BT47" s="442">
        <v>6</v>
      </c>
      <c r="BU47" s="443">
        <v>53014.833333333336</v>
      </c>
      <c r="BV47" s="444">
        <f t="shared" si="22"/>
        <v>260260.4198</v>
      </c>
      <c r="BW47" s="307">
        <v>6</v>
      </c>
      <c r="BX47" s="307">
        <v>54097.666666666664</v>
      </c>
      <c r="BY47" s="449">
        <f t="shared" si="23"/>
        <v>265576.26520000002</v>
      </c>
    </row>
    <row r="48" spans="1:77" s="309" customFormat="1" ht="12.75" customHeight="1">
      <c r="A48" s="313" t="s">
        <v>338</v>
      </c>
      <c r="B48" s="314" t="s">
        <v>557</v>
      </c>
      <c r="C48" s="314"/>
      <c r="D48" s="313">
        <v>106397</v>
      </c>
      <c r="E48" s="415">
        <v>1</v>
      </c>
      <c r="F48" s="453">
        <v>205</v>
      </c>
      <c r="G48" s="454">
        <v>102234.86829268292</v>
      </c>
      <c r="H48" s="439">
        <f t="shared" si="0"/>
        <v>20958148</v>
      </c>
      <c r="I48" s="311">
        <v>216</v>
      </c>
      <c r="J48" s="311">
        <v>106586.71296296296</v>
      </c>
      <c r="K48" s="441">
        <f t="shared" si="1"/>
        <v>23022730</v>
      </c>
      <c r="L48" s="442">
        <v>160</v>
      </c>
      <c r="M48" s="443">
        <v>73765.487500000003</v>
      </c>
      <c r="N48" s="444">
        <f t="shared" si="2"/>
        <v>11802478</v>
      </c>
      <c r="O48" s="307">
        <v>165</v>
      </c>
      <c r="P48" s="307">
        <v>74213.272727272721</v>
      </c>
      <c r="Q48" s="445">
        <f t="shared" si="3"/>
        <v>12245189.999999998</v>
      </c>
      <c r="R48" s="442">
        <v>141</v>
      </c>
      <c r="S48" s="443">
        <v>69428.191489361707</v>
      </c>
      <c r="T48" s="444">
        <f t="shared" si="4"/>
        <v>9789375</v>
      </c>
      <c r="U48" s="306">
        <v>155</v>
      </c>
      <c r="V48" s="306">
        <v>70544</v>
      </c>
      <c r="W48" s="441">
        <f t="shared" si="5"/>
        <v>10934320</v>
      </c>
      <c r="X48" s="442">
        <v>94</v>
      </c>
      <c r="Y48" s="443">
        <v>40695.755319148935</v>
      </c>
      <c r="Z48" s="444">
        <f t="shared" si="6"/>
        <v>3825401</v>
      </c>
      <c r="AA48" s="307">
        <v>100</v>
      </c>
      <c r="AB48" s="307">
        <v>42014.18</v>
      </c>
      <c r="AC48" s="445">
        <f t="shared" si="7"/>
        <v>4201418</v>
      </c>
      <c r="AD48" s="442">
        <v>56</v>
      </c>
      <c r="AE48" s="443">
        <v>43586.410714285717</v>
      </c>
      <c r="AF48" s="444">
        <f t="shared" si="8"/>
        <v>2440839</v>
      </c>
      <c r="AG48" s="307">
        <v>70</v>
      </c>
      <c r="AH48" s="307">
        <v>43871.028571428571</v>
      </c>
      <c r="AI48" s="445">
        <f t="shared" si="9"/>
        <v>3070972</v>
      </c>
      <c r="AJ48" s="446"/>
      <c r="AK48" s="443"/>
      <c r="AL48" s="444">
        <f t="shared" si="10"/>
        <v>0</v>
      </c>
      <c r="AM48" s="307">
        <v>0</v>
      </c>
      <c r="AN48" s="307">
        <v>0</v>
      </c>
      <c r="AO48" s="447">
        <f t="shared" si="11"/>
        <v>0</v>
      </c>
      <c r="AP48" s="448">
        <v>144</v>
      </c>
      <c r="AQ48" s="443">
        <v>120085.20138888889</v>
      </c>
      <c r="AR48" s="444">
        <f t="shared" si="12"/>
        <v>14148534.495800002</v>
      </c>
      <c r="AS48" s="307">
        <v>143</v>
      </c>
      <c r="AT48" s="610">
        <v>121053.42657342658</v>
      </c>
      <c r="AU48" s="441">
        <f t="shared" si="13"/>
        <v>14163565.648</v>
      </c>
      <c r="AV48" s="442">
        <v>62</v>
      </c>
      <c r="AW48" s="443">
        <v>86157.548387096773</v>
      </c>
      <c r="AX48" s="444">
        <f t="shared" si="14"/>
        <v>4370634.5776000004</v>
      </c>
      <c r="AY48" s="612">
        <v>53</v>
      </c>
      <c r="AZ48" s="612">
        <v>88342.283018867922</v>
      </c>
      <c r="BA48" s="445">
        <f t="shared" si="15"/>
        <v>3830927.7662</v>
      </c>
      <c r="BB48" s="442">
        <v>15</v>
      </c>
      <c r="BC48" s="443">
        <v>75306.066666666666</v>
      </c>
      <c r="BD48" s="444">
        <f t="shared" si="16"/>
        <v>924231.35620000004</v>
      </c>
      <c r="BE48" s="612">
        <v>15</v>
      </c>
      <c r="BF48" s="612">
        <f>1163766/BE48</f>
        <v>77584.399999999994</v>
      </c>
      <c r="BG48" s="445">
        <f t="shared" si="17"/>
        <v>952193.34120000002</v>
      </c>
      <c r="BH48" s="442">
        <v>24</v>
      </c>
      <c r="BI48" s="443">
        <v>52527.416666666664</v>
      </c>
      <c r="BJ48" s="444">
        <f t="shared" si="18"/>
        <v>1031470.3756</v>
      </c>
      <c r="BK48" s="612">
        <v>29</v>
      </c>
      <c r="BL48" s="612">
        <f>1646778/BK48</f>
        <v>56785.448275862072</v>
      </c>
      <c r="BM48" s="445">
        <f t="shared" si="19"/>
        <v>1347393.7596</v>
      </c>
      <c r="BN48" s="442">
        <v>7</v>
      </c>
      <c r="BO48" s="443">
        <v>69617.28571428571</v>
      </c>
      <c r="BP48" s="444">
        <f t="shared" si="20"/>
        <v>398726.04220000003</v>
      </c>
      <c r="BQ48" s="612">
        <v>6</v>
      </c>
      <c r="BR48" s="612">
        <f>504811/BQ48</f>
        <v>84135.166666666672</v>
      </c>
      <c r="BS48" s="445">
        <f t="shared" si="21"/>
        <v>413036.3602</v>
      </c>
      <c r="BT48" s="442"/>
      <c r="BU48" s="443"/>
      <c r="BV48" s="444">
        <f t="shared" si="22"/>
        <v>0</v>
      </c>
      <c r="BW48" s="307">
        <v>0</v>
      </c>
      <c r="BX48" s="307">
        <v>0</v>
      </c>
      <c r="BY48" s="449">
        <f t="shared" si="23"/>
        <v>0</v>
      </c>
    </row>
    <row r="49" spans="1:77" s="309" customFormat="1" ht="12.75" customHeight="1">
      <c r="A49" s="313" t="s">
        <v>338</v>
      </c>
      <c r="B49" s="314" t="s">
        <v>558</v>
      </c>
      <c r="C49" s="314"/>
      <c r="D49" s="313">
        <v>106458</v>
      </c>
      <c r="E49" s="415">
        <v>3</v>
      </c>
      <c r="F49" s="453">
        <v>73</v>
      </c>
      <c r="G49" s="454">
        <v>74476.643835616444</v>
      </c>
      <c r="H49" s="439">
        <f t="shared" si="0"/>
        <v>5436795</v>
      </c>
      <c r="I49" s="311">
        <v>86</v>
      </c>
      <c r="J49" s="311">
        <v>71929.558139534885</v>
      </c>
      <c r="K49" s="441">
        <f t="shared" si="1"/>
        <v>6185942</v>
      </c>
      <c r="L49" s="442">
        <v>111</v>
      </c>
      <c r="M49" s="443">
        <v>58503.62162162162</v>
      </c>
      <c r="N49" s="444">
        <f t="shared" si="2"/>
        <v>6493902</v>
      </c>
      <c r="O49" s="307">
        <v>106</v>
      </c>
      <c r="P49" s="307">
        <v>58569.264150943396</v>
      </c>
      <c r="Q49" s="445">
        <f t="shared" si="3"/>
        <v>6208342</v>
      </c>
      <c r="R49" s="442">
        <v>136</v>
      </c>
      <c r="S49" s="443">
        <v>54125.617647058825</v>
      </c>
      <c r="T49" s="444">
        <f t="shared" si="4"/>
        <v>7361084</v>
      </c>
      <c r="U49" s="306">
        <v>134</v>
      </c>
      <c r="V49" s="306">
        <v>54350.305970149253</v>
      </c>
      <c r="W49" s="441">
        <f t="shared" si="5"/>
        <v>7282941</v>
      </c>
      <c r="X49" s="442">
        <v>96</v>
      </c>
      <c r="Y49" s="443">
        <v>36690.0625</v>
      </c>
      <c r="Z49" s="444">
        <f t="shared" si="6"/>
        <v>3522246</v>
      </c>
      <c r="AA49" s="307">
        <v>89</v>
      </c>
      <c r="AB49" s="307">
        <v>34684.415730337081</v>
      </c>
      <c r="AC49" s="445">
        <f t="shared" si="7"/>
        <v>3086913</v>
      </c>
      <c r="AD49" s="442"/>
      <c r="AE49" s="443"/>
      <c r="AF49" s="444">
        <f t="shared" si="8"/>
        <v>0</v>
      </c>
      <c r="AG49" s="307">
        <v>0</v>
      </c>
      <c r="AH49" s="307">
        <v>0</v>
      </c>
      <c r="AI49" s="445">
        <f t="shared" si="9"/>
        <v>0</v>
      </c>
      <c r="AJ49" s="446"/>
      <c r="AK49" s="443"/>
      <c r="AL49" s="444">
        <f t="shared" si="10"/>
        <v>0</v>
      </c>
      <c r="AM49" s="307">
        <v>0</v>
      </c>
      <c r="AN49" s="307">
        <v>0</v>
      </c>
      <c r="AO49" s="447">
        <f t="shared" si="11"/>
        <v>0</v>
      </c>
      <c r="AP49" s="448">
        <v>22</v>
      </c>
      <c r="AQ49" s="443">
        <v>96296.863636363632</v>
      </c>
      <c r="AR49" s="444">
        <f t="shared" si="12"/>
        <v>1733382.0642000001</v>
      </c>
      <c r="AS49" s="307">
        <v>18</v>
      </c>
      <c r="AT49" s="610">
        <v>100073.94444444444</v>
      </c>
      <c r="AU49" s="441">
        <f t="shared" si="13"/>
        <v>1473849.0242000001</v>
      </c>
      <c r="AV49" s="442">
        <v>17</v>
      </c>
      <c r="AW49" s="443">
        <v>86618.117647058825</v>
      </c>
      <c r="AX49" s="444">
        <f t="shared" si="14"/>
        <v>1204806.0456000001</v>
      </c>
      <c r="AY49" s="612">
        <v>20</v>
      </c>
      <c r="AZ49" s="612">
        <v>83918.6</v>
      </c>
      <c r="BA49" s="445">
        <f t="shared" si="15"/>
        <v>1373243.9704</v>
      </c>
      <c r="BB49" s="442">
        <v>15</v>
      </c>
      <c r="BC49" s="443">
        <v>42941.333333333336</v>
      </c>
      <c r="BD49" s="444">
        <f t="shared" si="16"/>
        <v>527018.98400000005</v>
      </c>
      <c r="BE49" s="612">
        <v>17</v>
      </c>
      <c r="BF49" s="612">
        <f>1234128/BE49</f>
        <v>72595.76470588235</v>
      </c>
      <c r="BG49" s="445">
        <f t="shared" si="17"/>
        <v>1009763.5296</v>
      </c>
      <c r="BH49" s="442">
        <v>12</v>
      </c>
      <c r="BI49" s="443">
        <v>43168.583333333336</v>
      </c>
      <c r="BJ49" s="444">
        <f t="shared" si="18"/>
        <v>423846.41860000003</v>
      </c>
      <c r="BK49" s="612">
        <v>12</v>
      </c>
      <c r="BL49" s="612">
        <f>543473/BK49</f>
        <v>45289.416666666664</v>
      </c>
      <c r="BM49" s="445">
        <f t="shared" si="19"/>
        <v>444669.60860000004</v>
      </c>
      <c r="BN49" s="442"/>
      <c r="BO49" s="443"/>
      <c r="BP49" s="444">
        <f t="shared" si="20"/>
        <v>0</v>
      </c>
      <c r="BQ49" s="612">
        <v>0</v>
      </c>
      <c r="BR49" s="612">
        <v>0</v>
      </c>
      <c r="BS49" s="445">
        <f t="shared" si="21"/>
        <v>0</v>
      </c>
      <c r="BT49" s="442"/>
      <c r="BU49" s="443"/>
      <c r="BV49" s="444">
        <f t="shared" si="22"/>
        <v>0</v>
      </c>
      <c r="BW49" s="307">
        <v>0</v>
      </c>
      <c r="BX49" s="307">
        <v>0</v>
      </c>
      <c r="BY49" s="449">
        <f t="shared" si="23"/>
        <v>0</v>
      </c>
    </row>
    <row r="50" spans="1:77" s="309" customFormat="1" ht="12.75" customHeight="1">
      <c r="A50" s="313" t="s">
        <v>338</v>
      </c>
      <c r="B50" s="314" t="s">
        <v>559</v>
      </c>
      <c r="C50" s="314"/>
      <c r="D50" s="313">
        <v>106245</v>
      </c>
      <c r="E50" s="415">
        <v>3</v>
      </c>
      <c r="F50" s="453">
        <v>110</v>
      </c>
      <c r="G50" s="454">
        <v>85425.290909090909</v>
      </c>
      <c r="H50" s="439">
        <f t="shared" si="0"/>
        <v>9396782</v>
      </c>
      <c r="I50" s="311">
        <v>112</v>
      </c>
      <c r="J50" s="311">
        <v>83832.267857142855</v>
      </c>
      <c r="K50" s="441">
        <f t="shared" si="1"/>
        <v>9389214</v>
      </c>
      <c r="L50" s="442">
        <v>110</v>
      </c>
      <c r="M50" s="443">
        <v>66280.427272727276</v>
      </c>
      <c r="N50" s="444">
        <f t="shared" si="2"/>
        <v>7290847</v>
      </c>
      <c r="O50" s="307">
        <v>109</v>
      </c>
      <c r="P50" s="307">
        <v>66162.46788990825</v>
      </c>
      <c r="Q50" s="445">
        <f t="shared" si="3"/>
        <v>7211708.9999999991</v>
      </c>
      <c r="R50" s="442">
        <v>122</v>
      </c>
      <c r="S50" s="443">
        <v>56955.688524590165</v>
      </c>
      <c r="T50" s="444">
        <f t="shared" si="4"/>
        <v>6948594</v>
      </c>
      <c r="U50" s="306">
        <v>102</v>
      </c>
      <c r="V50" s="306">
        <v>56930.656862745098</v>
      </c>
      <c r="W50" s="441">
        <f t="shared" si="5"/>
        <v>5806927</v>
      </c>
      <c r="X50" s="442">
        <v>77</v>
      </c>
      <c r="Y50" s="443">
        <v>40203.441558441562</v>
      </c>
      <c r="Z50" s="444">
        <f t="shared" si="6"/>
        <v>3095665.0000000005</v>
      </c>
      <c r="AA50" s="307">
        <v>70</v>
      </c>
      <c r="AB50" s="307">
        <v>40203.599999999999</v>
      </c>
      <c r="AC50" s="445">
        <f t="shared" si="7"/>
        <v>2814252</v>
      </c>
      <c r="AD50" s="442">
        <v>8</v>
      </c>
      <c r="AE50" s="443">
        <v>39473.75</v>
      </c>
      <c r="AF50" s="444">
        <f t="shared" si="8"/>
        <v>315790</v>
      </c>
      <c r="AG50" s="307">
        <v>4</v>
      </c>
      <c r="AH50" s="307">
        <v>36400</v>
      </c>
      <c r="AI50" s="445">
        <f t="shared" si="9"/>
        <v>145600</v>
      </c>
      <c r="AJ50" s="446"/>
      <c r="AK50" s="443"/>
      <c r="AL50" s="444">
        <f t="shared" si="10"/>
        <v>0</v>
      </c>
      <c r="AM50" s="307">
        <v>0</v>
      </c>
      <c r="AN50" s="307">
        <v>0</v>
      </c>
      <c r="AO50" s="447">
        <f t="shared" si="11"/>
        <v>0</v>
      </c>
      <c r="AP50" s="448">
        <v>38</v>
      </c>
      <c r="AQ50" s="443">
        <v>78488.368421052626</v>
      </c>
      <c r="AR50" s="444">
        <f t="shared" si="12"/>
        <v>2440328.9556</v>
      </c>
      <c r="AS50" s="307">
        <v>41</v>
      </c>
      <c r="AT50" s="610">
        <v>94424.707317073175</v>
      </c>
      <c r="AU50" s="441">
        <f t="shared" si="13"/>
        <v>3167590.1166000003</v>
      </c>
      <c r="AV50" s="442">
        <v>16</v>
      </c>
      <c r="AW50" s="443">
        <v>75109.5</v>
      </c>
      <c r="AX50" s="444">
        <f t="shared" si="14"/>
        <v>983273.48640000005</v>
      </c>
      <c r="AY50" s="612">
        <v>20</v>
      </c>
      <c r="AZ50" s="612">
        <v>81485.45</v>
      </c>
      <c r="BA50" s="445">
        <f t="shared" si="15"/>
        <v>1333427.9038</v>
      </c>
      <c r="BB50" s="442">
        <v>20</v>
      </c>
      <c r="BC50" s="443">
        <v>24003.8</v>
      </c>
      <c r="BD50" s="444">
        <f t="shared" si="16"/>
        <v>392798.18320000003</v>
      </c>
      <c r="BE50" s="612">
        <v>21</v>
      </c>
      <c r="BF50" s="612">
        <f>1163536/BE50</f>
        <v>55406.476190476191</v>
      </c>
      <c r="BG50" s="445">
        <f t="shared" si="17"/>
        <v>952005.15520000004</v>
      </c>
      <c r="BH50" s="442">
        <v>18</v>
      </c>
      <c r="BI50" s="443">
        <v>42225.5</v>
      </c>
      <c r="BJ50" s="444">
        <f t="shared" si="18"/>
        <v>621880.27380000008</v>
      </c>
      <c r="BK50" s="612">
        <v>20</v>
      </c>
      <c r="BL50" s="612">
        <f>935128/BK50</f>
        <v>46756.4</v>
      </c>
      <c r="BM50" s="445">
        <f t="shared" si="19"/>
        <v>765121.72960000008</v>
      </c>
      <c r="BN50" s="442">
        <v>23</v>
      </c>
      <c r="BO50" s="443">
        <v>8287.391304347826</v>
      </c>
      <c r="BP50" s="444">
        <f t="shared" si="20"/>
        <v>155957.10200000001</v>
      </c>
      <c r="BQ50" s="612">
        <v>8</v>
      </c>
      <c r="BR50" s="612">
        <f>358667/BQ50</f>
        <v>44833.375</v>
      </c>
      <c r="BS50" s="445">
        <f t="shared" si="21"/>
        <v>293461.3394</v>
      </c>
      <c r="BT50" s="442"/>
      <c r="BU50" s="443"/>
      <c r="BV50" s="444">
        <f t="shared" si="22"/>
        <v>0</v>
      </c>
      <c r="BW50" s="307">
        <v>0</v>
      </c>
      <c r="BX50" s="307">
        <v>0</v>
      </c>
      <c r="BY50" s="449">
        <f t="shared" si="23"/>
        <v>0</v>
      </c>
    </row>
    <row r="51" spans="1:77" s="309" customFormat="1" ht="12.75" customHeight="1">
      <c r="A51" s="313" t="s">
        <v>338</v>
      </c>
      <c r="B51" s="314" t="s">
        <v>560</v>
      </c>
      <c r="C51" s="314"/>
      <c r="D51" s="313">
        <v>106704</v>
      </c>
      <c r="E51" s="415">
        <v>3</v>
      </c>
      <c r="F51" s="453">
        <v>62</v>
      </c>
      <c r="G51" s="454">
        <v>75160.951612903227</v>
      </c>
      <c r="H51" s="439">
        <f t="shared" si="0"/>
        <v>4659979</v>
      </c>
      <c r="I51" s="311">
        <v>62</v>
      </c>
      <c r="J51" s="311">
        <v>75204.483870967742</v>
      </c>
      <c r="K51" s="441">
        <f t="shared" si="1"/>
        <v>4662678</v>
      </c>
      <c r="L51" s="442">
        <v>89</v>
      </c>
      <c r="M51" s="443">
        <v>61421.505617977527</v>
      </c>
      <c r="N51" s="444">
        <f t="shared" si="2"/>
        <v>5466514</v>
      </c>
      <c r="O51" s="307">
        <v>101</v>
      </c>
      <c r="P51" s="307">
        <v>60495.792079207924</v>
      </c>
      <c r="Q51" s="445">
        <f t="shared" si="3"/>
        <v>6110075</v>
      </c>
      <c r="R51" s="442">
        <v>158</v>
      </c>
      <c r="S51" s="443">
        <v>54463.234177215192</v>
      </c>
      <c r="T51" s="444">
        <f t="shared" si="4"/>
        <v>8605191</v>
      </c>
      <c r="U51" s="306">
        <v>151</v>
      </c>
      <c r="V51" s="306">
        <v>54741.423841059601</v>
      </c>
      <c r="W51" s="441">
        <f t="shared" si="5"/>
        <v>8265955</v>
      </c>
      <c r="X51" s="442">
        <v>92</v>
      </c>
      <c r="Y51" s="443">
        <v>42042.695652173912</v>
      </c>
      <c r="Z51" s="444">
        <f t="shared" si="6"/>
        <v>3867928</v>
      </c>
      <c r="AA51" s="307">
        <v>94</v>
      </c>
      <c r="AB51" s="307">
        <v>39040.361702127659</v>
      </c>
      <c r="AC51" s="445">
        <f t="shared" si="7"/>
        <v>3669794</v>
      </c>
      <c r="AD51" s="442">
        <v>54</v>
      </c>
      <c r="AE51" s="443">
        <v>41221.222222222219</v>
      </c>
      <c r="AF51" s="444">
        <f t="shared" si="8"/>
        <v>2225946</v>
      </c>
      <c r="AG51" s="307">
        <v>51</v>
      </c>
      <c r="AH51" s="307">
        <v>41177.156862745098</v>
      </c>
      <c r="AI51" s="445">
        <f t="shared" si="9"/>
        <v>2100035</v>
      </c>
      <c r="AJ51" s="446"/>
      <c r="AK51" s="443"/>
      <c r="AL51" s="444">
        <f t="shared" si="10"/>
        <v>0</v>
      </c>
      <c r="AM51" s="307">
        <v>0</v>
      </c>
      <c r="AN51" s="307">
        <v>0</v>
      </c>
      <c r="AO51" s="447">
        <f t="shared" si="11"/>
        <v>0</v>
      </c>
      <c r="AP51" s="448">
        <v>24</v>
      </c>
      <c r="AQ51" s="443">
        <v>99135.041666666672</v>
      </c>
      <c r="AR51" s="444">
        <f t="shared" si="12"/>
        <v>1946694.9862000002</v>
      </c>
      <c r="AS51" s="307">
        <v>26</v>
      </c>
      <c r="AT51" s="610">
        <v>81868.769230769234</v>
      </c>
      <c r="AU51" s="441">
        <f t="shared" si="13"/>
        <v>1741610.7016</v>
      </c>
      <c r="AV51" s="442">
        <v>14</v>
      </c>
      <c r="AW51" s="443">
        <v>93777.142857142855</v>
      </c>
      <c r="AX51" s="444">
        <f t="shared" si="14"/>
        <v>1074198.416</v>
      </c>
      <c r="AY51" s="612">
        <v>12</v>
      </c>
      <c r="AZ51" s="612">
        <v>71997.583333333328</v>
      </c>
      <c r="BA51" s="445">
        <f t="shared" si="15"/>
        <v>706901.07220000005</v>
      </c>
      <c r="BB51" s="442">
        <v>3</v>
      </c>
      <c r="BC51" s="443">
        <v>79875.666666666672</v>
      </c>
      <c r="BD51" s="444">
        <f t="shared" si="16"/>
        <v>196062.81140000001</v>
      </c>
      <c r="BE51" s="612">
        <v>4</v>
      </c>
      <c r="BF51" s="612">
        <f>246711/BE51</f>
        <v>61677.75</v>
      </c>
      <c r="BG51" s="445">
        <f t="shared" si="17"/>
        <v>201858.94020000001</v>
      </c>
      <c r="BH51" s="442">
        <v>12</v>
      </c>
      <c r="BI51" s="443">
        <v>52996.5</v>
      </c>
      <c r="BJ51" s="444">
        <f t="shared" si="18"/>
        <v>520340.83560000005</v>
      </c>
      <c r="BK51" s="612">
        <v>11</v>
      </c>
      <c r="BL51" s="612">
        <f>475995/BK51</f>
        <v>43272.272727272728</v>
      </c>
      <c r="BM51" s="445">
        <f t="shared" si="19"/>
        <v>389459.109</v>
      </c>
      <c r="BN51" s="442">
        <v>4</v>
      </c>
      <c r="BO51" s="443">
        <v>45181.5</v>
      </c>
      <c r="BP51" s="444">
        <f t="shared" si="20"/>
        <v>147870.01320000002</v>
      </c>
      <c r="BQ51" s="612">
        <v>3</v>
      </c>
      <c r="BR51" s="612">
        <f>104489/BQ51</f>
        <v>34829.666666666664</v>
      </c>
      <c r="BS51" s="445">
        <f t="shared" si="21"/>
        <v>85492.899799999999</v>
      </c>
      <c r="BT51" s="442"/>
      <c r="BU51" s="443"/>
      <c r="BV51" s="444">
        <f t="shared" si="22"/>
        <v>0</v>
      </c>
      <c r="BW51" s="307">
        <v>0</v>
      </c>
      <c r="BX51" s="307">
        <v>0</v>
      </c>
      <c r="BY51" s="449">
        <f t="shared" si="23"/>
        <v>0</v>
      </c>
    </row>
    <row r="52" spans="1:77" s="309" customFormat="1" ht="12.75" customHeight="1">
      <c r="A52" s="313" t="s">
        <v>338</v>
      </c>
      <c r="B52" s="392" t="s">
        <v>561</v>
      </c>
      <c r="C52" s="490" t="s">
        <v>1064</v>
      </c>
      <c r="D52" s="313">
        <v>106467</v>
      </c>
      <c r="E52" s="415">
        <v>4</v>
      </c>
      <c r="F52" s="453">
        <v>40</v>
      </c>
      <c r="G52" s="454">
        <v>65051.8</v>
      </c>
      <c r="H52" s="439">
        <f t="shared" si="0"/>
        <v>2602072</v>
      </c>
      <c r="I52" s="311">
        <v>42</v>
      </c>
      <c r="J52" s="311">
        <v>66246.523809523816</v>
      </c>
      <c r="K52" s="441">
        <f t="shared" si="1"/>
        <v>2782354.0000000005</v>
      </c>
      <c r="L52" s="442">
        <v>69</v>
      </c>
      <c r="M52" s="443">
        <v>48348.695652173912</v>
      </c>
      <c r="N52" s="444">
        <f t="shared" si="2"/>
        <v>3336060</v>
      </c>
      <c r="O52" s="307">
        <v>66</v>
      </c>
      <c r="P52" s="307">
        <v>58958.545454545456</v>
      </c>
      <c r="Q52" s="445">
        <f t="shared" si="3"/>
        <v>3891264</v>
      </c>
      <c r="R52" s="442">
        <v>101</v>
      </c>
      <c r="S52" s="443">
        <v>47885.316831683165</v>
      </c>
      <c r="T52" s="444">
        <f t="shared" si="4"/>
        <v>4836417</v>
      </c>
      <c r="U52" s="306">
        <v>102</v>
      </c>
      <c r="V52" s="306">
        <v>48283.156862745098</v>
      </c>
      <c r="W52" s="441">
        <f t="shared" si="5"/>
        <v>4924882</v>
      </c>
      <c r="X52" s="442">
        <v>26</v>
      </c>
      <c r="Y52" s="443">
        <v>37636.884615384617</v>
      </c>
      <c r="Z52" s="444">
        <f t="shared" si="6"/>
        <v>978559</v>
      </c>
      <c r="AA52" s="307">
        <v>24</v>
      </c>
      <c r="AB52" s="307">
        <v>37019.25</v>
      </c>
      <c r="AC52" s="445">
        <f t="shared" si="7"/>
        <v>888462</v>
      </c>
      <c r="AD52" s="442">
        <v>29</v>
      </c>
      <c r="AE52" s="443">
        <v>42220.551724137928</v>
      </c>
      <c r="AF52" s="444">
        <f t="shared" si="8"/>
        <v>1224396</v>
      </c>
      <c r="AG52" s="307">
        <v>35</v>
      </c>
      <c r="AH52" s="307">
        <v>36957.885714285716</v>
      </c>
      <c r="AI52" s="445">
        <f t="shared" si="9"/>
        <v>1293526</v>
      </c>
      <c r="AJ52" s="446"/>
      <c r="AK52" s="443"/>
      <c r="AL52" s="444">
        <f t="shared" si="10"/>
        <v>0</v>
      </c>
      <c r="AM52" s="307">
        <v>0</v>
      </c>
      <c r="AN52" s="307">
        <v>0</v>
      </c>
      <c r="AO52" s="447">
        <f t="shared" si="11"/>
        <v>0</v>
      </c>
      <c r="AP52" s="448">
        <v>13</v>
      </c>
      <c r="AQ52" s="443">
        <v>98634.461538461532</v>
      </c>
      <c r="AR52" s="444">
        <f t="shared" si="12"/>
        <v>1049135.3136</v>
      </c>
      <c r="AS52" s="307">
        <v>11</v>
      </c>
      <c r="AT52" s="610">
        <v>104969.27272727272</v>
      </c>
      <c r="AU52" s="441">
        <f t="shared" si="13"/>
        <v>944744.44839999999</v>
      </c>
      <c r="AV52" s="442">
        <v>6</v>
      </c>
      <c r="AW52" s="443">
        <v>81102.833333333328</v>
      </c>
      <c r="AX52" s="444">
        <f t="shared" si="14"/>
        <v>398150.0294</v>
      </c>
      <c r="AY52" s="612">
        <v>9</v>
      </c>
      <c r="AZ52" s="612">
        <v>79088.555555555562</v>
      </c>
      <c r="BA52" s="445">
        <f t="shared" si="15"/>
        <v>582392.30540000007</v>
      </c>
      <c r="BB52" s="442">
        <v>2</v>
      </c>
      <c r="BC52" s="443">
        <v>69313.5</v>
      </c>
      <c r="BD52" s="444">
        <f t="shared" si="16"/>
        <v>113424.61140000001</v>
      </c>
      <c r="BE52" s="612">
        <v>1</v>
      </c>
      <c r="BF52" s="612">
        <v>67626</v>
      </c>
      <c r="BG52" s="445">
        <f t="shared" si="17"/>
        <v>55331.593200000003</v>
      </c>
      <c r="BH52" s="442"/>
      <c r="BI52" s="443"/>
      <c r="BJ52" s="444">
        <f t="shared" si="18"/>
        <v>0</v>
      </c>
      <c r="BK52" s="612">
        <v>0</v>
      </c>
      <c r="BL52" s="612">
        <v>0</v>
      </c>
      <c r="BM52" s="445">
        <f t="shared" si="19"/>
        <v>0</v>
      </c>
      <c r="BN52" s="442">
        <v>8</v>
      </c>
      <c r="BO52" s="443">
        <v>37874.875</v>
      </c>
      <c r="BP52" s="444">
        <f t="shared" si="20"/>
        <v>247913.78180000003</v>
      </c>
      <c r="BQ52" s="612">
        <v>0</v>
      </c>
      <c r="BR52" s="612">
        <v>0</v>
      </c>
      <c r="BS52" s="445">
        <f t="shared" si="21"/>
        <v>0</v>
      </c>
      <c r="BT52" s="442"/>
      <c r="BU52" s="443"/>
      <c r="BV52" s="444">
        <f t="shared" si="22"/>
        <v>0</v>
      </c>
      <c r="BW52" s="307">
        <v>0</v>
      </c>
      <c r="BX52" s="307">
        <v>0</v>
      </c>
      <c r="BY52" s="449">
        <f t="shared" si="23"/>
        <v>0</v>
      </c>
    </row>
    <row r="53" spans="1:77" s="309" customFormat="1" ht="12.75" customHeight="1">
      <c r="A53" s="313" t="s">
        <v>338</v>
      </c>
      <c r="B53" s="314" t="s">
        <v>562</v>
      </c>
      <c r="C53" s="314"/>
      <c r="D53" s="313">
        <v>107071</v>
      </c>
      <c r="E53" s="415">
        <v>4</v>
      </c>
      <c r="F53" s="453">
        <v>55</v>
      </c>
      <c r="G53" s="454">
        <v>63911.418181818182</v>
      </c>
      <c r="H53" s="439">
        <f t="shared" si="0"/>
        <v>3515128</v>
      </c>
      <c r="I53" s="311">
        <v>54</v>
      </c>
      <c r="J53" s="311">
        <v>62894</v>
      </c>
      <c r="K53" s="441">
        <f t="shared" si="1"/>
        <v>3396276</v>
      </c>
      <c r="L53" s="442">
        <v>34</v>
      </c>
      <c r="M53" s="443">
        <v>52978.676470588238</v>
      </c>
      <c r="N53" s="444">
        <f t="shared" si="2"/>
        <v>1801275</v>
      </c>
      <c r="O53" s="307">
        <v>35</v>
      </c>
      <c r="P53" s="307">
        <v>53047.542857142857</v>
      </c>
      <c r="Q53" s="445">
        <f t="shared" si="3"/>
        <v>1856664</v>
      </c>
      <c r="R53" s="442">
        <v>35</v>
      </c>
      <c r="S53" s="443">
        <v>48132.4</v>
      </c>
      <c r="T53" s="444">
        <f t="shared" si="4"/>
        <v>1684634</v>
      </c>
      <c r="U53" s="306">
        <v>39</v>
      </c>
      <c r="V53" s="306">
        <v>48998.769230769234</v>
      </c>
      <c r="W53" s="441">
        <f t="shared" si="5"/>
        <v>1910952.0000000002</v>
      </c>
      <c r="X53" s="442">
        <v>29</v>
      </c>
      <c r="Y53" s="443">
        <v>37461.65517241379</v>
      </c>
      <c r="Z53" s="444">
        <f t="shared" si="6"/>
        <v>1086388</v>
      </c>
      <c r="AA53" s="307">
        <v>25</v>
      </c>
      <c r="AB53" s="307">
        <v>38808.639999999999</v>
      </c>
      <c r="AC53" s="445">
        <f t="shared" si="7"/>
        <v>970216</v>
      </c>
      <c r="AD53" s="442"/>
      <c r="AE53" s="443"/>
      <c r="AF53" s="444">
        <f t="shared" si="8"/>
        <v>0</v>
      </c>
      <c r="AG53" s="307">
        <v>0</v>
      </c>
      <c r="AH53" s="307">
        <v>0</v>
      </c>
      <c r="AI53" s="445">
        <f t="shared" si="9"/>
        <v>0</v>
      </c>
      <c r="AJ53" s="446"/>
      <c r="AK53" s="443"/>
      <c r="AL53" s="444">
        <f t="shared" si="10"/>
        <v>0</v>
      </c>
      <c r="AM53" s="307">
        <v>0</v>
      </c>
      <c r="AN53" s="307">
        <v>0</v>
      </c>
      <c r="AO53" s="447">
        <f t="shared" si="11"/>
        <v>0</v>
      </c>
      <c r="AP53" s="448">
        <v>2</v>
      </c>
      <c r="AQ53" s="443">
        <v>80636</v>
      </c>
      <c r="AR53" s="444">
        <f t="shared" si="12"/>
        <v>131952.75040000002</v>
      </c>
      <c r="AS53" s="307">
        <v>3</v>
      </c>
      <c r="AT53" s="610">
        <v>80155</v>
      </c>
      <c r="AU53" s="441">
        <f t="shared" si="13"/>
        <v>196748.46300000002</v>
      </c>
      <c r="AV53" s="442">
        <v>2</v>
      </c>
      <c r="AW53" s="443">
        <v>70330</v>
      </c>
      <c r="AX53" s="444">
        <f t="shared" si="14"/>
        <v>115088.012</v>
      </c>
      <c r="AY53" s="612">
        <v>1</v>
      </c>
      <c r="AZ53" s="612">
        <v>68150</v>
      </c>
      <c r="BA53" s="445">
        <f t="shared" si="15"/>
        <v>55760.33</v>
      </c>
      <c r="BB53" s="442">
        <v>4</v>
      </c>
      <c r="BC53" s="443">
        <v>61696.5</v>
      </c>
      <c r="BD53" s="444">
        <f t="shared" si="16"/>
        <v>201920.3052</v>
      </c>
      <c r="BE53" s="612">
        <v>3</v>
      </c>
      <c r="BF53" s="612">
        <f>189846/BE53</f>
        <v>63282</v>
      </c>
      <c r="BG53" s="445">
        <f t="shared" si="17"/>
        <v>155331.99720000001</v>
      </c>
      <c r="BH53" s="442">
        <v>13</v>
      </c>
      <c r="BI53" s="443">
        <v>48178.461538461539</v>
      </c>
      <c r="BJ53" s="444">
        <f t="shared" si="18"/>
        <v>512455.02400000003</v>
      </c>
      <c r="BK53" s="612">
        <v>6</v>
      </c>
      <c r="BL53" s="612">
        <f>290605/BK53</f>
        <v>48434.166666666664</v>
      </c>
      <c r="BM53" s="445">
        <f t="shared" si="19"/>
        <v>237773.011</v>
      </c>
      <c r="BN53" s="442"/>
      <c r="BO53" s="443"/>
      <c r="BP53" s="444">
        <f t="shared" si="20"/>
        <v>0</v>
      </c>
      <c r="BQ53" s="612">
        <v>0</v>
      </c>
      <c r="BR53" s="612">
        <v>0</v>
      </c>
      <c r="BS53" s="445">
        <f t="shared" si="21"/>
        <v>0</v>
      </c>
      <c r="BT53" s="442"/>
      <c r="BU53" s="443"/>
      <c r="BV53" s="444">
        <f t="shared" si="22"/>
        <v>0</v>
      </c>
      <c r="BW53" s="307">
        <v>0</v>
      </c>
      <c r="BX53" s="307">
        <v>0</v>
      </c>
      <c r="BY53" s="449">
        <f t="shared" si="23"/>
        <v>0</v>
      </c>
    </row>
    <row r="54" spans="1:77" s="309" customFormat="1" ht="12.75" customHeight="1">
      <c r="A54" s="313" t="s">
        <v>338</v>
      </c>
      <c r="B54" s="314" t="s">
        <v>563</v>
      </c>
      <c r="C54" s="491" t="s">
        <v>1071</v>
      </c>
      <c r="D54" s="313">
        <v>107983</v>
      </c>
      <c r="E54" s="415">
        <v>5</v>
      </c>
      <c r="F54" s="453">
        <v>18</v>
      </c>
      <c r="G54" s="454">
        <v>67610.555555555562</v>
      </c>
      <c r="H54" s="439">
        <f t="shared" si="0"/>
        <v>1216990</v>
      </c>
      <c r="I54" s="311">
        <v>17</v>
      </c>
      <c r="J54" s="311">
        <v>66832.470588235301</v>
      </c>
      <c r="K54" s="441">
        <f t="shared" si="1"/>
        <v>1136152</v>
      </c>
      <c r="L54" s="442">
        <v>35</v>
      </c>
      <c r="M54" s="443">
        <v>55256.257142857146</v>
      </c>
      <c r="N54" s="444">
        <f t="shared" si="2"/>
        <v>1933969.0000000002</v>
      </c>
      <c r="O54" s="307">
        <v>34</v>
      </c>
      <c r="P54" s="307">
        <v>56800.911764705881</v>
      </c>
      <c r="Q54" s="445">
        <f t="shared" si="3"/>
        <v>1931231</v>
      </c>
      <c r="R54" s="442">
        <v>61</v>
      </c>
      <c r="S54" s="443">
        <v>49152.475409836065</v>
      </c>
      <c r="T54" s="444">
        <f t="shared" si="4"/>
        <v>2998301</v>
      </c>
      <c r="U54" s="306">
        <v>58</v>
      </c>
      <c r="V54" s="306">
        <v>48927.603448275862</v>
      </c>
      <c r="W54" s="441">
        <f t="shared" si="5"/>
        <v>2837801</v>
      </c>
      <c r="X54" s="442">
        <v>22</v>
      </c>
      <c r="Y54" s="443">
        <v>40965.045454545456</v>
      </c>
      <c r="Z54" s="444">
        <f t="shared" si="6"/>
        <v>901231</v>
      </c>
      <c r="AA54" s="307">
        <v>26</v>
      </c>
      <c r="AB54" s="307">
        <v>41315.115384615383</v>
      </c>
      <c r="AC54" s="445">
        <f t="shared" si="7"/>
        <v>1074193</v>
      </c>
      <c r="AD54" s="442"/>
      <c r="AE54" s="443"/>
      <c r="AF54" s="444">
        <f t="shared" si="8"/>
        <v>0</v>
      </c>
      <c r="AG54" s="307">
        <v>0</v>
      </c>
      <c r="AH54" s="307">
        <v>0</v>
      </c>
      <c r="AI54" s="445">
        <f t="shared" si="9"/>
        <v>0</v>
      </c>
      <c r="AJ54" s="446"/>
      <c r="AK54" s="443"/>
      <c r="AL54" s="444">
        <f t="shared" si="10"/>
        <v>0</v>
      </c>
      <c r="AM54" s="307">
        <v>0</v>
      </c>
      <c r="AN54" s="307">
        <v>0</v>
      </c>
      <c r="AO54" s="447">
        <f t="shared" si="11"/>
        <v>0</v>
      </c>
      <c r="AP54" s="448">
        <v>5</v>
      </c>
      <c r="AQ54" s="443">
        <v>73649.2</v>
      </c>
      <c r="AR54" s="444">
        <f t="shared" si="12"/>
        <v>301298.87719999999</v>
      </c>
      <c r="AS54" s="307">
        <v>4</v>
      </c>
      <c r="AT54" s="610">
        <v>101484.25</v>
      </c>
      <c r="AU54" s="441">
        <f t="shared" si="13"/>
        <v>332137.65340000001</v>
      </c>
      <c r="AV54" s="442">
        <v>2</v>
      </c>
      <c r="AW54" s="443">
        <v>99552</v>
      </c>
      <c r="AX54" s="444">
        <f t="shared" si="14"/>
        <v>162906.8928</v>
      </c>
      <c r="AY54" s="612">
        <v>1</v>
      </c>
      <c r="AZ54" s="612">
        <v>103544</v>
      </c>
      <c r="BA54" s="445">
        <f t="shared" si="15"/>
        <v>84719.700800000006</v>
      </c>
      <c r="BB54" s="442">
        <v>4</v>
      </c>
      <c r="BC54" s="443">
        <v>61795.25</v>
      </c>
      <c r="BD54" s="444">
        <f t="shared" si="16"/>
        <v>202243.49420000002</v>
      </c>
      <c r="BE54" s="612">
        <v>5</v>
      </c>
      <c r="BF54" s="612">
        <f>330927/BE54</f>
        <v>66185.399999999994</v>
      </c>
      <c r="BG54" s="445">
        <f t="shared" si="17"/>
        <v>270764.47140000004</v>
      </c>
      <c r="BH54" s="442">
        <v>15</v>
      </c>
      <c r="BI54" s="443">
        <v>46364.4</v>
      </c>
      <c r="BJ54" s="444">
        <f t="shared" si="18"/>
        <v>569030.28119999997</v>
      </c>
      <c r="BK54" s="612">
        <v>15</v>
      </c>
      <c r="BL54" s="612">
        <f>710383/BK54</f>
        <v>47358.866666666669</v>
      </c>
      <c r="BM54" s="445">
        <f t="shared" si="19"/>
        <v>581235.37060000002</v>
      </c>
      <c r="BN54" s="442"/>
      <c r="BO54" s="443"/>
      <c r="BP54" s="444">
        <f t="shared" si="20"/>
        <v>0</v>
      </c>
      <c r="BQ54" s="612">
        <v>1</v>
      </c>
      <c r="BR54" s="612">
        <v>44000</v>
      </c>
      <c r="BS54" s="445">
        <f t="shared" si="21"/>
        <v>36000.800000000003</v>
      </c>
      <c r="BT54" s="442"/>
      <c r="BU54" s="443"/>
      <c r="BV54" s="444">
        <f t="shared" si="22"/>
        <v>0</v>
      </c>
      <c r="BW54" s="307">
        <v>0</v>
      </c>
      <c r="BX54" s="307">
        <v>0</v>
      </c>
      <c r="BY54" s="449">
        <f t="shared" si="23"/>
        <v>0</v>
      </c>
    </row>
    <row r="55" spans="1:77" s="309" customFormat="1" ht="12.75" customHeight="1">
      <c r="A55" s="313" t="s">
        <v>338</v>
      </c>
      <c r="B55" s="314" t="s">
        <v>564</v>
      </c>
      <c r="C55" s="314"/>
      <c r="D55" s="313">
        <v>106485</v>
      </c>
      <c r="E55" s="415">
        <v>5</v>
      </c>
      <c r="F55" s="453">
        <v>16</v>
      </c>
      <c r="G55" s="454">
        <v>60179.4375</v>
      </c>
      <c r="H55" s="439">
        <f t="shared" si="0"/>
        <v>962871</v>
      </c>
      <c r="I55" s="311">
        <v>16</v>
      </c>
      <c r="J55" s="311">
        <v>61699.25</v>
      </c>
      <c r="K55" s="441">
        <f t="shared" si="1"/>
        <v>987188</v>
      </c>
      <c r="L55" s="442">
        <v>24</v>
      </c>
      <c r="M55" s="443">
        <v>57118.833333333336</v>
      </c>
      <c r="N55" s="444">
        <f t="shared" si="2"/>
        <v>1370852</v>
      </c>
      <c r="O55" s="307">
        <v>28</v>
      </c>
      <c r="P55" s="307">
        <v>57021.357142857145</v>
      </c>
      <c r="Q55" s="445">
        <f t="shared" si="3"/>
        <v>1596598</v>
      </c>
      <c r="R55" s="442">
        <v>34</v>
      </c>
      <c r="S55" s="443">
        <v>43955.23529411765</v>
      </c>
      <c r="T55" s="444">
        <f t="shared" si="4"/>
        <v>1494478</v>
      </c>
      <c r="U55" s="306">
        <v>31</v>
      </c>
      <c r="V55" s="306">
        <v>45827.322580645159</v>
      </c>
      <c r="W55" s="441">
        <f t="shared" si="5"/>
        <v>1420647</v>
      </c>
      <c r="X55" s="442">
        <v>23</v>
      </c>
      <c r="Y55" s="443">
        <v>40610.434782608696</v>
      </c>
      <c r="Z55" s="444">
        <f t="shared" si="6"/>
        <v>934040</v>
      </c>
      <c r="AA55" s="307">
        <v>22</v>
      </c>
      <c r="AB55" s="307">
        <v>39993.818181818184</v>
      </c>
      <c r="AC55" s="445">
        <f t="shared" si="7"/>
        <v>879864</v>
      </c>
      <c r="AD55" s="442">
        <v>6</v>
      </c>
      <c r="AE55" s="443">
        <v>38520.833333333336</v>
      </c>
      <c r="AF55" s="444">
        <f t="shared" si="8"/>
        <v>231125</v>
      </c>
      <c r="AG55" s="307">
        <v>13</v>
      </c>
      <c r="AH55" s="307">
        <v>38807.769230769234</v>
      </c>
      <c r="AI55" s="445">
        <f t="shared" si="9"/>
        <v>504501.00000000006</v>
      </c>
      <c r="AJ55" s="446"/>
      <c r="AK55" s="443"/>
      <c r="AL55" s="444">
        <f t="shared" si="10"/>
        <v>0</v>
      </c>
      <c r="AM55" s="307">
        <v>0</v>
      </c>
      <c r="AN55" s="307">
        <v>0</v>
      </c>
      <c r="AO55" s="447">
        <f t="shared" si="11"/>
        <v>0</v>
      </c>
      <c r="AP55" s="448">
        <v>6</v>
      </c>
      <c r="AQ55" s="443">
        <v>96834.666666666672</v>
      </c>
      <c r="AR55" s="444">
        <f t="shared" si="12"/>
        <v>475380.74560000002</v>
      </c>
      <c r="AS55" s="307">
        <v>4</v>
      </c>
      <c r="AT55" s="610">
        <v>103739.25</v>
      </c>
      <c r="AU55" s="441">
        <f t="shared" si="13"/>
        <v>339517.8174</v>
      </c>
      <c r="AV55" s="442">
        <v>2</v>
      </c>
      <c r="AW55" s="443">
        <v>72828</v>
      </c>
      <c r="AX55" s="444">
        <f t="shared" si="14"/>
        <v>119175.73920000001</v>
      </c>
      <c r="AY55" s="612">
        <v>2</v>
      </c>
      <c r="AZ55" s="612">
        <v>74286</v>
      </c>
      <c r="BA55" s="445">
        <f t="shared" si="15"/>
        <v>121561.61040000001</v>
      </c>
      <c r="BB55" s="442">
        <v>6</v>
      </c>
      <c r="BC55" s="443">
        <v>63955</v>
      </c>
      <c r="BD55" s="444">
        <f t="shared" si="16"/>
        <v>313967.886</v>
      </c>
      <c r="BE55" s="612">
        <v>5</v>
      </c>
      <c r="BF55" s="612">
        <f>330340/BE55</f>
        <v>66068</v>
      </c>
      <c r="BG55" s="445">
        <f t="shared" si="17"/>
        <v>270284.18800000002</v>
      </c>
      <c r="BH55" s="442">
        <v>8</v>
      </c>
      <c r="BI55" s="443">
        <v>48831.125</v>
      </c>
      <c r="BJ55" s="444">
        <f t="shared" si="18"/>
        <v>319629.01180000004</v>
      </c>
      <c r="BK55" s="612">
        <v>2</v>
      </c>
      <c r="BL55" s="612">
        <f>124950/BK55</f>
        <v>62475</v>
      </c>
      <c r="BM55" s="445">
        <f t="shared" si="19"/>
        <v>102234.09000000001</v>
      </c>
      <c r="BN55" s="442">
        <v>23</v>
      </c>
      <c r="BO55" s="443">
        <v>42361.434782608696</v>
      </c>
      <c r="BP55" s="444">
        <f t="shared" si="20"/>
        <v>797182.89660000009</v>
      </c>
      <c r="BQ55" s="612">
        <v>28</v>
      </c>
      <c r="BR55" s="612">
        <f>1198116/BQ55</f>
        <v>42789.857142857145</v>
      </c>
      <c r="BS55" s="445">
        <f t="shared" si="21"/>
        <v>980298.51120000007</v>
      </c>
      <c r="BT55" s="442"/>
      <c r="BU55" s="443"/>
      <c r="BV55" s="444">
        <f t="shared" si="22"/>
        <v>0</v>
      </c>
      <c r="BW55" s="307">
        <v>0</v>
      </c>
      <c r="BX55" s="307">
        <v>0</v>
      </c>
      <c r="BY55" s="449">
        <f t="shared" si="23"/>
        <v>0</v>
      </c>
    </row>
    <row r="56" spans="1:77" s="309" customFormat="1" ht="12.75" customHeight="1">
      <c r="A56" s="313" t="s">
        <v>338</v>
      </c>
      <c r="B56" s="314" t="s">
        <v>130</v>
      </c>
      <c r="C56" s="314"/>
      <c r="D56" s="313">
        <v>108092</v>
      </c>
      <c r="E56" s="415">
        <v>6</v>
      </c>
      <c r="F56" s="453">
        <v>9</v>
      </c>
      <c r="G56" s="454">
        <v>73203.777777777781</v>
      </c>
      <c r="H56" s="439">
        <f t="shared" si="0"/>
        <v>658834</v>
      </c>
      <c r="I56" s="311">
        <v>10</v>
      </c>
      <c r="J56" s="311">
        <v>80730.100000000006</v>
      </c>
      <c r="K56" s="441">
        <f t="shared" si="1"/>
        <v>807301</v>
      </c>
      <c r="L56" s="442">
        <v>39</v>
      </c>
      <c r="M56" s="443">
        <v>66907.051282051281</v>
      </c>
      <c r="N56" s="444">
        <f t="shared" si="2"/>
        <v>2609375</v>
      </c>
      <c r="O56" s="307">
        <v>39</v>
      </c>
      <c r="P56" s="307">
        <v>67671.794871794875</v>
      </c>
      <c r="Q56" s="445">
        <f t="shared" si="3"/>
        <v>2639200</v>
      </c>
      <c r="R56" s="442">
        <v>101</v>
      </c>
      <c r="S56" s="443">
        <v>53836.900990099013</v>
      </c>
      <c r="T56" s="444">
        <f t="shared" si="4"/>
        <v>5437527</v>
      </c>
      <c r="U56" s="306">
        <v>95</v>
      </c>
      <c r="V56" s="306">
        <v>52792.831578947371</v>
      </c>
      <c r="W56" s="441">
        <f t="shared" si="5"/>
        <v>5015319</v>
      </c>
      <c r="X56" s="442">
        <v>39</v>
      </c>
      <c r="Y56" s="443">
        <v>47625.051282051281</v>
      </c>
      <c r="Z56" s="444">
        <f t="shared" si="6"/>
        <v>1857377</v>
      </c>
      <c r="AA56" s="307">
        <v>44</v>
      </c>
      <c r="AB56" s="307">
        <v>45735.022727272728</v>
      </c>
      <c r="AC56" s="445">
        <f t="shared" si="7"/>
        <v>2012341</v>
      </c>
      <c r="AD56" s="442">
        <v>12</v>
      </c>
      <c r="AE56" s="443">
        <v>38928.333333333336</v>
      </c>
      <c r="AF56" s="444">
        <f t="shared" si="8"/>
        <v>467140</v>
      </c>
      <c r="AG56" s="307">
        <v>6</v>
      </c>
      <c r="AH56" s="307">
        <v>38583.333333333336</v>
      </c>
      <c r="AI56" s="445">
        <f t="shared" si="9"/>
        <v>231500</v>
      </c>
      <c r="AJ56" s="446"/>
      <c r="AK56" s="443"/>
      <c r="AL56" s="444">
        <f t="shared" si="10"/>
        <v>0</v>
      </c>
      <c r="AM56" s="307">
        <v>0</v>
      </c>
      <c r="AN56" s="307">
        <v>0</v>
      </c>
      <c r="AO56" s="447">
        <f t="shared" si="11"/>
        <v>0</v>
      </c>
      <c r="AP56" s="448">
        <v>1</v>
      </c>
      <c r="AQ56" s="443">
        <v>98075</v>
      </c>
      <c r="AR56" s="444">
        <f t="shared" si="12"/>
        <v>80244.964999999997</v>
      </c>
      <c r="AS56" s="307">
        <v>1</v>
      </c>
      <c r="AT56" s="610">
        <v>98075</v>
      </c>
      <c r="AU56" s="441">
        <f t="shared" si="13"/>
        <v>80244.964999999997</v>
      </c>
      <c r="AV56" s="442">
        <v>2</v>
      </c>
      <c r="AW56" s="443">
        <v>102912</v>
      </c>
      <c r="AX56" s="444">
        <f t="shared" si="14"/>
        <v>168405.19680000001</v>
      </c>
      <c r="AY56" s="612">
        <v>9</v>
      </c>
      <c r="AZ56" s="612">
        <v>84329</v>
      </c>
      <c r="BA56" s="445">
        <f t="shared" si="15"/>
        <v>620981.89020000002</v>
      </c>
      <c r="BB56" s="442">
        <v>7</v>
      </c>
      <c r="BC56" s="443">
        <v>79493.28571428571</v>
      </c>
      <c r="BD56" s="444">
        <f t="shared" si="16"/>
        <v>455289.84460000001</v>
      </c>
      <c r="BE56" s="612">
        <v>9</v>
      </c>
      <c r="BF56" s="612">
        <f>638534/BE56</f>
        <v>70948.222222222219</v>
      </c>
      <c r="BG56" s="445">
        <f t="shared" si="17"/>
        <v>522448.51880000002</v>
      </c>
      <c r="BH56" s="442">
        <v>10</v>
      </c>
      <c r="BI56" s="443">
        <v>58899.1</v>
      </c>
      <c r="BJ56" s="444">
        <f t="shared" si="18"/>
        <v>481912.4362</v>
      </c>
      <c r="BK56" s="612">
        <v>11</v>
      </c>
      <c r="BL56" s="612">
        <f>625342/BK56</f>
        <v>56849.272727272728</v>
      </c>
      <c r="BM56" s="445">
        <f t="shared" si="19"/>
        <v>511654.82440000004</v>
      </c>
      <c r="BN56" s="442">
        <v>2</v>
      </c>
      <c r="BO56" s="443">
        <v>56040</v>
      </c>
      <c r="BP56" s="444">
        <f t="shared" si="20"/>
        <v>91703.856</v>
      </c>
      <c r="BQ56" s="612">
        <v>1</v>
      </c>
      <c r="BR56" s="612">
        <v>65000</v>
      </c>
      <c r="BS56" s="445">
        <f t="shared" si="21"/>
        <v>53183</v>
      </c>
      <c r="BT56" s="442"/>
      <c r="BU56" s="443"/>
      <c r="BV56" s="444">
        <f t="shared" si="22"/>
        <v>0</v>
      </c>
      <c r="BW56" s="307">
        <v>0</v>
      </c>
      <c r="BX56" s="307">
        <v>0</v>
      </c>
      <c r="BY56" s="449">
        <f t="shared" si="23"/>
        <v>0</v>
      </c>
    </row>
    <row r="57" spans="1:77" s="309" customFormat="1" ht="12.75" customHeight="1">
      <c r="A57" s="313" t="s">
        <v>338</v>
      </c>
      <c r="B57" s="392" t="s">
        <v>565</v>
      </c>
      <c r="C57" s="490" t="s">
        <v>1072</v>
      </c>
      <c r="D57" s="313">
        <v>106412</v>
      </c>
      <c r="E57" s="415">
        <v>6</v>
      </c>
      <c r="F57" s="453">
        <v>18</v>
      </c>
      <c r="G57" s="454">
        <v>57430.722222222219</v>
      </c>
      <c r="H57" s="439">
        <f t="shared" si="0"/>
        <v>1033753</v>
      </c>
      <c r="I57" s="311">
        <v>17</v>
      </c>
      <c r="J57" s="311">
        <v>57986.941176470587</v>
      </c>
      <c r="K57" s="441">
        <f t="shared" si="1"/>
        <v>985778</v>
      </c>
      <c r="L57" s="442">
        <v>17</v>
      </c>
      <c r="M57" s="443">
        <v>53415.76470588235</v>
      </c>
      <c r="N57" s="444">
        <f t="shared" si="2"/>
        <v>908068</v>
      </c>
      <c r="O57" s="307">
        <v>19</v>
      </c>
      <c r="P57" s="307">
        <v>55012.105263157893</v>
      </c>
      <c r="Q57" s="445">
        <f t="shared" si="3"/>
        <v>1045230</v>
      </c>
      <c r="R57" s="442">
        <v>27</v>
      </c>
      <c r="S57" s="443">
        <v>44997.962962962964</v>
      </c>
      <c r="T57" s="444">
        <f t="shared" si="4"/>
        <v>1214945</v>
      </c>
      <c r="U57" s="306">
        <v>28</v>
      </c>
      <c r="V57" s="306">
        <v>46557.785714285717</v>
      </c>
      <c r="W57" s="441">
        <f t="shared" si="5"/>
        <v>1303618</v>
      </c>
      <c r="X57" s="442">
        <v>48</v>
      </c>
      <c r="Y57" s="443">
        <v>37321.1875</v>
      </c>
      <c r="Z57" s="444">
        <f t="shared" si="6"/>
        <v>1791417</v>
      </c>
      <c r="AA57" s="307">
        <v>46</v>
      </c>
      <c r="AB57" s="307">
        <v>37562.260869565216</v>
      </c>
      <c r="AC57" s="445">
        <f t="shared" si="7"/>
        <v>1727864</v>
      </c>
      <c r="AD57" s="442"/>
      <c r="AE57" s="443"/>
      <c r="AF57" s="444">
        <f t="shared" si="8"/>
        <v>0</v>
      </c>
      <c r="AG57" s="307">
        <v>0</v>
      </c>
      <c r="AH57" s="307">
        <v>0</v>
      </c>
      <c r="AI57" s="445">
        <f t="shared" si="9"/>
        <v>0</v>
      </c>
      <c r="AJ57" s="446"/>
      <c r="AK57" s="443"/>
      <c r="AL57" s="444">
        <f t="shared" si="10"/>
        <v>0</v>
      </c>
      <c r="AM57" s="307">
        <v>0</v>
      </c>
      <c r="AN57" s="307">
        <v>0</v>
      </c>
      <c r="AO57" s="447">
        <f t="shared" si="11"/>
        <v>0</v>
      </c>
      <c r="AP57" s="448">
        <v>14</v>
      </c>
      <c r="AQ57" s="443">
        <v>73760</v>
      </c>
      <c r="AR57" s="444">
        <f t="shared" si="12"/>
        <v>844906.04800000007</v>
      </c>
      <c r="AS57" s="307">
        <v>13</v>
      </c>
      <c r="AT57" s="610">
        <v>76082.461538461532</v>
      </c>
      <c r="AU57" s="441">
        <f t="shared" si="13"/>
        <v>809258.71039999998</v>
      </c>
      <c r="AV57" s="442">
        <v>15</v>
      </c>
      <c r="AW57" s="443">
        <v>67721.866666666669</v>
      </c>
      <c r="AX57" s="444">
        <f t="shared" si="14"/>
        <v>831150.46960000007</v>
      </c>
      <c r="AY57" s="612">
        <v>15</v>
      </c>
      <c r="AZ57" s="612">
        <v>69133.866666666669</v>
      </c>
      <c r="BA57" s="445">
        <f t="shared" si="15"/>
        <v>848479.94560000009</v>
      </c>
      <c r="BB57" s="442">
        <v>21</v>
      </c>
      <c r="BC57" s="443">
        <v>57259.285714285717</v>
      </c>
      <c r="BD57" s="444">
        <f t="shared" si="16"/>
        <v>983840.49900000007</v>
      </c>
      <c r="BE57" s="612">
        <v>19</v>
      </c>
      <c r="BF57" s="612">
        <f>1097484/BE57</f>
        <v>57762.315789473687</v>
      </c>
      <c r="BG57" s="445">
        <f t="shared" si="17"/>
        <v>897961.40880000009</v>
      </c>
      <c r="BH57" s="442">
        <v>13</v>
      </c>
      <c r="BI57" s="443">
        <v>43883.923076923078</v>
      </c>
      <c r="BJ57" s="444">
        <f t="shared" si="18"/>
        <v>466775.73620000004</v>
      </c>
      <c r="BK57" s="612">
        <v>14</v>
      </c>
      <c r="BL57" s="612">
        <f>595605/BK57</f>
        <v>42543.214285714283</v>
      </c>
      <c r="BM57" s="445">
        <f t="shared" si="19"/>
        <v>487324.011</v>
      </c>
      <c r="BN57" s="442"/>
      <c r="BO57" s="443"/>
      <c r="BP57" s="444">
        <f t="shared" si="20"/>
        <v>0</v>
      </c>
      <c r="BQ57" s="612">
        <v>0</v>
      </c>
      <c r="BR57" s="612">
        <v>0</v>
      </c>
      <c r="BS57" s="445">
        <f t="shared" si="21"/>
        <v>0</v>
      </c>
      <c r="BT57" s="442"/>
      <c r="BU57" s="443"/>
      <c r="BV57" s="444">
        <f t="shared" si="22"/>
        <v>0</v>
      </c>
      <c r="BW57" s="307">
        <v>0</v>
      </c>
      <c r="BX57" s="307">
        <v>0</v>
      </c>
      <c r="BY57" s="449">
        <f t="shared" si="23"/>
        <v>0</v>
      </c>
    </row>
    <row r="58" spans="1:77" s="309" customFormat="1" ht="12.75" customHeight="1">
      <c r="A58" s="315" t="s">
        <v>338</v>
      </c>
      <c r="B58" s="316" t="s">
        <v>566</v>
      </c>
      <c r="C58" s="316"/>
      <c r="D58" s="315">
        <v>107664</v>
      </c>
      <c r="E58" s="416">
        <v>8</v>
      </c>
      <c r="F58" s="453"/>
      <c r="G58" s="454"/>
      <c r="H58" s="439">
        <f t="shared" si="0"/>
        <v>0</v>
      </c>
      <c r="I58" s="311">
        <v>0</v>
      </c>
      <c r="J58" s="311">
        <v>0</v>
      </c>
      <c r="K58" s="441">
        <f t="shared" si="1"/>
        <v>0</v>
      </c>
      <c r="L58" s="442"/>
      <c r="M58" s="443"/>
      <c r="N58" s="444">
        <f t="shared" si="2"/>
        <v>0</v>
      </c>
      <c r="O58" s="307">
        <v>0</v>
      </c>
      <c r="P58" s="307">
        <v>0</v>
      </c>
      <c r="Q58" s="445">
        <f t="shared" si="3"/>
        <v>0</v>
      </c>
      <c r="R58" s="442"/>
      <c r="S58" s="443"/>
      <c r="T58" s="444">
        <f t="shared" si="4"/>
        <v>0</v>
      </c>
      <c r="U58" s="306">
        <v>0</v>
      </c>
      <c r="V58" s="306">
        <v>0</v>
      </c>
      <c r="W58" s="441">
        <f t="shared" si="5"/>
        <v>0</v>
      </c>
      <c r="X58" s="442"/>
      <c r="Y58" s="443"/>
      <c r="Z58" s="444">
        <f t="shared" si="6"/>
        <v>0</v>
      </c>
      <c r="AA58" s="307">
        <v>0</v>
      </c>
      <c r="AB58" s="307">
        <v>0</v>
      </c>
      <c r="AC58" s="445">
        <f t="shared" si="7"/>
        <v>0</v>
      </c>
      <c r="AD58" s="442"/>
      <c r="AE58" s="443"/>
      <c r="AF58" s="444">
        <f t="shared" si="8"/>
        <v>0</v>
      </c>
      <c r="AG58" s="307">
        <v>0</v>
      </c>
      <c r="AH58" s="307">
        <v>0</v>
      </c>
      <c r="AI58" s="445">
        <f t="shared" si="9"/>
        <v>0</v>
      </c>
      <c r="AJ58" s="446">
        <v>144</v>
      </c>
      <c r="AK58" s="443">
        <v>46051.611111111109</v>
      </c>
      <c r="AL58" s="444">
        <f t="shared" si="10"/>
        <v>6631432</v>
      </c>
      <c r="AM58" s="307">
        <v>157</v>
      </c>
      <c r="AN58" s="307">
        <v>47254.757961783442</v>
      </c>
      <c r="AO58" s="447">
        <f t="shared" si="11"/>
        <v>7418997</v>
      </c>
      <c r="AP58" s="448"/>
      <c r="AQ58" s="443"/>
      <c r="AR58" s="444">
        <f t="shared" si="12"/>
        <v>0</v>
      </c>
      <c r="AS58" s="307">
        <v>0</v>
      </c>
      <c r="AT58" s="307">
        <v>0</v>
      </c>
      <c r="AU58" s="441">
        <f t="shared" si="13"/>
        <v>0</v>
      </c>
      <c r="AV58" s="442"/>
      <c r="AW58" s="443"/>
      <c r="AX58" s="444">
        <f t="shared" si="14"/>
        <v>0</v>
      </c>
      <c r="AY58" s="307">
        <v>0</v>
      </c>
      <c r="AZ58" s="307">
        <v>0</v>
      </c>
      <c r="BA58" s="445">
        <f t="shared" si="15"/>
        <v>0</v>
      </c>
      <c r="BB58" s="442"/>
      <c r="BC58" s="443"/>
      <c r="BD58" s="444">
        <f t="shared" si="16"/>
        <v>0</v>
      </c>
      <c r="BE58" s="307">
        <v>0</v>
      </c>
      <c r="BF58" s="307">
        <v>0</v>
      </c>
      <c r="BG58" s="445">
        <f t="shared" si="17"/>
        <v>0</v>
      </c>
      <c r="BH58" s="442"/>
      <c r="BI58" s="443"/>
      <c r="BJ58" s="444">
        <f t="shared" si="18"/>
        <v>0</v>
      </c>
      <c r="BK58" s="307">
        <v>0</v>
      </c>
      <c r="BL58" s="307">
        <v>0</v>
      </c>
      <c r="BM58" s="445">
        <f t="shared" si="19"/>
        <v>0</v>
      </c>
      <c r="BN58" s="442"/>
      <c r="BO58" s="443"/>
      <c r="BP58" s="444">
        <f t="shared" si="20"/>
        <v>0</v>
      </c>
      <c r="BQ58" s="307">
        <v>0</v>
      </c>
      <c r="BR58" s="307">
        <v>0</v>
      </c>
      <c r="BS58" s="445">
        <f t="shared" si="21"/>
        <v>0</v>
      </c>
      <c r="BT58" s="442">
        <v>14</v>
      </c>
      <c r="BU58" s="443">
        <v>57815</v>
      </c>
      <c r="BV58" s="444">
        <f t="shared" si="22"/>
        <v>662259.26199999999</v>
      </c>
      <c r="BW58" s="307">
        <v>14</v>
      </c>
      <c r="BX58" s="307">
        <v>59984</v>
      </c>
      <c r="BY58" s="449">
        <f t="shared" si="23"/>
        <v>687104.72320000001</v>
      </c>
    </row>
    <row r="59" spans="1:77" s="309" customFormat="1" ht="12.75" customHeight="1">
      <c r="A59" s="313" t="s">
        <v>338</v>
      </c>
      <c r="B59" s="314" t="s">
        <v>567</v>
      </c>
      <c r="C59" s="314"/>
      <c r="D59" s="313">
        <v>106449</v>
      </c>
      <c r="E59" s="415">
        <v>9</v>
      </c>
      <c r="F59" s="453">
        <v>4</v>
      </c>
      <c r="G59" s="454">
        <v>55042.25</v>
      </c>
      <c r="H59" s="439">
        <f t="shared" si="0"/>
        <v>220169</v>
      </c>
      <c r="I59" s="311">
        <v>4</v>
      </c>
      <c r="J59" s="311">
        <v>56693.5</v>
      </c>
      <c r="K59" s="441">
        <f t="shared" si="1"/>
        <v>226774</v>
      </c>
      <c r="L59" s="442">
        <v>6</v>
      </c>
      <c r="M59" s="443">
        <v>48515.666666666664</v>
      </c>
      <c r="N59" s="444">
        <f t="shared" si="2"/>
        <v>291094</v>
      </c>
      <c r="O59" s="307">
        <v>5</v>
      </c>
      <c r="P59" s="307">
        <v>47763.4</v>
      </c>
      <c r="Q59" s="445">
        <f t="shared" si="3"/>
        <v>238817</v>
      </c>
      <c r="R59" s="442">
        <v>32</v>
      </c>
      <c r="S59" s="443">
        <v>45452.0625</v>
      </c>
      <c r="T59" s="444">
        <f t="shared" si="4"/>
        <v>1454466</v>
      </c>
      <c r="U59" s="306">
        <v>29</v>
      </c>
      <c r="V59" s="306">
        <v>46053.931034482761</v>
      </c>
      <c r="W59" s="441">
        <f t="shared" si="5"/>
        <v>1335564</v>
      </c>
      <c r="X59" s="442">
        <v>64</v>
      </c>
      <c r="Y59" s="443">
        <v>40022.40625</v>
      </c>
      <c r="Z59" s="444">
        <f t="shared" si="6"/>
        <v>2561434</v>
      </c>
      <c r="AA59" s="307">
        <v>62</v>
      </c>
      <c r="AB59" s="307">
        <v>40489.516129032258</v>
      </c>
      <c r="AC59" s="445">
        <f t="shared" si="7"/>
        <v>2510350</v>
      </c>
      <c r="AD59" s="442"/>
      <c r="AE59" s="443"/>
      <c r="AF59" s="444">
        <f t="shared" si="8"/>
        <v>0</v>
      </c>
      <c r="AG59" s="307">
        <v>0</v>
      </c>
      <c r="AH59" s="307">
        <v>0</v>
      </c>
      <c r="AI59" s="445">
        <f t="shared" si="9"/>
        <v>0</v>
      </c>
      <c r="AJ59" s="446"/>
      <c r="AK59" s="443"/>
      <c r="AL59" s="444">
        <f t="shared" si="10"/>
        <v>0</v>
      </c>
      <c r="AM59" s="307">
        <v>0</v>
      </c>
      <c r="AN59" s="307">
        <v>0</v>
      </c>
      <c r="AO59" s="447">
        <f t="shared" si="11"/>
        <v>0</v>
      </c>
      <c r="AP59" s="448">
        <v>1</v>
      </c>
      <c r="AQ59" s="443">
        <v>73709</v>
      </c>
      <c r="AR59" s="444">
        <f t="shared" si="12"/>
        <v>60308.703800000003</v>
      </c>
      <c r="AS59" s="307">
        <v>1</v>
      </c>
      <c r="AT59" s="307">
        <v>75921</v>
      </c>
      <c r="AU59" s="441">
        <f t="shared" si="13"/>
        <v>62118.5622</v>
      </c>
      <c r="AV59" s="442">
        <v>4</v>
      </c>
      <c r="AW59" s="443">
        <v>80213.75</v>
      </c>
      <c r="AX59" s="444">
        <f t="shared" si="14"/>
        <v>262523.56099999999</v>
      </c>
      <c r="AY59" s="307">
        <v>4</v>
      </c>
      <c r="AZ59" s="307">
        <v>82620.25</v>
      </c>
      <c r="BA59" s="445">
        <f t="shared" si="15"/>
        <v>270399.55420000001</v>
      </c>
      <c r="BB59" s="442">
        <v>5</v>
      </c>
      <c r="BC59" s="443">
        <v>59451</v>
      </c>
      <c r="BD59" s="444">
        <f t="shared" si="16"/>
        <v>243214.041</v>
      </c>
      <c r="BE59" s="307">
        <v>5</v>
      </c>
      <c r="BF59" s="307">
        <v>61634.6</v>
      </c>
      <c r="BG59" s="445">
        <f t="shared" si="17"/>
        <v>252147.14860000001</v>
      </c>
      <c r="BH59" s="442">
        <v>6</v>
      </c>
      <c r="BI59" s="443">
        <v>48836.833333333336</v>
      </c>
      <c r="BJ59" s="444">
        <f t="shared" si="18"/>
        <v>239749.78220000002</v>
      </c>
      <c r="BK59" s="307">
        <v>11</v>
      </c>
      <c r="BL59" s="307">
        <v>43992.545454545456</v>
      </c>
      <c r="BM59" s="445">
        <f t="shared" si="19"/>
        <v>395941.70760000002</v>
      </c>
      <c r="BN59" s="442"/>
      <c r="BO59" s="443"/>
      <c r="BP59" s="444">
        <f t="shared" si="20"/>
        <v>0</v>
      </c>
      <c r="BQ59" s="307">
        <v>0</v>
      </c>
      <c r="BR59" s="307">
        <v>0</v>
      </c>
      <c r="BS59" s="445">
        <f t="shared" si="21"/>
        <v>0</v>
      </c>
      <c r="BT59" s="442"/>
      <c r="BU59" s="443"/>
      <c r="BV59" s="444">
        <f t="shared" si="22"/>
        <v>0</v>
      </c>
      <c r="BW59" s="307">
        <v>0</v>
      </c>
      <c r="BX59" s="307">
        <v>0</v>
      </c>
      <c r="BY59" s="449">
        <f t="shared" si="23"/>
        <v>0</v>
      </c>
    </row>
    <row r="60" spans="1:77" s="309" customFormat="1" ht="12.75" customHeight="1">
      <c r="A60" s="313" t="s">
        <v>338</v>
      </c>
      <c r="B60" s="403" t="s">
        <v>576</v>
      </c>
      <c r="C60" s="492" t="s">
        <v>1073</v>
      </c>
      <c r="D60" s="313">
        <v>106980</v>
      </c>
      <c r="E60" s="493">
        <v>9</v>
      </c>
      <c r="F60" s="453"/>
      <c r="G60" s="454"/>
      <c r="H60" s="439">
        <f t="shared" si="0"/>
        <v>0</v>
      </c>
      <c r="I60" s="311">
        <v>0</v>
      </c>
      <c r="J60" s="311">
        <v>0</v>
      </c>
      <c r="K60" s="441">
        <f t="shared" si="1"/>
        <v>0</v>
      </c>
      <c r="L60" s="442"/>
      <c r="M60" s="443"/>
      <c r="N60" s="444">
        <f t="shared" si="2"/>
        <v>0</v>
      </c>
      <c r="O60" s="307">
        <v>0</v>
      </c>
      <c r="P60" s="307">
        <v>0</v>
      </c>
      <c r="Q60" s="445">
        <f t="shared" si="3"/>
        <v>0</v>
      </c>
      <c r="R60" s="442"/>
      <c r="S60" s="443"/>
      <c r="T60" s="444">
        <f t="shared" si="4"/>
        <v>0</v>
      </c>
      <c r="U60" s="306">
        <v>0</v>
      </c>
      <c r="V60" s="306">
        <v>0</v>
      </c>
      <c r="W60" s="441">
        <f t="shared" si="5"/>
        <v>0</v>
      </c>
      <c r="X60" s="442"/>
      <c r="Y60" s="443"/>
      <c r="Z60" s="444">
        <f t="shared" si="6"/>
        <v>0</v>
      </c>
      <c r="AA60" s="307">
        <v>0</v>
      </c>
      <c r="AB60" s="307">
        <v>0</v>
      </c>
      <c r="AC60" s="445">
        <f t="shared" si="7"/>
        <v>0</v>
      </c>
      <c r="AD60" s="442"/>
      <c r="AE60" s="443"/>
      <c r="AF60" s="444">
        <f t="shared" si="8"/>
        <v>0</v>
      </c>
      <c r="AG60" s="307">
        <v>0</v>
      </c>
      <c r="AH60" s="307">
        <v>0</v>
      </c>
      <c r="AI60" s="445">
        <f t="shared" si="9"/>
        <v>0</v>
      </c>
      <c r="AJ60" s="446">
        <v>73</v>
      </c>
      <c r="AK60" s="443">
        <v>43233.452054794521</v>
      </c>
      <c r="AL60" s="444">
        <f t="shared" si="10"/>
        <v>3156042</v>
      </c>
      <c r="AM60" s="307">
        <v>77</v>
      </c>
      <c r="AN60" s="307">
        <v>42230.389610389611</v>
      </c>
      <c r="AO60" s="447">
        <f t="shared" si="11"/>
        <v>3251740</v>
      </c>
      <c r="AP60" s="448"/>
      <c r="AQ60" s="443"/>
      <c r="AR60" s="444">
        <f t="shared" si="12"/>
        <v>0</v>
      </c>
      <c r="AS60" s="307">
        <v>0</v>
      </c>
      <c r="AT60" s="307">
        <v>0</v>
      </c>
      <c r="AU60" s="441">
        <f t="shared" si="13"/>
        <v>0</v>
      </c>
      <c r="AV60" s="442"/>
      <c r="AW60" s="443"/>
      <c r="AX60" s="444">
        <f t="shared" si="14"/>
        <v>0</v>
      </c>
      <c r="AY60" s="307">
        <v>0</v>
      </c>
      <c r="AZ60" s="307">
        <v>0</v>
      </c>
      <c r="BA60" s="445">
        <f t="shared" si="15"/>
        <v>0</v>
      </c>
      <c r="BB60" s="442"/>
      <c r="BC60" s="443"/>
      <c r="BD60" s="444">
        <f t="shared" si="16"/>
        <v>0</v>
      </c>
      <c r="BE60" s="307">
        <v>0</v>
      </c>
      <c r="BF60" s="307">
        <v>0</v>
      </c>
      <c r="BG60" s="445">
        <f t="shared" si="17"/>
        <v>0</v>
      </c>
      <c r="BH60" s="442"/>
      <c r="BI60" s="443"/>
      <c r="BJ60" s="444">
        <f t="shared" si="18"/>
        <v>0</v>
      </c>
      <c r="BK60" s="307">
        <v>0</v>
      </c>
      <c r="BL60" s="307">
        <v>0</v>
      </c>
      <c r="BM60" s="445">
        <f t="shared" si="19"/>
        <v>0</v>
      </c>
      <c r="BN60" s="442"/>
      <c r="BO60" s="443"/>
      <c r="BP60" s="444">
        <f t="shared" si="20"/>
        <v>0</v>
      </c>
      <c r="BQ60" s="307">
        <v>0</v>
      </c>
      <c r="BR60" s="307">
        <v>0</v>
      </c>
      <c r="BS60" s="445">
        <f t="shared" si="21"/>
        <v>0</v>
      </c>
      <c r="BT60" s="442">
        <v>18</v>
      </c>
      <c r="BU60" s="443">
        <v>53402.555555555555</v>
      </c>
      <c r="BV60" s="444">
        <f t="shared" si="22"/>
        <v>786491.47720000008</v>
      </c>
      <c r="BW60" s="307">
        <v>14</v>
      </c>
      <c r="BX60" s="307">
        <v>52941.142857142855</v>
      </c>
      <c r="BY60" s="449">
        <f t="shared" si="23"/>
        <v>606430.20319999999</v>
      </c>
    </row>
    <row r="61" spans="1:77" s="309" customFormat="1" ht="12.75" customHeight="1">
      <c r="A61" s="313" t="s">
        <v>338</v>
      </c>
      <c r="B61" s="314" t="s">
        <v>568</v>
      </c>
      <c r="C61" s="494" t="s">
        <v>1074</v>
      </c>
      <c r="D61" s="313">
        <v>367459</v>
      </c>
      <c r="E61" s="415">
        <v>9</v>
      </c>
      <c r="F61" s="453"/>
      <c r="G61" s="454"/>
      <c r="H61" s="439">
        <f t="shared" si="0"/>
        <v>0</v>
      </c>
      <c r="I61" s="311">
        <v>0</v>
      </c>
      <c r="J61" s="311">
        <v>0</v>
      </c>
      <c r="K61" s="441">
        <f t="shared" si="1"/>
        <v>0</v>
      </c>
      <c r="L61" s="442"/>
      <c r="M61" s="443"/>
      <c r="N61" s="444">
        <f t="shared" si="2"/>
        <v>0</v>
      </c>
      <c r="O61" s="307">
        <v>0</v>
      </c>
      <c r="P61" s="307">
        <v>0</v>
      </c>
      <c r="Q61" s="445">
        <f t="shared" si="3"/>
        <v>0</v>
      </c>
      <c r="R61" s="442"/>
      <c r="S61" s="443"/>
      <c r="T61" s="444">
        <f t="shared" si="4"/>
        <v>0</v>
      </c>
      <c r="U61" s="306">
        <v>0</v>
      </c>
      <c r="V61" s="306">
        <v>0</v>
      </c>
      <c r="W61" s="441">
        <f t="shared" si="5"/>
        <v>0</v>
      </c>
      <c r="X61" s="442"/>
      <c r="Y61" s="443"/>
      <c r="Z61" s="444">
        <f t="shared" si="6"/>
        <v>0</v>
      </c>
      <c r="AA61" s="307">
        <v>0</v>
      </c>
      <c r="AB61" s="307">
        <v>0</v>
      </c>
      <c r="AC61" s="445">
        <f t="shared" si="7"/>
        <v>0</v>
      </c>
      <c r="AD61" s="442"/>
      <c r="AE61" s="443"/>
      <c r="AF61" s="444">
        <f t="shared" si="8"/>
        <v>0</v>
      </c>
      <c r="AG61" s="307">
        <v>0</v>
      </c>
      <c r="AH61" s="307">
        <v>0</v>
      </c>
      <c r="AI61" s="445">
        <f t="shared" si="9"/>
        <v>0</v>
      </c>
      <c r="AJ61" s="446">
        <v>132</v>
      </c>
      <c r="AK61" s="443">
        <v>51512.598484848488</v>
      </c>
      <c r="AL61" s="444">
        <f t="shared" si="10"/>
        <v>6799663</v>
      </c>
      <c r="AM61" s="307">
        <v>143</v>
      </c>
      <c r="AN61" s="307">
        <v>50463.328671328672</v>
      </c>
      <c r="AO61" s="447">
        <f t="shared" si="11"/>
        <v>7216256</v>
      </c>
      <c r="AP61" s="448"/>
      <c r="AQ61" s="443"/>
      <c r="AR61" s="444">
        <f t="shared" si="12"/>
        <v>0</v>
      </c>
      <c r="AS61" s="307">
        <v>0</v>
      </c>
      <c r="AT61" s="307">
        <v>0</v>
      </c>
      <c r="AU61" s="441">
        <f t="shared" si="13"/>
        <v>0</v>
      </c>
      <c r="AV61" s="442"/>
      <c r="AW61" s="443"/>
      <c r="AX61" s="444">
        <f t="shared" si="14"/>
        <v>0</v>
      </c>
      <c r="AY61" s="307">
        <v>0</v>
      </c>
      <c r="AZ61" s="307">
        <v>0</v>
      </c>
      <c r="BA61" s="445">
        <f t="shared" si="15"/>
        <v>0</v>
      </c>
      <c r="BB61" s="442"/>
      <c r="BC61" s="443"/>
      <c r="BD61" s="444">
        <f t="shared" si="16"/>
        <v>0</v>
      </c>
      <c r="BE61" s="307">
        <v>0</v>
      </c>
      <c r="BF61" s="307">
        <v>0</v>
      </c>
      <c r="BG61" s="445">
        <f t="shared" si="17"/>
        <v>0</v>
      </c>
      <c r="BH61" s="442"/>
      <c r="BI61" s="443"/>
      <c r="BJ61" s="444">
        <f t="shared" si="18"/>
        <v>0</v>
      </c>
      <c r="BK61" s="307">
        <v>0</v>
      </c>
      <c r="BL61" s="307">
        <v>0</v>
      </c>
      <c r="BM61" s="445">
        <f t="shared" si="19"/>
        <v>0</v>
      </c>
      <c r="BN61" s="442"/>
      <c r="BO61" s="443"/>
      <c r="BP61" s="444">
        <f t="shared" si="20"/>
        <v>0</v>
      </c>
      <c r="BQ61" s="307">
        <v>0</v>
      </c>
      <c r="BR61" s="307">
        <v>0</v>
      </c>
      <c r="BS61" s="445">
        <f t="shared" si="21"/>
        <v>0</v>
      </c>
      <c r="BT61" s="442">
        <v>1</v>
      </c>
      <c r="BU61" s="443">
        <v>54109</v>
      </c>
      <c r="BV61" s="444">
        <f t="shared" si="22"/>
        <v>44271.983800000002</v>
      </c>
      <c r="BW61" s="307">
        <v>0</v>
      </c>
      <c r="BX61" s="307">
        <v>0</v>
      </c>
      <c r="BY61" s="449">
        <f t="shared" si="23"/>
        <v>0</v>
      </c>
    </row>
    <row r="62" spans="1:77" s="309" customFormat="1" ht="12.75" customHeight="1">
      <c r="A62" s="313" t="s">
        <v>338</v>
      </c>
      <c r="B62" s="314" t="s">
        <v>569</v>
      </c>
      <c r="C62" s="314"/>
      <c r="D62" s="313">
        <v>107327</v>
      </c>
      <c r="E62" s="415">
        <v>10</v>
      </c>
      <c r="F62" s="453"/>
      <c r="G62" s="454"/>
      <c r="H62" s="439">
        <f t="shared" si="0"/>
        <v>0</v>
      </c>
      <c r="I62" s="311">
        <v>0</v>
      </c>
      <c r="J62" s="311">
        <v>0</v>
      </c>
      <c r="K62" s="441">
        <f t="shared" si="1"/>
        <v>0</v>
      </c>
      <c r="L62" s="442"/>
      <c r="M62" s="443"/>
      <c r="N62" s="444">
        <f t="shared" si="2"/>
        <v>0</v>
      </c>
      <c r="O62" s="307">
        <v>0</v>
      </c>
      <c r="P62" s="307">
        <v>0</v>
      </c>
      <c r="Q62" s="445">
        <f t="shared" si="3"/>
        <v>0</v>
      </c>
      <c r="R62" s="442"/>
      <c r="S62" s="443"/>
      <c r="T62" s="444">
        <f t="shared" si="4"/>
        <v>0</v>
      </c>
      <c r="U62" s="306">
        <v>0</v>
      </c>
      <c r="V62" s="306">
        <v>0</v>
      </c>
      <c r="W62" s="441">
        <f t="shared" si="5"/>
        <v>0</v>
      </c>
      <c r="X62" s="442"/>
      <c r="Y62" s="443"/>
      <c r="Z62" s="444">
        <f t="shared" si="6"/>
        <v>0</v>
      </c>
      <c r="AA62" s="307">
        <v>0</v>
      </c>
      <c r="AB62" s="307">
        <v>0</v>
      </c>
      <c r="AC62" s="445">
        <f t="shared" si="7"/>
        <v>0</v>
      </c>
      <c r="AD62" s="442"/>
      <c r="AE62" s="443"/>
      <c r="AF62" s="444">
        <f t="shared" si="8"/>
        <v>0</v>
      </c>
      <c r="AG62" s="307">
        <v>0</v>
      </c>
      <c r="AH62" s="307">
        <v>0</v>
      </c>
      <c r="AI62" s="445">
        <f t="shared" si="9"/>
        <v>0</v>
      </c>
      <c r="AJ62" s="446"/>
      <c r="AK62" s="443"/>
      <c r="AL62" s="444">
        <f t="shared" si="10"/>
        <v>0</v>
      </c>
      <c r="AM62" s="270">
        <v>73</v>
      </c>
      <c r="AN62" s="270">
        <v>43227.493150684932</v>
      </c>
      <c r="AO62" s="447">
        <f t="shared" si="11"/>
        <v>3155607</v>
      </c>
      <c r="AP62" s="448"/>
      <c r="AQ62" s="443"/>
      <c r="AR62" s="444">
        <f t="shared" si="12"/>
        <v>0</v>
      </c>
      <c r="AS62" s="307">
        <v>0</v>
      </c>
      <c r="AT62" s="307">
        <v>0</v>
      </c>
      <c r="AU62" s="441">
        <f t="shared" si="13"/>
        <v>0</v>
      </c>
      <c r="AV62" s="442"/>
      <c r="AW62" s="443"/>
      <c r="AX62" s="444">
        <f t="shared" si="14"/>
        <v>0</v>
      </c>
      <c r="AY62" s="307">
        <v>0</v>
      </c>
      <c r="AZ62" s="307">
        <v>0</v>
      </c>
      <c r="BA62" s="445">
        <f t="shared" si="15"/>
        <v>0</v>
      </c>
      <c r="BB62" s="442"/>
      <c r="BC62" s="443"/>
      <c r="BD62" s="444">
        <f t="shared" si="16"/>
        <v>0</v>
      </c>
      <c r="BE62" s="307">
        <v>0</v>
      </c>
      <c r="BF62" s="307">
        <v>0</v>
      </c>
      <c r="BG62" s="445">
        <f t="shared" si="17"/>
        <v>0</v>
      </c>
      <c r="BH62" s="442"/>
      <c r="BI62" s="443"/>
      <c r="BJ62" s="444">
        <f t="shared" si="18"/>
        <v>0</v>
      </c>
      <c r="BK62" s="307">
        <v>0</v>
      </c>
      <c r="BL62" s="307">
        <v>0</v>
      </c>
      <c r="BM62" s="445">
        <f t="shared" si="19"/>
        <v>0</v>
      </c>
      <c r="BN62" s="442"/>
      <c r="BO62" s="443"/>
      <c r="BP62" s="444">
        <f t="shared" si="20"/>
        <v>0</v>
      </c>
      <c r="BQ62" s="307">
        <v>0</v>
      </c>
      <c r="BR62" s="307">
        <v>0</v>
      </c>
      <c r="BS62" s="445">
        <f t="shared" si="21"/>
        <v>0</v>
      </c>
      <c r="BT62" s="442"/>
      <c r="BU62" s="443"/>
      <c r="BV62" s="444">
        <f t="shared" si="22"/>
        <v>0</v>
      </c>
      <c r="BW62" s="307">
        <v>6</v>
      </c>
      <c r="BX62" s="307">
        <v>64897.833333333336</v>
      </c>
      <c r="BY62" s="449">
        <f t="shared" si="23"/>
        <v>318596.44339999999</v>
      </c>
    </row>
    <row r="63" spans="1:77" s="309" customFormat="1" ht="12.75" customHeight="1">
      <c r="A63" s="313" t="s">
        <v>338</v>
      </c>
      <c r="B63" s="314" t="s">
        <v>570</v>
      </c>
      <c r="C63" s="314"/>
      <c r="D63" s="313">
        <v>420538</v>
      </c>
      <c r="E63" s="415">
        <v>10</v>
      </c>
      <c r="F63" s="453"/>
      <c r="G63" s="454"/>
      <c r="H63" s="439">
        <f t="shared" si="0"/>
        <v>0</v>
      </c>
      <c r="I63" s="311">
        <v>0</v>
      </c>
      <c r="J63" s="311">
        <v>0</v>
      </c>
      <c r="K63" s="441">
        <f t="shared" si="1"/>
        <v>0</v>
      </c>
      <c r="L63" s="442"/>
      <c r="M63" s="443"/>
      <c r="N63" s="444">
        <f t="shared" si="2"/>
        <v>0</v>
      </c>
      <c r="O63" s="307">
        <v>0</v>
      </c>
      <c r="P63" s="307">
        <v>0</v>
      </c>
      <c r="Q63" s="445">
        <f t="shared" si="3"/>
        <v>0</v>
      </c>
      <c r="R63" s="442">
        <v>11</v>
      </c>
      <c r="S63" s="443">
        <v>48291.727272727272</v>
      </c>
      <c r="T63" s="444">
        <f t="shared" si="4"/>
        <v>531209</v>
      </c>
      <c r="U63" s="306">
        <v>11</v>
      </c>
      <c r="V63" s="306">
        <v>48291.727272727272</v>
      </c>
      <c r="W63" s="441">
        <f t="shared" si="5"/>
        <v>531209</v>
      </c>
      <c r="X63" s="442">
        <v>32</v>
      </c>
      <c r="Y63" s="443">
        <v>36424.125</v>
      </c>
      <c r="Z63" s="444">
        <f t="shared" si="6"/>
        <v>1165572</v>
      </c>
      <c r="AA63" s="307">
        <v>37</v>
      </c>
      <c r="AB63" s="307">
        <v>39908.405405405407</v>
      </c>
      <c r="AC63" s="445">
        <f t="shared" si="7"/>
        <v>1476611</v>
      </c>
      <c r="AD63" s="442"/>
      <c r="AE63" s="443"/>
      <c r="AF63" s="444">
        <f t="shared" si="8"/>
        <v>0</v>
      </c>
      <c r="AG63" s="307">
        <v>0</v>
      </c>
      <c r="AH63" s="307">
        <v>0</v>
      </c>
      <c r="AI63" s="445">
        <f t="shared" si="9"/>
        <v>0</v>
      </c>
      <c r="AJ63" s="446">
        <v>77</v>
      </c>
      <c r="AK63" s="443">
        <v>43566.467532467534</v>
      </c>
      <c r="AL63" s="444">
        <f t="shared" si="10"/>
        <v>3354618</v>
      </c>
      <c r="AM63" s="307">
        <v>0</v>
      </c>
      <c r="AN63" s="307">
        <v>0</v>
      </c>
      <c r="AO63" s="447">
        <f t="shared" si="11"/>
        <v>0</v>
      </c>
      <c r="AP63" s="448"/>
      <c r="AQ63" s="443"/>
      <c r="AR63" s="444">
        <f t="shared" si="12"/>
        <v>0</v>
      </c>
      <c r="AS63" s="307">
        <v>0</v>
      </c>
      <c r="AT63" s="307">
        <v>0</v>
      </c>
      <c r="AU63" s="441">
        <f t="shared" si="13"/>
        <v>0</v>
      </c>
      <c r="AV63" s="442"/>
      <c r="AW63" s="443"/>
      <c r="AX63" s="444">
        <f t="shared" si="14"/>
        <v>0</v>
      </c>
      <c r="AY63" s="307">
        <v>0</v>
      </c>
      <c r="AZ63" s="307">
        <v>0</v>
      </c>
      <c r="BA63" s="445">
        <f t="shared" si="15"/>
        <v>0</v>
      </c>
      <c r="BB63" s="442"/>
      <c r="BC63" s="443"/>
      <c r="BD63" s="444">
        <f t="shared" si="16"/>
        <v>0</v>
      </c>
      <c r="BE63" s="307">
        <v>0</v>
      </c>
      <c r="BF63" s="307">
        <v>0</v>
      </c>
      <c r="BG63" s="445">
        <f t="shared" si="17"/>
        <v>0</v>
      </c>
      <c r="BH63" s="442"/>
      <c r="BI63" s="443"/>
      <c r="BJ63" s="444">
        <f t="shared" si="18"/>
        <v>0</v>
      </c>
      <c r="BK63" s="307">
        <v>0</v>
      </c>
      <c r="BL63" s="307">
        <v>0</v>
      </c>
      <c r="BM63" s="445">
        <f t="shared" si="19"/>
        <v>0</v>
      </c>
      <c r="BN63" s="442"/>
      <c r="BO63" s="443"/>
      <c r="BP63" s="444">
        <f t="shared" si="20"/>
        <v>0</v>
      </c>
      <c r="BQ63" s="307">
        <v>0</v>
      </c>
      <c r="BR63" s="307">
        <v>0</v>
      </c>
      <c r="BS63" s="445">
        <f t="shared" si="21"/>
        <v>0</v>
      </c>
      <c r="BT63" s="442">
        <v>5</v>
      </c>
      <c r="BU63" s="443">
        <v>65428.4</v>
      </c>
      <c r="BV63" s="444">
        <f t="shared" si="22"/>
        <v>267667.58439999999</v>
      </c>
      <c r="BW63" s="307">
        <v>0</v>
      </c>
      <c r="BX63" s="307">
        <v>0</v>
      </c>
      <c r="BY63" s="449">
        <f t="shared" si="23"/>
        <v>0</v>
      </c>
    </row>
    <row r="64" spans="1:77" s="309" customFormat="1" ht="12.75" customHeight="1">
      <c r="A64" s="313" t="s">
        <v>338</v>
      </c>
      <c r="B64" s="314" t="s">
        <v>571</v>
      </c>
      <c r="C64" s="314"/>
      <c r="D64" s="313">
        <v>440402</v>
      </c>
      <c r="E64" s="415">
        <v>10</v>
      </c>
      <c r="F64" s="453"/>
      <c r="G64" s="454"/>
      <c r="H64" s="439">
        <f t="shared" si="0"/>
        <v>0</v>
      </c>
      <c r="I64" s="311">
        <v>0</v>
      </c>
      <c r="J64" s="311">
        <v>0</v>
      </c>
      <c r="K64" s="441">
        <f t="shared" si="1"/>
        <v>0</v>
      </c>
      <c r="L64" s="442"/>
      <c r="M64" s="443"/>
      <c r="N64" s="444">
        <f t="shared" si="2"/>
        <v>0</v>
      </c>
      <c r="O64" s="307">
        <v>0</v>
      </c>
      <c r="P64" s="307">
        <v>0</v>
      </c>
      <c r="Q64" s="445">
        <f t="shared" si="3"/>
        <v>0</v>
      </c>
      <c r="R64" s="442">
        <v>18</v>
      </c>
      <c r="S64" s="443">
        <v>40763.722222222219</v>
      </c>
      <c r="T64" s="444">
        <f t="shared" si="4"/>
        <v>733747</v>
      </c>
      <c r="U64" s="306">
        <v>18</v>
      </c>
      <c r="V64" s="306">
        <v>40753.388888888891</v>
      </c>
      <c r="W64" s="441">
        <f t="shared" si="5"/>
        <v>733561</v>
      </c>
      <c r="X64" s="442">
        <v>29</v>
      </c>
      <c r="Y64" s="443">
        <v>37386.896551724138</v>
      </c>
      <c r="Z64" s="444">
        <f t="shared" si="6"/>
        <v>1084220</v>
      </c>
      <c r="AA64" s="307">
        <v>27</v>
      </c>
      <c r="AB64" s="307">
        <v>40621.703703703701</v>
      </c>
      <c r="AC64" s="445">
        <f t="shared" si="7"/>
        <v>1096786</v>
      </c>
      <c r="AD64" s="442"/>
      <c r="AE64" s="443"/>
      <c r="AF64" s="444">
        <f t="shared" si="8"/>
        <v>0</v>
      </c>
      <c r="AG64" s="307">
        <v>0</v>
      </c>
      <c r="AH64" s="307">
        <v>0</v>
      </c>
      <c r="AI64" s="445">
        <f t="shared" si="9"/>
        <v>0</v>
      </c>
      <c r="AJ64" s="446"/>
      <c r="AK64" s="443"/>
      <c r="AL64" s="444">
        <f t="shared" si="10"/>
        <v>0</v>
      </c>
      <c r="AM64" s="307">
        <v>0</v>
      </c>
      <c r="AN64" s="307">
        <v>0</v>
      </c>
      <c r="AO64" s="447">
        <f t="shared" si="11"/>
        <v>0</v>
      </c>
      <c r="AP64" s="448"/>
      <c r="AQ64" s="443"/>
      <c r="AR64" s="444">
        <f t="shared" si="12"/>
        <v>0</v>
      </c>
      <c r="AS64" s="307">
        <v>0</v>
      </c>
      <c r="AT64" s="307">
        <v>0</v>
      </c>
      <c r="AU64" s="441">
        <f t="shared" si="13"/>
        <v>0</v>
      </c>
      <c r="AV64" s="442"/>
      <c r="AW64" s="443"/>
      <c r="AX64" s="444">
        <f t="shared" si="14"/>
        <v>0</v>
      </c>
      <c r="AY64" s="307">
        <v>0</v>
      </c>
      <c r="AZ64" s="307">
        <v>0</v>
      </c>
      <c r="BA64" s="445">
        <f t="shared" si="15"/>
        <v>0</v>
      </c>
      <c r="BB64" s="442">
        <v>3</v>
      </c>
      <c r="BC64" s="443">
        <v>40683</v>
      </c>
      <c r="BD64" s="444">
        <f t="shared" si="16"/>
        <v>99860.491800000003</v>
      </c>
      <c r="BE64" s="307">
        <v>3</v>
      </c>
      <c r="BF64" s="307">
        <v>42633.666666666664</v>
      </c>
      <c r="BG64" s="445">
        <f t="shared" si="17"/>
        <v>104648.59820000001</v>
      </c>
      <c r="BH64" s="442">
        <v>15</v>
      </c>
      <c r="BI64" s="443">
        <v>47128.933333333334</v>
      </c>
      <c r="BJ64" s="444">
        <f t="shared" si="18"/>
        <v>578413.39880000008</v>
      </c>
      <c r="BK64" s="307">
        <v>14</v>
      </c>
      <c r="BL64" s="307">
        <v>45095.928571428572</v>
      </c>
      <c r="BM64" s="445">
        <f t="shared" si="19"/>
        <v>516564.84260000003</v>
      </c>
      <c r="BN64" s="442"/>
      <c r="BO64" s="443"/>
      <c r="BP64" s="444">
        <f t="shared" si="20"/>
        <v>0</v>
      </c>
      <c r="BQ64" s="307">
        <v>0</v>
      </c>
      <c r="BR64" s="307">
        <v>0</v>
      </c>
      <c r="BS64" s="445">
        <f t="shared" si="21"/>
        <v>0</v>
      </c>
      <c r="BT64" s="442"/>
      <c r="BU64" s="443"/>
      <c r="BV64" s="444">
        <f t="shared" si="22"/>
        <v>0</v>
      </c>
      <c r="BW64" s="307">
        <v>0</v>
      </c>
      <c r="BX64" s="307">
        <v>0</v>
      </c>
      <c r="BY64" s="449">
        <f t="shared" si="23"/>
        <v>0</v>
      </c>
    </row>
    <row r="65" spans="1:77" s="309" customFormat="1" ht="12.75" customHeight="1">
      <c r="A65" s="313" t="s">
        <v>338</v>
      </c>
      <c r="B65" s="392" t="s">
        <v>572</v>
      </c>
      <c r="C65" s="495" t="s">
        <v>1069</v>
      </c>
      <c r="D65" s="313">
        <v>106625</v>
      </c>
      <c r="E65" s="415">
        <v>10</v>
      </c>
      <c r="F65" s="453"/>
      <c r="G65" s="454"/>
      <c r="H65" s="439">
        <f t="shared" si="0"/>
        <v>0</v>
      </c>
      <c r="I65" s="311">
        <v>0</v>
      </c>
      <c r="J65" s="311">
        <v>0</v>
      </c>
      <c r="K65" s="441">
        <f t="shared" si="1"/>
        <v>0</v>
      </c>
      <c r="L65" s="442"/>
      <c r="M65" s="443"/>
      <c r="N65" s="444">
        <f t="shared" si="2"/>
        <v>0</v>
      </c>
      <c r="O65" s="307">
        <v>0</v>
      </c>
      <c r="P65" s="307">
        <v>0</v>
      </c>
      <c r="Q65" s="445">
        <f t="shared" si="3"/>
        <v>0</v>
      </c>
      <c r="R65" s="442"/>
      <c r="S65" s="443"/>
      <c r="T65" s="444">
        <f t="shared" si="4"/>
        <v>0</v>
      </c>
      <c r="U65" s="306">
        <v>0</v>
      </c>
      <c r="V65" s="306">
        <v>0</v>
      </c>
      <c r="W65" s="441">
        <f t="shared" si="5"/>
        <v>0</v>
      </c>
      <c r="X65" s="442"/>
      <c r="Y65" s="443"/>
      <c r="Z65" s="444">
        <f t="shared" si="6"/>
        <v>0</v>
      </c>
      <c r="AA65" s="307">
        <v>0</v>
      </c>
      <c r="AB65" s="307">
        <v>0</v>
      </c>
      <c r="AC65" s="445">
        <f t="shared" si="7"/>
        <v>0</v>
      </c>
      <c r="AD65" s="442"/>
      <c r="AE65" s="443"/>
      <c r="AF65" s="444">
        <f t="shared" si="8"/>
        <v>0</v>
      </c>
      <c r="AG65" s="307">
        <v>0</v>
      </c>
      <c r="AH65" s="307">
        <v>0</v>
      </c>
      <c r="AI65" s="445">
        <f t="shared" si="9"/>
        <v>0</v>
      </c>
      <c r="AJ65" s="446">
        <v>59</v>
      </c>
      <c r="AK65" s="443">
        <v>41860.186440677964</v>
      </c>
      <c r="AL65" s="444">
        <f t="shared" si="10"/>
        <v>2469751</v>
      </c>
      <c r="AM65" s="307">
        <v>64</v>
      </c>
      <c r="AN65" s="307">
        <v>41392.75</v>
      </c>
      <c r="AO65" s="447">
        <f t="shared" si="11"/>
        <v>2649136</v>
      </c>
      <c r="AP65" s="448"/>
      <c r="AQ65" s="443"/>
      <c r="AR65" s="444">
        <f t="shared" si="12"/>
        <v>0</v>
      </c>
      <c r="AS65" s="307">
        <v>0</v>
      </c>
      <c r="AT65" s="307">
        <v>0</v>
      </c>
      <c r="AU65" s="441">
        <f t="shared" si="13"/>
        <v>0</v>
      </c>
      <c r="AV65" s="442"/>
      <c r="AW65" s="443"/>
      <c r="AX65" s="444">
        <f t="shared" si="14"/>
        <v>0</v>
      </c>
      <c r="AY65" s="307">
        <v>0</v>
      </c>
      <c r="AZ65" s="307">
        <v>0</v>
      </c>
      <c r="BA65" s="445">
        <f t="shared" si="15"/>
        <v>0</v>
      </c>
      <c r="BB65" s="442"/>
      <c r="BC65" s="443"/>
      <c r="BD65" s="444">
        <f t="shared" si="16"/>
        <v>0</v>
      </c>
      <c r="BE65" s="307">
        <v>0</v>
      </c>
      <c r="BF65" s="307">
        <v>0</v>
      </c>
      <c r="BG65" s="445">
        <f t="shared" si="17"/>
        <v>0</v>
      </c>
      <c r="BH65" s="442"/>
      <c r="BI65" s="443"/>
      <c r="BJ65" s="444">
        <f t="shared" si="18"/>
        <v>0</v>
      </c>
      <c r="BK65" s="307">
        <v>0</v>
      </c>
      <c r="BL65" s="307">
        <v>0</v>
      </c>
      <c r="BM65" s="445">
        <f t="shared" si="19"/>
        <v>0</v>
      </c>
      <c r="BN65" s="442"/>
      <c r="BO65" s="443"/>
      <c r="BP65" s="444">
        <f t="shared" si="20"/>
        <v>0</v>
      </c>
      <c r="BQ65" s="307">
        <v>0</v>
      </c>
      <c r="BR65" s="307">
        <v>0</v>
      </c>
      <c r="BS65" s="445">
        <f t="shared" si="21"/>
        <v>0</v>
      </c>
      <c r="BT65" s="442">
        <v>4</v>
      </c>
      <c r="BU65" s="443">
        <v>47627.75</v>
      </c>
      <c r="BV65" s="444">
        <f t="shared" si="22"/>
        <v>155876.10020000002</v>
      </c>
      <c r="BW65" s="307">
        <v>4</v>
      </c>
      <c r="BX65" s="307">
        <v>48859.5</v>
      </c>
      <c r="BY65" s="449">
        <f t="shared" si="23"/>
        <v>159907.37160000001</v>
      </c>
    </row>
    <row r="66" spans="1:77" s="309" customFormat="1" ht="12.75" customHeight="1">
      <c r="A66" s="313" t="s">
        <v>338</v>
      </c>
      <c r="B66" s="314" t="s">
        <v>573</v>
      </c>
      <c r="C66" s="314"/>
      <c r="D66" s="313">
        <v>106795</v>
      </c>
      <c r="E66" s="415">
        <v>10</v>
      </c>
      <c r="F66" s="453"/>
      <c r="G66" s="454"/>
      <c r="H66" s="439">
        <f t="shared" si="0"/>
        <v>0</v>
      </c>
      <c r="I66" s="311">
        <v>0</v>
      </c>
      <c r="J66" s="311">
        <v>0</v>
      </c>
      <c r="K66" s="441">
        <f t="shared" si="1"/>
        <v>0</v>
      </c>
      <c r="L66" s="442"/>
      <c r="M66" s="443"/>
      <c r="N66" s="444">
        <f t="shared" si="2"/>
        <v>0</v>
      </c>
      <c r="O66" s="307">
        <v>0</v>
      </c>
      <c r="P66" s="307">
        <v>0</v>
      </c>
      <c r="Q66" s="445">
        <f t="shared" si="3"/>
        <v>0</v>
      </c>
      <c r="R66" s="442"/>
      <c r="S66" s="443"/>
      <c r="T66" s="444">
        <f t="shared" si="4"/>
        <v>0</v>
      </c>
      <c r="U66" s="306">
        <v>0</v>
      </c>
      <c r="V66" s="306">
        <v>0</v>
      </c>
      <c r="W66" s="441">
        <f t="shared" si="5"/>
        <v>0</v>
      </c>
      <c r="X66" s="442"/>
      <c r="Y66" s="443"/>
      <c r="Z66" s="444">
        <f t="shared" si="6"/>
        <v>0</v>
      </c>
      <c r="AA66" s="307">
        <v>0</v>
      </c>
      <c r="AB66" s="307">
        <v>0</v>
      </c>
      <c r="AC66" s="445">
        <f t="shared" si="7"/>
        <v>0</v>
      </c>
      <c r="AD66" s="442"/>
      <c r="AE66" s="443"/>
      <c r="AF66" s="444">
        <f t="shared" si="8"/>
        <v>0</v>
      </c>
      <c r="AG66" s="307">
        <v>0</v>
      </c>
      <c r="AH66" s="307">
        <v>0</v>
      </c>
      <c r="AI66" s="445">
        <f t="shared" si="9"/>
        <v>0</v>
      </c>
      <c r="AJ66" s="446">
        <v>30</v>
      </c>
      <c r="AK66" s="443">
        <v>40518.666666666664</v>
      </c>
      <c r="AL66" s="444">
        <f t="shared" si="10"/>
        <v>1215560</v>
      </c>
      <c r="AM66" s="307">
        <v>31</v>
      </c>
      <c r="AN66" s="307">
        <v>39934.774193548386</v>
      </c>
      <c r="AO66" s="447">
        <f t="shared" si="11"/>
        <v>1237978</v>
      </c>
      <c r="AP66" s="448"/>
      <c r="AQ66" s="443"/>
      <c r="AR66" s="444">
        <f t="shared" si="12"/>
        <v>0</v>
      </c>
      <c r="AS66" s="307">
        <v>0</v>
      </c>
      <c r="AT66" s="307">
        <v>0</v>
      </c>
      <c r="AU66" s="441">
        <f t="shared" si="13"/>
        <v>0</v>
      </c>
      <c r="AV66" s="442"/>
      <c r="AW66" s="443"/>
      <c r="AX66" s="444">
        <f t="shared" si="14"/>
        <v>0</v>
      </c>
      <c r="AY66" s="307">
        <v>0</v>
      </c>
      <c r="AZ66" s="307">
        <v>0</v>
      </c>
      <c r="BA66" s="445">
        <f t="shared" si="15"/>
        <v>0</v>
      </c>
      <c r="BB66" s="442"/>
      <c r="BC66" s="443"/>
      <c r="BD66" s="444">
        <f t="shared" si="16"/>
        <v>0</v>
      </c>
      <c r="BE66" s="307">
        <v>0</v>
      </c>
      <c r="BF66" s="307">
        <v>0</v>
      </c>
      <c r="BG66" s="445">
        <f t="shared" si="17"/>
        <v>0</v>
      </c>
      <c r="BH66" s="442"/>
      <c r="BI66" s="443"/>
      <c r="BJ66" s="444">
        <f t="shared" si="18"/>
        <v>0</v>
      </c>
      <c r="BK66" s="307">
        <v>0</v>
      </c>
      <c r="BL66" s="307">
        <v>0</v>
      </c>
      <c r="BM66" s="445">
        <f t="shared" si="19"/>
        <v>0</v>
      </c>
      <c r="BN66" s="442"/>
      <c r="BO66" s="443"/>
      <c r="BP66" s="444">
        <f t="shared" si="20"/>
        <v>0</v>
      </c>
      <c r="BQ66" s="307">
        <v>0</v>
      </c>
      <c r="BR66" s="307">
        <v>0</v>
      </c>
      <c r="BS66" s="445">
        <f t="shared" si="21"/>
        <v>0</v>
      </c>
      <c r="BT66" s="442">
        <v>3</v>
      </c>
      <c r="BU66" s="443">
        <v>39708</v>
      </c>
      <c r="BV66" s="444">
        <f t="shared" si="22"/>
        <v>97467.256800000003</v>
      </c>
      <c r="BW66" s="307">
        <v>3</v>
      </c>
      <c r="BX66" s="307">
        <v>39708.333333333336</v>
      </c>
      <c r="BY66" s="449">
        <f t="shared" si="23"/>
        <v>97468.075000000012</v>
      </c>
    </row>
    <row r="67" spans="1:77" s="309" customFormat="1" ht="12.75" customHeight="1">
      <c r="A67" s="313" t="s">
        <v>338</v>
      </c>
      <c r="B67" s="314" t="s">
        <v>574</v>
      </c>
      <c r="C67" s="314"/>
      <c r="D67" s="313">
        <v>106883</v>
      </c>
      <c r="E67" s="415">
        <v>10</v>
      </c>
      <c r="F67" s="453"/>
      <c r="G67" s="454"/>
      <c r="H67" s="439">
        <f t="shared" si="0"/>
        <v>0</v>
      </c>
      <c r="I67" s="311">
        <v>0</v>
      </c>
      <c r="J67" s="311">
        <v>0</v>
      </c>
      <c r="K67" s="441">
        <f t="shared" si="1"/>
        <v>0</v>
      </c>
      <c r="L67" s="442"/>
      <c r="M67" s="443"/>
      <c r="N67" s="444">
        <f t="shared" si="2"/>
        <v>0</v>
      </c>
      <c r="O67" s="307">
        <v>0</v>
      </c>
      <c r="P67" s="307">
        <v>0</v>
      </c>
      <c r="Q67" s="445">
        <f t="shared" si="3"/>
        <v>0</v>
      </c>
      <c r="R67" s="442"/>
      <c r="S67" s="443"/>
      <c r="T67" s="444">
        <f t="shared" si="4"/>
        <v>0</v>
      </c>
      <c r="U67" s="306">
        <v>0</v>
      </c>
      <c r="V67" s="306">
        <v>0</v>
      </c>
      <c r="W67" s="441">
        <f t="shared" si="5"/>
        <v>0</v>
      </c>
      <c r="X67" s="442"/>
      <c r="Y67" s="443"/>
      <c r="Z67" s="444">
        <f t="shared" si="6"/>
        <v>0</v>
      </c>
      <c r="AA67" s="307">
        <v>0</v>
      </c>
      <c r="AB67" s="307">
        <v>0</v>
      </c>
      <c r="AC67" s="445">
        <f t="shared" si="7"/>
        <v>0</v>
      </c>
      <c r="AD67" s="442"/>
      <c r="AE67" s="443"/>
      <c r="AF67" s="444">
        <f t="shared" si="8"/>
        <v>0</v>
      </c>
      <c r="AG67" s="307">
        <v>0</v>
      </c>
      <c r="AH67" s="307">
        <v>0</v>
      </c>
      <c r="AI67" s="445">
        <f t="shared" si="9"/>
        <v>0</v>
      </c>
      <c r="AJ67" s="446">
        <v>29</v>
      </c>
      <c r="AK67" s="443">
        <v>47739</v>
      </c>
      <c r="AL67" s="444">
        <f t="shared" si="10"/>
        <v>1384431</v>
      </c>
      <c r="AM67" s="307">
        <v>28</v>
      </c>
      <c r="AN67" s="307">
        <v>46553.5</v>
      </c>
      <c r="AO67" s="447">
        <f t="shared" si="11"/>
        <v>1303498</v>
      </c>
      <c r="AP67" s="448"/>
      <c r="AQ67" s="443"/>
      <c r="AR67" s="444">
        <f t="shared" si="12"/>
        <v>0</v>
      </c>
      <c r="AS67" s="307">
        <v>0</v>
      </c>
      <c r="AT67" s="307">
        <v>0</v>
      </c>
      <c r="AU67" s="441">
        <f t="shared" si="13"/>
        <v>0</v>
      </c>
      <c r="AV67" s="442"/>
      <c r="AW67" s="443"/>
      <c r="AX67" s="444">
        <f t="shared" si="14"/>
        <v>0</v>
      </c>
      <c r="AY67" s="307">
        <v>0</v>
      </c>
      <c r="AZ67" s="307">
        <v>0</v>
      </c>
      <c r="BA67" s="445">
        <f t="shared" si="15"/>
        <v>0</v>
      </c>
      <c r="BB67" s="442"/>
      <c r="BC67" s="443"/>
      <c r="BD67" s="444">
        <f t="shared" si="16"/>
        <v>0</v>
      </c>
      <c r="BE67" s="307">
        <v>0</v>
      </c>
      <c r="BF67" s="307">
        <v>0</v>
      </c>
      <c r="BG67" s="445">
        <f t="shared" si="17"/>
        <v>0</v>
      </c>
      <c r="BH67" s="442"/>
      <c r="BI67" s="443"/>
      <c r="BJ67" s="444">
        <f t="shared" si="18"/>
        <v>0</v>
      </c>
      <c r="BK67" s="307">
        <v>0</v>
      </c>
      <c r="BL67" s="307">
        <v>0</v>
      </c>
      <c r="BM67" s="445">
        <f t="shared" si="19"/>
        <v>0</v>
      </c>
      <c r="BN67" s="442"/>
      <c r="BO67" s="443"/>
      <c r="BP67" s="444">
        <f t="shared" si="20"/>
        <v>0</v>
      </c>
      <c r="BQ67" s="307">
        <v>0</v>
      </c>
      <c r="BR67" s="307">
        <v>0</v>
      </c>
      <c r="BS67" s="445">
        <f t="shared" si="21"/>
        <v>0</v>
      </c>
      <c r="BT67" s="442">
        <v>8</v>
      </c>
      <c r="BU67" s="443">
        <v>48159</v>
      </c>
      <c r="BV67" s="444">
        <f t="shared" si="22"/>
        <v>315229.55040000001</v>
      </c>
      <c r="BW67" s="307">
        <v>6</v>
      </c>
      <c r="BX67" s="307">
        <v>50731.833333333336</v>
      </c>
      <c r="BY67" s="449">
        <f t="shared" si="23"/>
        <v>249052.71620000002</v>
      </c>
    </row>
    <row r="68" spans="1:77" s="309" customFormat="1" ht="12.75" customHeight="1">
      <c r="A68" s="313" t="s">
        <v>338</v>
      </c>
      <c r="B68" s="314" t="s">
        <v>575</v>
      </c>
      <c r="C68" s="314"/>
      <c r="D68" s="313">
        <v>107318</v>
      </c>
      <c r="E68" s="415">
        <v>10</v>
      </c>
      <c r="F68" s="453"/>
      <c r="G68" s="454"/>
      <c r="H68" s="439">
        <f t="shared" si="0"/>
        <v>0</v>
      </c>
      <c r="I68" s="311">
        <v>0</v>
      </c>
      <c r="J68" s="311">
        <v>0</v>
      </c>
      <c r="K68" s="441">
        <f t="shared" si="1"/>
        <v>0</v>
      </c>
      <c r="L68" s="442"/>
      <c r="M68" s="443"/>
      <c r="N68" s="444">
        <f t="shared" si="2"/>
        <v>0</v>
      </c>
      <c r="O68" s="307">
        <v>0</v>
      </c>
      <c r="P68" s="307">
        <v>0</v>
      </c>
      <c r="Q68" s="445">
        <f t="shared" si="3"/>
        <v>0</v>
      </c>
      <c r="R68" s="442"/>
      <c r="S68" s="443"/>
      <c r="T68" s="444">
        <f t="shared" si="4"/>
        <v>0</v>
      </c>
      <c r="U68" s="306">
        <v>0</v>
      </c>
      <c r="V68" s="306">
        <v>0</v>
      </c>
      <c r="W68" s="441">
        <f t="shared" si="5"/>
        <v>0</v>
      </c>
      <c r="X68" s="442"/>
      <c r="Y68" s="443"/>
      <c r="Z68" s="444">
        <f t="shared" si="6"/>
        <v>0</v>
      </c>
      <c r="AA68" s="307">
        <v>0</v>
      </c>
      <c r="AB68" s="307">
        <v>0</v>
      </c>
      <c r="AC68" s="445">
        <f t="shared" si="7"/>
        <v>0</v>
      </c>
      <c r="AD68" s="442"/>
      <c r="AE68" s="443"/>
      <c r="AF68" s="444">
        <f t="shared" si="8"/>
        <v>0</v>
      </c>
      <c r="AG68" s="307">
        <v>0</v>
      </c>
      <c r="AH68" s="307">
        <v>0</v>
      </c>
      <c r="AI68" s="445">
        <f t="shared" si="9"/>
        <v>0</v>
      </c>
      <c r="AJ68" s="446">
        <v>23</v>
      </c>
      <c r="AK68" s="443">
        <v>41143</v>
      </c>
      <c r="AL68" s="444">
        <f t="shared" si="10"/>
        <v>946289</v>
      </c>
      <c r="AM68" s="307">
        <v>28</v>
      </c>
      <c r="AN68" s="307">
        <v>41124.25</v>
      </c>
      <c r="AO68" s="447">
        <f t="shared" si="11"/>
        <v>1151479</v>
      </c>
      <c r="AP68" s="448"/>
      <c r="AQ68" s="443"/>
      <c r="AR68" s="444">
        <f t="shared" si="12"/>
        <v>0</v>
      </c>
      <c r="AS68" s="307">
        <v>0</v>
      </c>
      <c r="AT68" s="307">
        <v>0</v>
      </c>
      <c r="AU68" s="441">
        <f t="shared" si="13"/>
        <v>0</v>
      </c>
      <c r="AV68" s="442"/>
      <c r="AW68" s="443"/>
      <c r="AX68" s="444">
        <f t="shared" si="14"/>
        <v>0</v>
      </c>
      <c r="AY68" s="307">
        <v>0</v>
      </c>
      <c r="AZ68" s="307">
        <v>0</v>
      </c>
      <c r="BA68" s="445">
        <f t="shared" si="15"/>
        <v>0</v>
      </c>
      <c r="BB68" s="442"/>
      <c r="BC68" s="443"/>
      <c r="BD68" s="444">
        <f t="shared" si="16"/>
        <v>0</v>
      </c>
      <c r="BE68" s="307">
        <v>0</v>
      </c>
      <c r="BF68" s="307">
        <v>0</v>
      </c>
      <c r="BG68" s="445">
        <f t="shared" si="17"/>
        <v>0</v>
      </c>
      <c r="BH68" s="442"/>
      <c r="BI68" s="443"/>
      <c r="BJ68" s="444">
        <f t="shared" si="18"/>
        <v>0</v>
      </c>
      <c r="BK68" s="307">
        <v>0</v>
      </c>
      <c r="BL68" s="307">
        <v>0</v>
      </c>
      <c r="BM68" s="445">
        <f t="shared" si="19"/>
        <v>0</v>
      </c>
      <c r="BN68" s="442"/>
      <c r="BO68" s="443"/>
      <c r="BP68" s="444">
        <f t="shared" si="20"/>
        <v>0</v>
      </c>
      <c r="BQ68" s="307">
        <v>0</v>
      </c>
      <c r="BR68" s="307">
        <v>0</v>
      </c>
      <c r="BS68" s="445">
        <f t="shared" si="21"/>
        <v>0</v>
      </c>
      <c r="BT68" s="442">
        <v>8</v>
      </c>
      <c r="BU68" s="443">
        <v>51813</v>
      </c>
      <c r="BV68" s="444">
        <f t="shared" si="22"/>
        <v>339147.1728</v>
      </c>
      <c r="BW68" s="307">
        <v>12</v>
      </c>
      <c r="BX68" s="307">
        <v>56038.333333333336</v>
      </c>
      <c r="BY68" s="449">
        <f t="shared" si="23"/>
        <v>550206.772</v>
      </c>
    </row>
    <row r="69" spans="1:77" s="309" customFormat="1" ht="12.75" customHeight="1">
      <c r="A69" s="313" t="s">
        <v>338</v>
      </c>
      <c r="B69" s="314" t="s">
        <v>577</v>
      </c>
      <c r="C69" s="314"/>
      <c r="D69" s="313">
        <v>107460</v>
      </c>
      <c r="E69" s="415">
        <v>10</v>
      </c>
      <c r="F69" s="453"/>
      <c r="G69" s="454"/>
      <c r="H69" s="439">
        <f t="shared" si="0"/>
        <v>0</v>
      </c>
      <c r="I69" s="311">
        <v>0</v>
      </c>
      <c r="J69" s="311">
        <v>0</v>
      </c>
      <c r="K69" s="441">
        <f t="shared" si="1"/>
        <v>0</v>
      </c>
      <c r="L69" s="442"/>
      <c r="M69" s="443"/>
      <c r="N69" s="444">
        <f t="shared" si="2"/>
        <v>0</v>
      </c>
      <c r="O69" s="307">
        <v>0</v>
      </c>
      <c r="P69" s="307">
        <v>0</v>
      </c>
      <c r="Q69" s="445">
        <f t="shared" si="3"/>
        <v>0</v>
      </c>
      <c r="R69" s="442"/>
      <c r="S69" s="443"/>
      <c r="T69" s="444">
        <f t="shared" si="4"/>
        <v>0</v>
      </c>
      <c r="U69" s="306">
        <v>0</v>
      </c>
      <c r="V69" s="306">
        <v>0</v>
      </c>
      <c r="W69" s="441">
        <f t="shared" si="5"/>
        <v>0</v>
      </c>
      <c r="X69" s="442"/>
      <c r="Y69" s="443"/>
      <c r="Z69" s="444">
        <f t="shared" si="6"/>
        <v>0</v>
      </c>
      <c r="AA69" s="307">
        <v>0</v>
      </c>
      <c r="AB69" s="307">
        <v>0</v>
      </c>
      <c r="AC69" s="445">
        <f t="shared" si="7"/>
        <v>0</v>
      </c>
      <c r="AD69" s="442"/>
      <c r="AE69" s="443"/>
      <c r="AF69" s="444">
        <f t="shared" si="8"/>
        <v>0</v>
      </c>
      <c r="AG69" s="307">
        <v>0</v>
      </c>
      <c r="AH69" s="307">
        <v>0</v>
      </c>
      <c r="AI69" s="445">
        <f t="shared" si="9"/>
        <v>0</v>
      </c>
      <c r="AJ69" s="446">
        <v>57</v>
      </c>
      <c r="AK69" s="443">
        <v>48230.526315789473</v>
      </c>
      <c r="AL69" s="444">
        <f t="shared" si="10"/>
        <v>2749140</v>
      </c>
      <c r="AM69" s="307">
        <v>56</v>
      </c>
      <c r="AN69" s="307">
        <v>46755.571428571428</v>
      </c>
      <c r="AO69" s="447">
        <f t="shared" si="11"/>
        <v>2618312</v>
      </c>
      <c r="AP69" s="448"/>
      <c r="AQ69" s="443"/>
      <c r="AR69" s="444">
        <f t="shared" si="12"/>
        <v>0</v>
      </c>
      <c r="AS69" s="307">
        <v>0</v>
      </c>
      <c r="AT69" s="307">
        <v>0</v>
      </c>
      <c r="AU69" s="441">
        <f t="shared" si="13"/>
        <v>0</v>
      </c>
      <c r="AV69" s="442"/>
      <c r="AW69" s="443"/>
      <c r="AX69" s="444">
        <f t="shared" si="14"/>
        <v>0</v>
      </c>
      <c r="AY69" s="307">
        <v>0</v>
      </c>
      <c r="AZ69" s="307">
        <v>0</v>
      </c>
      <c r="BA69" s="445">
        <f t="shared" si="15"/>
        <v>0</v>
      </c>
      <c r="BB69" s="442"/>
      <c r="BC69" s="443"/>
      <c r="BD69" s="444">
        <f t="shared" si="16"/>
        <v>0</v>
      </c>
      <c r="BE69" s="307">
        <v>0</v>
      </c>
      <c r="BF69" s="307">
        <v>0</v>
      </c>
      <c r="BG69" s="445">
        <f t="shared" si="17"/>
        <v>0</v>
      </c>
      <c r="BH69" s="442"/>
      <c r="BI69" s="443"/>
      <c r="BJ69" s="444">
        <f t="shared" si="18"/>
        <v>0</v>
      </c>
      <c r="BK69" s="307">
        <v>0</v>
      </c>
      <c r="BL69" s="307">
        <v>0</v>
      </c>
      <c r="BM69" s="445">
        <f t="shared" si="19"/>
        <v>0</v>
      </c>
      <c r="BN69" s="442"/>
      <c r="BO69" s="443"/>
      <c r="BP69" s="444">
        <f t="shared" si="20"/>
        <v>0</v>
      </c>
      <c r="BQ69" s="307">
        <v>0</v>
      </c>
      <c r="BR69" s="307">
        <v>0</v>
      </c>
      <c r="BS69" s="445">
        <f t="shared" si="21"/>
        <v>0</v>
      </c>
      <c r="BT69" s="442">
        <v>9</v>
      </c>
      <c r="BU69" s="443">
        <v>55377.777777777781</v>
      </c>
      <c r="BV69" s="444">
        <f t="shared" si="22"/>
        <v>407790.88</v>
      </c>
      <c r="BW69" s="307">
        <v>9</v>
      </c>
      <c r="BX69" s="307">
        <v>56043.111111111109</v>
      </c>
      <c r="BY69" s="449">
        <f t="shared" si="23"/>
        <v>412690.26160000003</v>
      </c>
    </row>
    <row r="70" spans="1:77" s="309" customFormat="1" ht="12.75" customHeight="1">
      <c r="A70" s="313" t="s">
        <v>338</v>
      </c>
      <c r="B70" s="314" t="s">
        <v>578</v>
      </c>
      <c r="C70" s="314"/>
      <c r="D70" s="313">
        <v>107521</v>
      </c>
      <c r="E70" s="415">
        <v>10</v>
      </c>
      <c r="F70" s="453"/>
      <c r="G70" s="454"/>
      <c r="H70" s="439">
        <f t="shared" si="0"/>
        <v>0</v>
      </c>
      <c r="I70" s="311">
        <v>0</v>
      </c>
      <c r="J70" s="311">
        <v>0</v>
      </c>
      <c r="K70" s="441">
        <f t="shared" si="1"/>
        <v>0</v>
      </c>
      <c r="L70" s="442"/>
      <c r="M70" s="443"/>
      <c r="N70" s="444">
        <f t="shared" si="2"/>
        <v>0</v>
      </c>
      <c r="O70" s="307">
        <v>0</v>
      </c>
      <c r="P70" s="307">
        <v>0</v>
      </c>
      <c r="Q70" s="445">
        <f t="shared" si="3"/>
        <v>0</v>
      </c>
      <c r="R70" s="442"/>
      <c r="S70" s="443"/>
      <c r="T70" s="444">
        <f t="shared" si="4"/>
        <v>0</v>
      </c>
      <c r="U70" s="306">
        <v>0</v>
      </c>
      <c r="V70" s="306">
        <v>0</v>
      </c>
      <c r="W70" s="441">
        <f t="shared" si="5"/>
        <v>0</v>
      </c>
      <c r="X70" s="442"/>
      <c r="Y70" s="443"/>
      <c r="Z70" s="444">
        <f t="shared" si="6"/>
        <v>0</v>
      </c>
      <c r="AA70" s="307">
        <v>0</v>
      </c>
      <c r="AB70" s="307">
        <v>0</v>
      </c>
      <c r="AC70" s="445">
        <f t="shared" si="7"/>
        <v>0</v>
      </c>
      <c r="AD70" s="442"/>
      <c r="AE70" s="443"/>
      <c r="AF70" s="444">
        <f t="shared" si="8"/>
        <v>0</v>
      </c>
      <c r="AG70" s="307">
        <v>0</v>
      </c>
      <c r="AH70" s="307">
        <v>0</v>
      </c>
      <c r="AI70" s="445">
        <f t="shared" si="9"/>
        <v>0</v>
      </c>
      <c r="AJ70" s="446">
        <v>32</v>
      </c>
      <c r="AK70" s="443">
        <v>41905.625</v>
      </c>
      <c r="AL70" s="444">
        <f t="shared" si="10"/>
        <v>1340980</v>
      </c>
      <c r="AM70" s="307">
        <v>32</v>
      </c>
      <c r="AN70" s="307">
        <v>43168.21875</v>
      </c>
      <c r="AO70" s="447">
        <f t="shared" si="11"/>
        <v>1381383</v>
      </c>
      <c r="AP70" s="448"/>
      <c r="AQ70" s="443"/>
      <c r="AR70" s="444">
        <f t="shared" si="12"/>
        <v>0</v>
      </c>
      <c r="AS70" s="307">
        <v>0</v>
      </c>
      <c r="AT70" s="307">
        <v>0</v>
      </c>
      <c r="AU70" s="441">
        <f t="shared" si="13"/>
        <v>0</v>
      </c>
      <c r="AV70" s="442"/>
      <c r="AW70" s="443"/>
      <c r="AX70" s="444">
        <f t="shared" si="14"/>
        <v>0</v>
      </c>
      <c r="AY70" s="307">
        <v>0</v>
      </c>
      <c r="AZ70" s="307">
        <v>0</v>
      </c>
      <c r="BA70" s="445">
        <f t="shared" si="15"/>
        <v>0</v>
      </c>
      <c r="BB70" s="442"/>
      <c r="BC70" s="443"/>
      <c r="BD70" s="444">
        <f t="shared" si="16"/>
        <v>0</v>
      </c>
      <c r="BE70" s="307">
        <v>0</v>
      </c>
      <c r="BF70" s="307">
        <v>0</v>
      </c>
      <c r="BG70" s="445">
        <f t="shared" si="17"/>
        <v>0</v>
      </c>
      <c r="BH70" s="442"/>
      <c r="BI70" s="443"/>
      <c r="BJ70" s="444">
        <f t="shared" si="18"/>
        <v>0</v>
      </c>
      <c r="BK70" s="307">
        <v>0</v>
      </c>
      <c r="BL70" s="307">
        <v>0</v>
      </c>
      <c r="BM70" s="445">
        <f t="shared" si="19"/>
        <v>0</v>
      </c>
      <c r="BN70" s="442"/>
      <c r="BO70" s="443"/>
      <c r="BP70" s="444">
        <f t="shared" si="20"/>
        <v>0</v>
      </c>
      <c r="BQ70" s="307">
        <v>0</v>
      </c>
      <c r="BR70" s="307">
        <v>0</v>
      </c>
      <c r="BS70" s="445">
        <f t="shared" si="21"/>
        <v>0</v>
      </c>
      <c r="BT70" s="442">
        <v>7</v>
      </c>
      <c r="BU70" s="443">
        <v>41613</v>
      </c>
      <c r="BV70" s="444">
        <f t="shared" si="22"/>
        <v>238334.29620000001</v>
      </c>
      <c r="BW70" s="307">
        <v>8</v>
      </c>
      <c r="BX70" s="307">
        <v>41268.875</v>
      </c>
      <c r="BY70" s="449">
        <f t="shared" si="23"/>
        <v>270129.54820000002</v>
      </c>
    </row>
    <row r="71" spans="1:77" s="309" customFormat="1" ht="12.75" customHeight="1">
      <c r="A71" s="313" t="s">
        <v>338</v>
      </c>
      <c r="B71" s="314" t="s">
        <v>579</v>
      </c>
      <c r="C71" s="314"/>
      <c r="D71" s="313">
        <v>107549</v>
      </c>
      <c r="E71" s="415">
        <v>10</v>
      </c>
      <c r="F71" s="453"/>
      <c r="G71" s="454"/>
      <c r="H71" s="439">
        <f t="shared" si="0"/>
        <v>0</v>
      </c>
      <c r="I71" s="311">
        <v>0</v>
      </c>
      <c r="J71" s="311">
        <v>0</v>
      </c>
      <c r="K71" s="441">
        <f t="shared" si="1"/>
        <v>0</v>
      </c>
      <c r="L71" s="442"/>
      <c r="M71" s="443"/>
      <c r="N71" s="444">
        <f t="shared" si="2"/>
        <v>0</v>
      </c>
      <c r="O71" s="307">
        <v>0</v>
      </c>
      <c r="P71" s="307">
        <v>0</v>
      </c>
      <c r="Q71" s="445">
        <f t="shared" si="3"/>
        <v>0</v>
      </c>
      <c r="R71" s="442"/>
      <c r="S71" s="443"/>
      <c r="T71" s="444">
        <f t="shared" si="4"/>
        <v>0</v>
      </c>
      <c r="U71" s="306">
        <v>0</v>
      </c>
      <c r="V71" s="306">
        <v>0</v>
      </c>
      <c r="W71" s="441">
        <f t="shared" si="5"/>
        <v>0</v>
      </c>
      <c r="X71" s="442"/>
      <c r="Y71" s="443"/>
      <c r="Z71" s="444">
        <f t="shared" si="6"/>
        <v>0</v>
      </c>
      <c r="AA71" s="307">
        <v>0</v>
      </c>
      <c r="AB71" s="307">
        <v>0</v>
      </c>
      <c r="AC71" s="445">
        <f t="shared" si="7"/>
        <v>0</v>
      </c>
      <c r="AD71" s="442"/>
      <c r="AE71" s="443"/>
      <c r="AF71" s="444">
        <f t="shared" si="8"/>
        <v>0</v>
      </c>
      <c r="AG71" s="307">
        <v>0</v>
      </c>
      <c r="AH71" s="307">
        <v>0</v>
      </c>
      <c r="AI71" s="445">
        <f t="shared" si="9"/>
        <v>0</v>
      </c>
      <c r="AJ71" s="446">
        <v>27</v>
      </c>
      <c r="AK71" s="443">
        <v>39860.888888888891</v>
      </c>
      <c r="AL71" s="444">
        <f t="shared" si="10"/>
        <v>1076244</v>
      </c>
      <c r="AM71" s="307">
        <v>28</v>
      </c>
      <c r="AN71" s="307">
        <v>39972.892857142855</v>
      </c>
      <c r="AO71" s="447">
        <f t="shared" si="11"/>
        <v>1119241</v>
      </c>
      <c r="AP71" s="448"/>
      <c r="AQ71" s="443"/>
      <c r="AR71" s="444">
        <f t="shared" si="12"/>
        <v>0</v>
      </c>
      <c r="AS71" s="307">
        <v>0</v>
      </c>
      <c r="AT71" s="307">
        <v>0</v>
      </c>
      <c r="AU71" s="441">
        <f t="shared" si="13"/>
        <v>0</v>
      </c>
      <c r="AV71" s="442"/>
      <c r="AW71" s="443"/>
      <c r="AX71" s="444">
        <f t="shared" si="14"/>
        <v>0</v>
      </c>
      <c r="AY71" s="307">
        <v>0</v>
      </c>
      <c r="AZ71" s="307">
        <v>0</v>
      </c>
      <c r="BA71" s="445">
        <f t="shared" si="15"/>
        <v>0</v>
      </c>
      <c r="BB71" s="442"/>
      <c r="BC71" s="443"/>
      <c r="BD71" s="444">
        <f t="shared" si="16"/>
        <v>0</v>
      </c>
      <c r="BE71" s="307">
        <v>0</v>
      </c>
      <c r="BF71" s="307">
        <v>0</v>
      </c>
      <c r="BG71" s="445">
        <f t="shared" si="17"/>
        <v>0</v>
      </c>
      <c r="BH71" s="442"/>
      <c r="BI71" s="443"/>
      <c r="BJ71" s="444">
        <f t="shared" si="18"/>
        <v>0</v>
      </c>
      <c r="BK71" s="307">
        <v>0</v>
      </c>
      <c r="BL71" s="307">
        <v>0</v>
      </c>
      <c r="BM71" s="445">
        <f t="shared" si="19"/>
        <v>0</v>
      </c>
      <c r="BN71" s="442"/>
      <c r="BO71" s="443"/>
      <c r="BP71" s="444">
        <f t="shared" si="20"/>
        <v>0</v>
      </c>
      <c r="BQ71" s="307">
        <v>0</v>
      </c>
      <c r="BR71" s="307">
        <v>0</v>
      </c>
      <c r="BS71" s="445">
        <f t="shared" si="21"/>
        <v>0</v>
      </c>
      <c r="BT71" s="442">
        <v>6</v>
      </c>
      <c r="BU71" s="443">
        <v>48734.166666666664</v>
      </c>
      <c r="BV71" s="444">
        <f t="shared" si="22"/>
        <v>239245.77100000001</v>
      </c>
      <c r="BW71" s="307">
        <v>7</v>
      </c>
      <c r="BX71" s="307">
        <v>48835.428571428572</v>
      </c>
      <c r="BY71" s="449">
        <f t="shared" si="23"/>
        <v>279700.03360000002</v>
      </c>
    </row>
    <row r="72" spans="1:77" s="309" customFormat="1" ht="12.75" customHeight="1">
      <c r="A72" s="313" t="s">
        <v>338</v>
      </c>
      <c r="B72" s="314" t="s">
        <v>580</v>
      </c>
      <c r="C72" s="314"/>
      <c r="D72" s="313">
        <v>107619</v>
      </c>
      <c r="E72" s="415">
        <v>10</v>
      </c>
      <c r="F72" s="453"/>
      <c r="G72" s="454"/>
      <c r="H72" s="439">
        <f t="shared" si="0"/>
        <v>0</v>
      </c>
      <c r="I72" s="311">
        <v>0</v>
      </c>
      <c r="J72" s="311">
        <v>0</v>
      </c>
      <c r="K72" s="441">
        <f t="shared" si="1"/>
        <v>0</v>
      </c>
      <c r="L72" s="442"/>
      <c r="M72" s="443"/>
      <c r="N72" s="444">
        <f t="shared" si="2"/>
        <v>0</v>
      </c>
      <c r="O72" s="307">
        <v>0</v>
      </c>
      <c r="P72" s="307">
        <v>0</v>
      </c>
      <c r="Q72" s="445">
        <f t="shared" si="3"/>
        <v>0</v>
      </c>
      <c r="R72" s="442"/>
      <c r="S72" s="443"/>
      <c r="T72" s="444">
        <f t="shared" si="4"/>
        <v>0</v>
      </c>
      <c r="U72" s="306">
        <v>0</v>
      </c>
      <c r="V72" s="306">
        <v>0</v>
      </c>
      <c r="W72" s="441">
        <f t="shared" si="5"/>
        <v>0</v>
      </c>
      <c r="X72" s="442"/>
      <c r="Y72" s="443"/>
      <c r="Z72" s="444">
        <f t="shared" si="6"/>
        <v>0</v>
      </c>
      <c r="AA72" s="307">
        <v>0</v>
      </c>
      <c r="AB72" s="307">
        <v>0</v>
      </c>
      <c r="AC72" s="445">
        <f t="shared" si="7"/>
        <v>0</v>
      </c>
      <c r="AD72" s="442"/>
      <c r="AE72" s="443"/>
      <c r="AF72" s="444">
        <f t="shared" si="8"/>
        <v>0</v>
      </c>
      <c r="AG72" s="307">
        <v>0</v>
      </c>
      <c r="AH72" s="307">
        <v>0</v>
      </c>
      <c r="AI72" s="445">
        <f t="shared" si="9"/>
        <v>0</v>
      </c>
      <c r="AJ72" s="446">
        <v>66</v>
      </c>
      <c r="AK72" s="443">
        <v>38149.030303030304</v>
      </c>
      <c r="AL72" s="444">
        <f t="shared" si="10"/>
        <v>2517836</v>
      </c>
      <c r="AM72" s="307">
        <v>66</v>
      </c>
      <c r="AN72" s="307">
        <v>38803.07575757576</v>
      </c>
      <c r="AO72" s="447">
        <f t="shared" si="11"/>
        <v>2561003</v>
      </c>
      <c r="AP72" s="448"/>
      <c r="AQ72" s="443"/>
      <c r="AR72" s="444">
        <f t="shared" si="12"/>
        <v>0</v>
      </c>
      <c r="AS72" s="307">
        <v>0</v>
      </c>
      <c r="AT72" s="307">
        <v>0</v>
      </c>
      <c r="AU72" s="441">
        <f t="shared" si="13"/>
        <v>0</v>
      </c>
      <c r="AV72" s="442"/>
      <c r="AW72" s="443"/>
      <c r="AX72" s="444">
        <f t="shared" si="14"/>
        <v>0</v>
      </c>
      <c r="AY72" s="307">
        <v>0</v>
      </c>
      <c r="AZ72" s="307">
        <v>0</v>
      </c>
      <c r="BA72" s="445">
        <f t="shared" si="15"/>
        <v>0</v>
      </c>
      <c r="BB72" s="442"/>
      <c r="BC72" s="443"/>
      <c r="BD72" s="444">
        <f t="shared" si="16"/>
        <v>0</v>
      </c>
      <c r="BE72" s="307">
        <v>0</v>
      </c>
      <c r="BF72" s="307">
        <v>0</v>
      </c>
      <c r="BG72" s="445">
        <f t="shared" si="17"/>
        <v>0</v>
      </c>
      <c r="BH72" s="442"/>
      <c r="BI72" s="443"/>
      <c r="BJ72" s="444">
        <f t="shared" si="18"/>
        <v>0</v>
      </c>
      <c r="BK72" s="307">
        <v>0</v>
      </c>
      <c r="BL72" s="307">
        <v>0</v>
      </c>
      <c r="BM72" s="445">
        <f t="shared" si="19"/>
        <v>0</v>
      </c>
      <c r="BN72" s="442"/>
      <c r="BO72" s="443"/>
      <c r="BP72" s="444">
        <f t="shared" si="20"/>
        <v>0</v>
      </c>
      <c r="BQ72" s="307">
        <v>0</v>
      </c>
      <c r="BR72" s="307">
        <v>0</v>
      </c>
      <c r="BS72" s="445">
        <f t="shared" si="21"/>
        <v>0</v>
      </c>
      <c r="BT72" s="442">
        <v>13</v>
      </c>
      <c r="BU72" s="443">
        <v>46474.846153846156</v>
      </c>
      <c r="BV72" s="444">
        <f t="shared" si="22"/>
        <v>494334.34860000003</v>
      </c>
      <c r="BW72" s="307">
        <v>13</v>
      </c>
      <c r="BX72" s="307">
        <v>46360.846153846156</v>
      </c>
      <c r="BY72" s="449">
        <f t="shared" si="23"/>
        <v>493121.77620000002</v>
      </c>
    </row>
    <row r="73" spans="1:77" s="309" customFormat="1" ht="12.75" customHeight="1">
      <c r="A73" s="313" t="s">
        <v>338</v>
      </c>
      <c r="B73" s="314" t="s">
        <v>581</v>
      </c>
      <c r="C73" s="314"/>
      <c r="D73" s="313">
        <v>107743</v>
      </c>
      <c r="E73" s="415">
        <v>10</v>
      </c>
      <c r="F73" s="453"/>
      <c r="G73" s="454"/>
      <c r="H73" s="439">
        <f t="shared" ref="H73:H136" si="24">F73*G73</f>
        <v>0</v>
      </c>
      <c r="I73" s="311">
        <v>0</v>
      </c>
      <c r="J73" s="311">
        <v>0</v>
      </c>
      <c r="K73" s="441">
        <f t="shared" ref="K73:K136" si="25">I73*J73</f>
        <v>0</v>
      </c>
      <c r="L73" s="442"/>
      <c r="M73" s="443"/>
      <c r="N73" s="444">
        <f t="shared" ref="N73:N136" si="26">L73*M73</f>
        <v>0</v>
      </c>
      <c r="O73" s="307">
        <v>0</v>
      </c>
      <c r="P73" s="307">
        <v>0</v>
      </c>
      <c r="Q73" s="445">
        <f t="shared" ref="Q73:Q136" si="27">O73*P73</f>
        <v>0</v>
      </c>
      <c r="R73" s="442"/>
      <c r="S73" s="443"/>
      <c r="T73" s="444">
        <f t="shared" ref="T73:T136" si="28">R73*S73</f>
        <v>0</v>
      </c>
      <c r="U73" s="306">
        <v>0</v>
      </c>
      <c r="V73" s="306">
        <v>0</v>
      </c>
      <c r="W73" s="441">
        <f t="shared" ref="W73:W136" si="29">U73*V73</f>
        <v>0</v>
      </c>
      <c r="X73" s="442"/>
      <c r="Y73" s="443"/>
      <c r="Z73" s="444">
        <f t="shared" ref="Z73:Z136" si="30">X73*Y73</f>
        <v>0</v>
      </c>
      <c r="AA73" s="307">
        <v>0</v>
      </c>
      <c r="AB73" s="307">
        <v>0</v>
      </c>
      <c r="AC73" s="445">
        <f t="shared" ref="AC73:AC136" si="31">AA73*AB73</f>
        <v>0</v>
      </c>
      <c r="AD73" s="442"/>
      <c r="AE73" s="443"/>
      <c r="AF73" s="444">
        <f t="shared" ref="AF73:AF136" si="32">AD73*AE73</f>
        <v>0</v>
      </c>
      <c r="AG73" s="307">
        <v>0</v>
      </c>
      <c r="AH73" s="307">
        <v>0</v>
      </c>
      <c r="AI73" s="445">
        <f t="shared" ref="AI73:AI136" si="33">AG73*AH73</f>
        <v>0</v>
      </c>
      <c r="AJ73" s="446">
        <v>18</v>
      </c>
      <c r="AK73" s="443">
        <v>48360.833333333336</v>
      </c>
      <c r="AL73" s="444">
        <f t="shared" ref="AL73:AL136" si="34">AJ73*AK73</f>
        <v>870495</v>
      </c>
      <c r="AM73" s="307">
        <v>19</v>
      </c>
      <c r="AN73" s="307">
        <v>47491.210526315786</v>
      </c>
      <c r="AO73" s="447">
        <f t="shared" ref="AO73:AO136" si="35">AM73*AN73</f>
        <v>902333</v>
      </c>
      <c r="AP73" s="448"/>
      <c r="AQ73" s="443"/>
      <c r="AR73" s="444">
        <f t="shared" ref="AR73:AR136" si="36">(AP73*AQ73)*0.8182</f>
        <v>0</v>
      </c>
      <c r="AS73" s="307">
        <v>0</v>
      </c>
      <c r="AT73" s="307">
        <v>0</v>
      </c>
      <c r="AU73" s="441">
        <f t="shared" ref="AU73:AU136" si="37">(AS73*AT73)*0.8182</f>
        <v>0</v>
      </c>
      <c r="AV73" s="442"/>
      <c r="AW73" s="443"/>
      <c r="AX73" s="444">
        <f t="shared" ref="AX73:AX136" si="38">(AV73*AW73)*0.8182</f>
        <v>0</v>
      </c>
      <c r="AY73" s="307">
        <v>0</v>
      </c>
      <c r="AZ73" s="307">
        <v>0</v>
      </c>
      <c r="BA73" s="445">
        <f t="shared" ref="BA73:BA136" si="39">(AY73*AZ73)*0.8182</f>
        <v>0</v>
      </c>
      <c r="BB73" s="442"/>
      <c r="BC73" s="443"/>
      <c r="BD73" s="444">
        <f t="shared" ref="BD73:BD136" si="40">(BB73*BC73)*0.8182</f>
        <v>0</v>
      </c>
      <c r="BE73" s="307">
        <v>0</v>
      </c>
      <c r="BF73" s="307">
        <v>0</v>
      </c>
      <c r="BG73" s="445">
        <f t="shared" ref="BG73:BG136" si="41">(BE73*BF73)*0.8182</f>
        <v>0</v>
      </c>
      <c r="BH73" s="442"/>
      <c r="BI73" s="443"/>
      <c r="BJ73" s="444">
        <f t="shared" ref="BJ73:BJ136" si="42">(BH73*BI73)*0.8182</f>
        <v>0</v>
      </c>
      <c r="BK73" s="307">
        <v>0</v>
      </c>
      <c r="BL73" s="307">
        <v>0</v>
      </c>
      <c r="BM73" s="445">
        <f t="shared" ref="BM73:BM136" si="43">(BK73*BL73)*0.8182</f>
        <v>0</v>
      </c>
      <c r="BN73" s="442"/>
      <c r="BO73" s="443"/>
      <c r="BP73" s="444">
        <f t="shared" ref="BP73:BP136" si="44">(BN73*BO73)*0.8182</f>
        <v>0</v>
      </c>
      <c r="BQ73" s="307">
        <v>0</v>
      </c>
      <c r="BR73" s="307">
        <v>0</v>
      </c>
      <c r="BS73" s="445">
        <f t="shared" ref="BS73:BS136" si="45">(BQ73*BR73)*0.8182</f>
        <v>0</v>
      </c>
      <c r="BT73" s="442">
        <v>2</v>
      </c>
      <c r="BU73" s="443">
        <v>50889</v>
      </c>
      <c r="BV73" s="444">
        <f t="shared" ref="BV73:BV136" si="46">(BT73*BU73)*0.8182</f>
        <v>83274.759600000005</v>
      </c>
      <c r="BW73" s="307">
        <v>2</v>
      </c>
      <c r="BX73" s="307">
        <v>37396.5</v>
      </c>
      <c r="BY73" s="449">
        <f t="shared" ref="BY73:BY136" si="47">(BW73*BX73)*0.8182</f>
        <v>61195.632600000004</v>
      </c>
    </row>
    <row r="74" spans="1:77" s="309" customFormat="1" ht="12.75" customHeight="1">
      <c r="A74" s="313" t="s">
        <v>338</v>
      </c>
      <c r="B74" s="314" t="s">
        <v>582</v>
      </c>
      <c r="C74" s="314"/>
      <c r="D74" s="313">
        <v>107974</v>
      </c>
      <c r="E74" s="415">
        <v>10</v>
      </c>
      <c r="F74" s="453"/>
      <c r="G74" s="454"/>
      <c r="H74" s="439">
        <f t="shared" si="24"/>
        <v>0</v>
      </c>
      <c r="I74" s="311">
        <v>0</v>
      </c>
      <c r="J74" s="311">
        <v>0</v>
      </c>
      <c r="K74" s="441">
        <f t="shared" si="25"/>
        <v>0</v>
      </c>
      <c r="L74" s="442"/>
      <c r="M74" s="443"/>
      <c r="N74" s="444">
        <f t="shared" si="26"/>
        <v>0</v>
      </c>
      <c r="O74" s="307">
        <v>0</v>
      </c>
      <c r="P74" s="307">
        <v>0</v>
      </c>
      <c r="Q74" s="445">
        <f t="shared" si="27"/>
        <v>0</v>
      </c>
      <c r="R74" s="442"/>
      <c r="S74" s="443"/>
      <c r="T74" s="444">
        <f t="shared" si="28"/>
        <v>0</v>
      </c>
      <c r="U74" s="306">
        <v>0</v>
      </c>
      <c r="V74" s="306">
        <v>0</v>
      </c>
      <c r="W74" s="441">
        <f t="shared" si="29"/>
        <v>0</v>
      </c>
      <c r="X74" s="442"/>
      <c r="Y74" s="443"/>
      <c r="Z74" s="444">
        <f t="shared" si="30"/>
        <v>0</v>
      </c>
      <c r="AA74" s="307">
        <v>0</v>
      </c>
      <c r="AB74" s="307">
        <v>0</v>
      </c>
      <c r="AC74" s="445">
        <f t="shared" si="31"/>
        <v>0</v>
      </c>
      <c r="AD74" s="442"/>
      <c r="AE74" s="443"/>
      <c r="AF74" s="444">
        <f t="shared" si="32"/>
        <v>0</v>
      </c>
      <c r="AG74" s="307">
        <v>0</v>
      </c>
      <c r="AH74" s="307">
        <v>0</v>
      </c>
      <c r="AI74" s="445">
        <f t="shared" si="33"/>
        <v>0</v>
      </c>
      <c r="AJ74" s="446">
        <v>31</v>
      </c>
      <c r="AK74" s="443">
        <v>47160.451612903227</v>
      </c>
      <c r="AL74" s="444">
        <f t="shared" si="34"/>
        <v>1461974</v>
      </c>
      <c r="AM74" s="307">
        <v>32</v>
      </c>
      <c r="AN74" s="307">
        <v>44506</v>
      </c>
      <c r="AO74" s="447">
        <f t="shared" si="35"/>
        <v>1424192</v>
      </c>
      <c r="AP74" s="448"/>
      <c r="AQ74" s="443"/>
      <c r="AR74" s="444">
        <f t="shared" si="36"/>
        <v>0</v>
      </c>
      <c r="AS74" s="307">
        <v>0</v>
      </c>
      <c r="AT74" s="307">
        <v>0</v>
      </c>
      <c r="AU74" s="441">
        <f t="shared" si="37"/>
        <v>0</v>
      </c>
      <c r="AV74" s="442"/>
      <c r="AW74" s="443"/>
      <c r="AX74" s="444">
        <f t="shared" si="38"/>
        <v>0</v>
      </c>
      <c r="AY74" s="307">
        <v>0</v>
      </c>
      <c r="AZ74" s="307">
        <v>0</v>
      </c>
      <c r="BA74" s="445">
        <f t="shared" si="39"/>
        <v>0</v>
      </c>
      <c r="BB74" s="442"/>
      <c r="BC74" s="443"/>
      <c r="BD74" s="444">
        <f t="shared" si="40"/>
        <v>0</v>
      </c>
      <c r="BE74" s="307">
        <v>0</v>
      </c>
      <c r="BF74" s="307">
        <v>0</v>
      </c>
      <c r="BG74" s="445">
        <f t="shared" si="41"/>
        <v>0</v>
      </c>
      <c r="BH74" s="442"/>
      <c r="BI74" s="443"/>
      <c r="BJ74" s="444">
        <f t="shared" si="42"/>
        <v>0</v>
      </c>
      <c r="BK74" s="307">
        <v>0</v>
      </c>
      <c r="BL74" s="307">
        <v>0</v>
      </c>
      <c r="BM74" s="445">
        <f t="shared" si="43"/>
        <v>0</v>
      </c>
      <c r="BN74" s="442"/>
      <c r="BO74" s="443"/>
      <c r="BP74" s="444">
        <f t="shared" si="44"/>
        <v>0</v>
      </c>
      <c r="BQ74" s="307">
        <v>0</v>
      </c>
      <c r="BR74" s="307">
        <v>0</v>
      </c>
      <c r="BS74" s="445">
        <f t="shared" si="45"/>
        <v>0</v>
      </c>
      <c r="BT74" s="442">
        <v>28</v>
      </c>
      <c r="BU74" s="443">
        <v>50443.607142857145</v>
      </c>
      <c r="BV74" s="444">
        <f t="shared" si="46"/>
        <v>1155642.8622000001</v>
      </c>
      <c r="BW74" s="307">
        <v>29</v>
      </c>
      <c r="BX74" s="307">
        <v>50320.137931034486</v>
      </c>
      <c r="BY74" s="449">
        <f t="shared" si="47"/>
        <v>1193986.1688000001</v>
      </c>
    </row>
    <row r="75" spans="1:77" s="309" customFormat="1" ht="12.75" customHeight="1">
      <c r="A75" s="313" t="s">
        <v>338</v>
      </c>
      <c r="B75" s="314" t="s">
        <v>583</v>
      </c>
      <c r="C75" s="314"/>
      <c r="D75" s="313">
        <v>107637</v>
      </c>
      <c r="E75" s="415">
        <v>10</v>
      </c>
      <c r="F75" s="453"/>
      <c r="G75" s="454"/>
      <c r="H75" s="439">
        <f t="shared" si="24"/>
        <v>0</v>
      </c>
      <c r="I75" s="311">
        <v>0</v>
      </c>
      <c r="J75" s="311">
        <v>0</v>
      </c>
      <c r="K75" s="441">
        <f t="shared" si="25"/>
        <v>0</v>
      </c>
      <c r="L75" s="442"/>
      <c r="M75" s="443"/>
      <c r="N75" s="444">
        <f t="shared" si="26"/>
        <v>0</v>
      </c>
      <c r="O75" s="307">
        <v>0</v>
      </c>
      <c r="P75" s="307">
        <v>0</v>
      </c>
      <c r="Q75" s="445">
        <f t="shared" si="27"/>
        <v>0</v>
      </c>
      <c r="R75" s="442"/>
      <c r="S75" s="443"/>
      <c r="T75" s="444">
        <f t="shared" si="28"/>
        <v>0</v>
      </c>
      <c r="U75" s="306">
        <v>0</v>
      </c>
      <c r="V75" s="306">
        <v>0</v>
      </c>
      <c r="W75" s="441">
        <f t="shared" si="29"/>
        <v>0</v>
      </c>
      <c r="X75" s="442"/>
      <c r="Y75" s="443"/>
      <c r="Z75" s="444">
        <f t="shared" si="30"/>
        <v>0</v>
      </c>
      <c r="AA75" s="307">
        <v>0</v>
      </c>
      <c r="AB75" s="307">
        <v>0</v>
      </c>
      <c r="AC75" s="445">
        <f t="shared" si="31"/>
        <v>0</v>
      </c>
      <c r="AD75" s="442"/>
      <c r="AE75" s="443"/>
      <c r="AF75" s="444">
        <f t="shared" si="32"/>
        <v>0</v>
      </c>
      <c r="AG75" s="307">
        <v>0</v>
      </c>
      <c r="AH75" s="307">
        <v>0</v>
      </c>
      <c r="AI75" s="445">
        <f t="shared" si="33"/>
        <v>0</v>
      </c>
      <c r="AJ75" s="446">
        <v>37</v>
      </c>
      <c r="AK75" s="443">
        <v>46226.135135135133</v>
      </c>
      <c r="AL75" s="444">
        <f t="shared" si="34"/>
        <v>1710367</v>
      </c>
      <c r="AM75" s="307">
        <v>43</v>
      </c>
      <c r="AN75" s="307">
        <v>42465.860465116282</v>
      </c>
      <c r="AO75" s="447">
        <f t="shared" si="35"/>
        <v>1826032.0000000002</v>
      </c>
      <c r="AP75" s="448"/>
      <c r="AQ75" s="443"/>
      <c r="AR75" s="444">
        <f t="shared" si="36"/>
        <v>0</v>
      </c>
      <c r="AS75" s="307">
        <v>0</v>
      </c>
      <c r="AT75" s="307">
        <v>0</v>
      </c>
      <c r="AU75" s="441">
        <f t="shared" si="37"/>
        <v>0</v>
      </c>
      <c r="AV75" s="442"/>
      <c r="AW75" s="443"/>
      <c r="AX75" s="444">
        <f t="shared" si="38"/>
        <v>0</v>
      </c>
      <c r="AY75" s="307">
        <v>0</v>
      </c>
      <c r="AZ75" s="307">
        <v>0</v>
      </c>
      <c r="BA75" s="445">
        <f t="shared" si="39"/>
        <v>0</v>
      </c>
      <c r="BB75" s="442"/>
      <c r="BC75" s="443"/>
      <c r="BD75" s="444">
        <f t="shared" si="40"/>
        <v>0</v>
      </c>
      <c r="BE75" s="307">
        <v>0</v>
      </c>
      <c r="BF75" s="307">
        <v>0</v>
      </c>
      <c r="BG75" s="445">
        <f t="shared" si="41"/>
        <v>0</v>
      </c>
      <c r="BH75" s="442"/>
      <c r="BI75" s="443"/>
      <c r="BJ75" s="444">
        <f t="shared" si="42"/>
        <v>0</v>
      </c>
      <c r="BK75" s="307">
        <v>0</v>
      </c>
      <c r="BL75" s="307">
        <v>0</v>
      </c>
      <c r="BM75" s="445">
        <f t="shared" si="43"/>
        <v>0</v>
      </c>
      <c r="BN75" s="442"/>
      <c r="BO75" s="443"/>
      <c r="BP75" s="444">
        <f t="shared" si="44"/>
        <v>0</v>
      </c>
      <c r="BQ75" s="307">
        <v>0</v>
      </c>
      <c r="BR75" s="307">
        <v>0</v>
      </c>
      <c r="BS75" s="445">
        <f t="shared" si="45"/>
        <v>0</v>
      </c>
      <c r="BT75" s="442">
        <v>6</v>
      </c>
      <c r="BU75" s="443">
        <v>54426</v>
      </c>
      <c r="BV75" s="444">
        <f t="shared" si="46"/>
        <v>267188.11920000002</v>
      </c>
      <c r="BW75" s="307">
        <v>5</v>
      </c>
      <c r="BX75" s="307">
        <v>53877.4</v>
      </c>
      <c r="BY75" s="449">
        <f t="shared" si="47"/>
        <v>220412.44340000002</v>
      </c>
    </row>
    <row r="76" spans="1:77" s="309" customFormat="1" ht="12.75" customHeight="1">
      <c r="A76" s="313" t="s">
        <v>338</v>
      </c>
      <c r="B76" s="314" t="s">
        <v>584</v>
      </c>
      <c r="C76" s="314"/>
      <c r="D76" s="313">
        <v>107992</v>
      </c>
      <c r="E76" s="415">
        <v>10</v>
      </c>
      <c r="F76" s="453"/>
      <c r="G76" s="454"/>
      <c r="H76" s="439">
        <f t="shared" si="24"/>
        <v>0</v>
      </c>
      <c r="I76" s="311">
        <v>0</v>
      </c>
      <c r="J76" s="311">
        <v>0</v>
      </c>
      <c r="K76" s="441">
        <f t="shared" si="25"/>
        <v>0</v>
      </c>
      <c r="L76" s="442"/>
      <c r="M76" s="443"/>
      <c r="N76" s="444">
        <f t="shared" si="26"/>
        <v>0</v>
      </c>
      <c r="O76" s="307">
        <v>0</v>
      </c>
      <c r="P76" s="307">
        <v>0</v>
      </c>
      <c r="Q76" s="445">
        <f t="shared" si="27"/>
        <v>0</v>
      </c>
      <c r="R76" s="442"/>
      <c r="S76" s="443"/>
      <c r="T76" s="444">
        <f t="shared" si="28"/>
        <v>0</v>
      </c>
      <c r="U76" s="306">
        <v>0</v>
      </c>
      <c r="V76" s="306">
        <v>0</v>
      </c>
      <c r="W76" s="441">
        <f t="shared" si="29"/>
        <v>0</v>
      </c>
      <c r="X76" s="442"/>
      <c r="Y76" s="443"/>
      <c r="Z76" s="444">
        <f t="shared" si="30"/>
        <v>0</v>
      </c>
      <c r="AA76" s="307">
        <v>0</v>
      </c>
      <c r="AB76" s="307">
        <v>0</v>
      </c>
      <c r="AC76" s="445">
        <f t="shared" si="31"/>
        <v>0</v>
      </c>
      <c r="AD76" s="442"/>
      <c r="AE76" s="443"/>
      <c r="AF76" s="444">
        <f t="shared" si="32"/>
        <v>0</v>
      </c>
      <c r="AG76" s="307">
        <v>0</v>
      </c>
      <c r="AH76" s="307">
        <v>0</v>
      </c>
      <c r="AI76" s="445">
        <f t="shared" si="33"/>
        <v>0</v>
      </c>
      <c r="AJ76" s="446">
        <v>23</v>
      </c>
      <c r="AK76" s="443">
        <v>42625.695652173912</v>
      </c>
      <c r="AL76" s="444">
        <f t="shared" si="34"/>
        <v>980391</v>
      </c>
      <c r="AM76" s="307">
        <v>22</v>
      </c>
      <c r="AN76" s="307">
        <v>42151.36363636364</v>
      </c>
      <c r="AO76" s="447">
        <f t="shared" si="35"/>
        <v>927330.00000000012</v>
      </c>
      <c r="AP76" s="448"/>
      <c r="AQ76" s="443"/>
      <c r="AR76" s="444">
        <f t="shared" si="36"/>
        <v>0</v>
      </c>
      <c r="AS76" s="307">
        <v>0</v>
      </c>
      <c r="AT76" s="307">
        <v>0</v>
      </c>
      <c r="AU76" s="441">
        <f t="shared" si="37"/>
        <v>0</v>
      </c>
      <c r="AV76" s="442"/>
      <c r="AW76" s="443"/>
      <c r="AX76" s="444">
        <f t="shared" si="38"/>
        <v>0</v>
      </c>
      <c r="AY76" s="307">
        <v>0</v>
      </c>
      <c r="AZ76" s="307">
        <v>0</v>
      </c>
      <c r="BA76" s="445">
        <f t="shared" si="39"/>
        <v>0</v>
      </c>
      <c r="BB76" s="442"/>
      <c r="BC76" s="443"/>
      <c r="BD76" s="444">
        <f t="shared" si="40"/>
        <v>0</v>
      </c>
      <c r="BE76" s="307">
        <v>0</v>
      </c>
      <c r="BF76" s="307">
        <v>0</v>
      </c>
      <c r="BG76" s="445">
        <f t="shared" si="41"/>
        <v>0</v>
      </c>
      <c r="BH76" s="442"/>
      <c r="BI76" s="443"/>
      <c r="BJ76" s="444">
        <f t="shared" si="42"/>
        <v>0</v>
      </c>
      <c r="BK76" s="307">
        <v>0</v>
      </c>
      <c r="BL76" s="307">
        <v>0</v>
      </c>
      <c r="BM76" s="445">
        <f t="shared" si="43"/>
        <v>0</v>
      </c>
      <c r="BN76" s="442"/>
      <c r="BO76" s="443"/>
      <c r="BP76" s="444">
        <f t="shared" si="44"/>
        <v>0</v>
      </c>
      <c r="BQ76" s="307">
        <v>0</v>
      </c>
      <c r="BR76" s="307">
        <v>0</v>
      </c>
      <c r="BS76" s="445">
        <f t="shared" si="45"/>
        <v>0</v>
      </c>
      <c r="BT76" s="442">
        <v>9</v>
      </c>
      <c r="BU76" s="443">
        <v>46817.222222222219</v>
      </c>
      <c r="BV76" s="444">
        <f t="shared" si="46"/>
        <v>344752.66100000002</v>
      </c>
      <c r="BW76" s="307">
        <v>9</v>
      </c>
      <c r="BX76" s="307">
        <v>45626.555555555555</v>
      </c>
      <c r="BY76" s="449">
        <f t="shared" si="47"/>
        <v>335984.82980000001</v>
      </c>
    </row>
    <row r="77" spans="1:77" s="309" customFormat="1" ht="12.75" customHeight="1">
      <c r="A77" s="313" t="s">
        <v>338</v>
      </c>
      <c r="B77" s="314" t="s">
        <v>585</v>
      </c>
      <c r="C77" s="314"/>
      <c r="D77" s="313">
        <v>106999</v>
      </c>
      <c r="E77" s="415">
        <v>10</v>
      </c>
      <c r="F77" s="453"/>
      <c r="G77" s="454"/>
      <c r="H77" s="439">
        <f t="shared" si="24"/>
        <v>0</v>
      </c>
      <c r="I77" s="311">
        <v>0</v>
      </c>
      <c r="J77" s="311">
        <v>0</v>
      </c>
      <c r="K77" s="441">
        <f t="shared" si="25"/>
        <v>0</v>
      </c>
      <c r="L77" s="442"/>
      <c r="M77" s="443"/>
      <c r="N77" s="444">
        <f t="shared" si="26"/>
        <v>0</v>
      </c>
      <c r="O77" s="307">
        <v>0</v>
      </c>
      <c r="P77" s="307">
        <v>0</v>
      </c>
      <c r="Q77" s="445">
        <f t="shared" si="27"/>
        <v>0</v>
      </c>
      <c r="R77" s="442"/>
      <c r="S77" s="443"/>
      <c r="T77" s="444">
        <f t="shared" si="28"/>
        <v>0</v>
      </c>
      <c r="U77" s="306">
        <v>0</v>
      </c>
      <c r="V77" s="306">
        <v>0</v>
      </c>
      <c r="W77" s="441">
        <f t="shared" si="29"/>
        <v>0</v>
      </c>
      <c r="X77" s="442"/>
      <c r="Y77" s="443"/>
      <c r="Z77" s="444">
        <f t="shared" si="30"/>
        <v>0</v>
      </c>
      <c r="AA77" s="307">
        <v>0</v>
      </c>
      <c r="AB77" s="307">
        <v>0</v>
      </c>
      <c r="AC77" s="445">
        <f t="shared" si="31"/>
        <v>0</v>
      </c>
      <c r="AD77" s="442"/>
      <c r="AE77" s="443"/>
      <c r="AF77" s="444">
        <f t="shared" si="32"/>
        <v>0</v>
      </c>
      <c r="AG77" s="307">
        <v>0</v>
      </c>
      <c r="AH77" s="307">
        <v>0</v>
      </c>
      <c r="AI77" s="445">
        <f t="shared" si="33"/>
        <v>0</v>
      </c>
      <c r="AJ77" s="446">
        <v>29</v>
      </c>
      <c r="AK77" s="443">
        <v>39759.827586206899</v>
      </c>
      <c r="AL77" s="444">
        <f t="shared" si="34"/>
        <v>1153035</v>
      </c>
      <c r="AM77" s="307">
        <v>31</v>
      </c>
      <c r="AN77" s="307">
        <v>40681.483870967742</v>
      </c>
      <c r="AO77" s="447">
        <f t="shared" si="35"/>
        <v>1261126</v>
      </c>
      <c r="AP77" s="448"/>
      <c r="AQ77" s="443"/>
      <c r="AR77" s="444">
        <f t="shared" si="36"/>
        <v>0</v>
      </c>
      <c r="AS77" s="307">
        <v>0</v>
      </c>
      <c r="AT77" s="307">
        <v>0</v>
      </c>
      <c r="AU77" s="441">
        <f t="shared" si="37"/>
        <v>0</v>
      </c>
      <c r="AV77" s="442"/>
      <c r="AW77" s="443"/>
      <c r="AX77" s="444">
        <f t="shared" si="38"/>
        <v>0</v>
      </c>
      <c r="AY77" s="307">
        <v>0</v>
      </c>
      <c r="AZ77" s="307">
        <v>0</v>
      </c>
      <c r="BA77" s="445">
        <f t="shared" si="39"/>
        <v>0</v>
      </c>
      <c r="BB77" s="442"/>
      <c r="BC77" s="443"/>
      <c r="BD77" s="444">
        <f t="shared" si="40"/>
        <v>0</v>
      </c>
      <c r="BE77" s="307">
        <v>0</v>
      </c>
      <c r="BF77" s="307">
        <v>0</v>
      </c>
      <c r="BG77" s="445">
        <f t="shared" si="41"/>
        <v>0</v>
      </c>
      <c r="BH77" s="442"/>
      <c r="BI77" s="443"/>
      <c r="BJ77" s="444">
        <f t="shared" si="42"/>
        <v>0</v>
      </c>
      <c r="BK77" s="307">
        <v>0</v>
      </c>
      <c r="BL77" s="307">
        <v>0</v>
      </c>
      <c r="BM77" s="445">
        <f t="shared" si="43"/>
        <v>0</v>
      </c>
      <c r="BN77" s="442"/>
      <c r="BO77" s="443"/>
      <c r="BP77" s="444">
        <f t="shared" si="44"/>
        <v>0</v>
      </c>
      <c r="BQ77" s="307">
        <v>0</v>
      </c>
      <c r="BR77" s="307">
        <v>0</v>
      </c>
      <c r="BS77" s="445">
        <f t="shared" si="45"/>
        <v>0</v>
      </c>
      <c r="BT77" s="442">
        <v>20</v>
      </c>
      <c r="BU77" s="443">
        <v>46377.15</v>
      </c>
      <c r="BV77" s="444">
        <f t="shared" si="46"/>
        <v>758915.68260000006</v>
      </c>
      <c r="BW77" s="307">
        <v>18</v>
      </c>
      <c r="BX77" s="307">
        <v>50229.722222222219</v>
      </c>
      <c r="BY77" s="449">
        <f t="shared" si="47"/>
        <v>739763.25699999998</v>
      </c>
    </row>
    <row r="78" spans="1:77" s="309" customFormat="1" ht="12.75" customHeight="1">
      <c r="A78" s="313" t="s">
        <v>338</v>
      </c>
      <c r="B78" s="314" t="s">
        <v>586</v>
      </c>
      <c r="C78" s="314"/>
      <c r="D78" s="313">
        <v>107725</v>
      </c>
      <c r="E78" s="415">
        <v>10</v>
      </c>
      <c r="F78" s="453"/>
      <c r="G78" s="454"/>
      <c r="H78" s="439">
        <f t="shared" si="24"/>
        <v>0</v>
      </c>
      <c r="I78" s="311">
        <v>0</v>
      </c>
      <c r="J78" s="311">
        <v>0</v>
      </c>
      <c r="K78" s="441">
        <f t="shared" si="25"/>
        <v>0</v>
      </c>
      <c r="L78" s="442"/>
      <c r="M78" s="443"/>
      <c r="N78" s="444">
        <f t="shared" si="26"/>
        <v>0</v>
      </c>
      <c r="O78" s="307">
        <v>0</v>
      </c>
      <c r="P78" s="307">
        <v>0</v>
      </c>
      <c r="Q78" s="445">
        <f t="shared" si="27"/>
        <v>0</v>
      </c>
      <c r="R78" s="442"/>
      <c r="S78" s="443"/>
      <c r="T78" s="444">
        <f t="shared" si="28"/>
        <v>0</v>
      </c>
      <c r="U78" s="306">
        <v>0</v>
      </c>
      <c r="V78" s="306">
        <v>0</v>
      </c>
      <c r="W78" s="441">
        <f t="shared" si="29"/>
        <v>0</v>
      </c>
      <c r="X78" s="442"/>
      <c r="Y78" s="443"/>
      <c r="Z78" s="444">
        <f t="shared" si="30"/>
        <v>0</v>
      </c>
      <c r="AA78" s="307">
        <v>0</v>
      </c>
      <c r="AB78" s="307">
        <v>0</v>
      </c>
      <c r="AC78" s="445">
        <f t="shared" si="31"/>
        <v>0</v>
      </c>
      <c r="AD78" s="442"/>
      <c r="AE78" s="443"/>
      <c r="AF78" s="444">
        <f t="shared" si="32"/>
        <v>0</v>
      </c>
      <c r="AG78" s="307">
        <v>0</v>
      </c>
      <c r="AH78" s="307">
        <v>0</v>
      </c>
      <c r="AI78" s="445">
        <f t="shared" si="33"/>
        <v>0</v>
      </c>
      <c r="AJ78" s="446">
        <v>35</v>
      </c>
      <c r="AK78" s="443">
        <v>39671.314285714288</v>
      </c>
      <c r="AL78" s="444">
        <f t="shared" si="34"/>
        <v>1388496</v>
      </c>
      <c r="AM78" s="307">
        <v>32</v>
      </c>
      <c r="AN78" s="307">
        <v>39593.5</v>
      </c>
      <c r="AO78" s="447">
        <f t="shared" si="35"/>
        <v>1266992</v>
      </c>
      <c r="AP78" s="448"/>
      <c r="AQ78" s="443"/>
      <c r="AR78" s="444">
        <f t="shared" si="36"/>
        <v>0</v>
      </c>
      <c r="AS78" s="307">
        <v>0</v>
      </c>
      <c r="AT78" s="307">
        <v>0</v>
      </c>
      <c r="AU78" s="441">
        <f t="shared" si="37"/>
        <v>0</v>
      </c>
      <c r="AV78" s="442"/>
      <c r="AW78" s="443"/>
      <c r="AX78" s="444">
        <f t="shared" si="38"/>
        <v>0</v>
      </c>
      <c r="AY78" s="307">
        <v>0</v>
      </c>
      <c r="AZ78" s="307">
        <v>0</v>
      </c>
      <c r="BA78" s="445">
        <f t="shared" si="39"/>
        <v>0</v>
      </c>
      <c r="BB78" s="442"/>
      <c r="BC78" s="443"/>
      <c r="BD78" s="444">
        <f t="shared" si="40"/>
        <v>0</v>
      </c>
      <c r="BE78" s="307">
        <v>0</v>
      </c>
      <c r="BF78" s="307">
        <v>0</v>
      </c>
      <c r="BG78" s="445">
        <f t="shared" si="41"/>
        <v>0</v>
      </c>
      <c r="BH78" s="442"/>
      <c r="BI78" s="443"/>
      <c r="BJ78" s="444">
        <f t="shared" si="42"/>
        <v>0</v>
      </c>
      <c r="BK78" s="307">
        <v>0</v>
      </c>
      <c r="BL78" s="307">
        <v>0</v>
      </c>
      <c r="BM78" s="445">
        <f t="shared" si="43"/>
        <v>0</v>
      </c>
      <c r="BN78" s="442"/>
      <c r="BO78" s="443"/>
      <c r="BP78" s="444">
        <f t="shared" si="44"/>
        <v>0</v>
      </c>
      <c r="BQ78" s="307">
        <v>0</v>
      </c>
      <c r="BR78" s="307">
        <v>0</v>
      </c>
      <c r="BS78" s="445">
        <f t="shared" si="45"/>
        <v>0</v>
      </c>
      <c r="BT78" s="442">
        <v>5</v>
      </c>
      <c r="BU78" s="443">
        <v>63059.6</v>
      </c>
      <c r="BV78" s="444">
        <f t="shared" si="46"/>
        <v>257976.8236</v>
      </c>
      <c r="BW78" s="307">
        <v>6</v>
      </c>
      <c r="BX78" s="307">
        <v>61883</v>
      </c>
      <c r="BY78" s="449">
        <f t="shared" si="47"/>
        <v>303796.02360000001</v>
      </c>
    </row>
    <row r="79" spans="1:77" s="309" customFormat="1" ht="12.75" customHeight="1">
      <c r="A79" s="313" t="s">
        <v>338</v>
      </c>
      <c r="B79" s="314" t="s">
        <v>587</v>
      </c>
      <c r="C79" s="314"/>
      <c r="D79" s="313">
        <v>107585</v>
      </c>
      <c r="E79" s="415">
        <v>10</v>
      </c>
      <c r="F79" s="453"/>
      <c r="G79" s="454"/>
      <c r="H79" s="439">
        <f t="shared" si="24"/>
        <v>0</v>
      </c>
      <c r="I79" s="311">
        <v>0</v>
      </c>
      <c r="J79" s="311">
        <v>0</v>
      </c>
      <c r="K79" s="441">
        <f t="shared" si="25"/>
        <v>0</v>
      </c>
      <c r="L79" s="442"/>
      <c r="M79" s="443"/>
      <c r="N79" s="444">
        <f t="shared" si="26"/>
        <v>0</v>
      </c>
      <c r="O79" s="307">
        <v>0</v>
      </c>
      <c r="P79" s="307">
        <v>0</v>
      </c>
      <c r="Q79" s="445">
        <f t="shared" si="27"/>
        <v>0</v>
      </c>
      <c r="R79" s="442"/>
      <c r="S79" s="443"/>
      <c r="T79" s="444">
        <f t="shared" si="28"/>
        <v>0</v>
      </c>
      <c r="U79" s="306">
        <v>0</v>
      </c>
      <c r="V79" s="306">
        <v>0</v>
      </c>
      <c r="W79" s="441">
        <f t="shared" si="29"/>
        <v>0</v>
      </c>
      <c r="X79" s="442"/>
      <c r="Y79" s="443"/>
      <c r="Z79" s="444">
        <f t="shared" si="30"/>
        <v>0</v>
      </c>
      <c r="AA79" s="307">
        <v>0</v>
      </c>
      <c r="AB79" s="307">
        <v>0</v>
      </c>
      <c r="AC79" s="445">
        <f t="shared" si="31"/>
        <v>0</v>
      </c>
      <c r="AD79" s="442"/>
      <c r="AE79" s="443"/>
      <c r="AF79" s="444">
        <f t="shared" si="32"/>
        <v>0</v>
      </c>
      <c r="AG79" s="307">
        <v>0</v>
      </c>
      <c r="AH79" s="307">
        <v>0</v>
      </c>
      <c r="AI79" s="445">
        <f t="shared" si="33"/>
        <v>0</v>
      </c>
      <c r="AJ79" s="446">
        <v>60</v>
      </c>
      <c r="AK79" s="443">
        <v>39525</v>
      </c>
      <c r="AL79" s="444">
        <f t="shared" si="34"/>
        <v>2371500</v>
      </c>
      <c r="AM79" s="307">
        <v>68</v>
      </c>
      <c r="AN79" s="307">
        <v>40233.823529411762</v>
      </c>
      <c r="AO79" s="447">
        <f t="shared" si="35"/>
        <v>2735900</v>
      </c>
      <c r="AP79" s="448"/>
      <c r="AQ79" s="443"/>
      <c r="AR79" s="444">
        <f t="shared" si="36"/>
        <v>0</v>
      </c>
      <c r="AS79" s="307">
        <v>0</v>
      </c>
      <c r="AT79" s="307">
        <v>0</v>
      </c>
      <c r="AU79" s="441">
        <f t="shared" si="37"/>
        <v>0</v>
      </c>
      <c r="AV79" s="442"/>
      <c r="AW79" s="443"/>
      <c r="AX79" s="444">
        <f t="shared" si="38"/>
        <v>0</v>
      </c>
      <c r="AY79" s="307">
        <v>0</v>
      </c>
      <c r="AZ79" s="307">
        <v>0</v>
      </c>
      <c r="BA79" s="445">
        <f t="shared" si="39"/>
        <v>0</v>
      </c>
      <c r="BB79" s="442"/>
      <c r="BC79" s="443"/>
      <c r="BD79" s="444">
        <f t="shared" si="40"/>
        <v>0</v>
      </c>
      <c r="BE79" s="307">
        <v>0</v>
      </c>
      <c r="BF79" s="307">
        <v>0</v>
      </c>
      <c r="BG79" s="445">
        <f t="shared" si="41"/>
        <v>0</v>
      </c>
      <c r="BH79" s="442"/>
      <c r="BI79" s="443"/>
      <c r="BJ79" s="444">
        <f t="shared" si="42"/>
        <v>0</v>
      </c>
      <c r="BK79" s="307">
        <v>0</v>
      </c>
      <c r="BL79" s="307">
        <v>0</v>
      </c>
      <c r="BM79" s="445">
        <f t="shared" si="43"/>
        <v>0</v>
      </c>
      <c r="BN79" s="442"/>
      <c r="BO79" s="443"/>
      <c r="BP79" s="444">
        <f t="shared" si="44"/>
        <v>0</v>
      </c>
      <c r="BQ79" s="307">
        <v>0</v>
      </c>
      <c r="BR79" s="307">
        <v>0</v>
      </c>
      <c r="BS79" s="445">
        <f t="shared" si="45"/>
        <v>0</v>
      </c>
      <c r="BT79" s="442"/>
      <c r="BU79" s="443"/>
      <c r="BV79" s="444">
        <f t="shared" si="46"/>
        <v>0</v>
      </c>
      <c r="BW79" s="307">
        <v>0</v>
      </c>
      <c r="BX79" s="307">
        <v>0</v>
      </c>
      <c r="BY79" s="449">
        <f t="shared" si="47"/>
        <v>0</v>
      </c>
    </row>
    <row r="80" spans="1:77" s="309" customFormat="1" ht="12.75" customHeight="1">
      <c r="A80" s="317" t="s">
        <v>339</v>
      </c>
      <c r="B80" s="318" t="s">
        <v>811</v>
      </c>
      <c r="C80" s="318"/>
      <c r="D80" s="317">
        <v>130943</v>
      </c>
      <c r="E80" s="317">
        <v>1</v>
      </c>
      <c r="F80" s="453">
        <v>338</v>
      </c>
      <c r="G80" s="454">
        <v>133938</v>
      </c>
      <c r="H80" s="439">
        <f t="shared" si="24"/>
        <v>45271044</v>
      </c>
      <c r="I80" s="311">
        <v>340</v>
      </c>
      <c r="J80" s="311">
        <v>135635</v>
      </c>
      <c r="K80" s="441">
        <f t="shared" si="25"/>
        <v>46115900</v>
      </c>
      <c r="L80" s="442">
        <v>325</v>
      </c>
      <c r="M80" s="443">
        <v>89943</v>
      </c>
      <c r="N80" s="444">
        <f t="shared" si="26"/>
        <v>29231475</v>
      </c>
      <c r="O80" s="307">
        <v>330</v>
      </c>
      <c r="P80" s="307">
        <v>91859</v>
      </c>
      <c r="Q80" s="445">
        <f t="shared" si="27"/>
        <v>30313470</v>
      </c>
      <c r="R80" s="442">
        <v>271</v>
      </c>
      <c r="S80" s="443">
        <v>76216</v>
      </c>
      <c r="T80" s="444">
        <f t="shared" si="28"/>
        <v>20654536</v>
      </c>
      <c r="U80" s="306">
        <v>275</v>
      </c>
      <c r="V80" s="306">
        <v>78538</v>
      </c>
      <c r="W80" s="441">
        <f t="shared" si="29"/>
        <v>21597950</v>
      </c>
      <c r="X80" s="442">
        <v>95</v>
      </c>
      <c r="Y80" s="443">
        <v>60577</v>
      </c>
      <c r="Z80" s="444">
        <f t="shared" si="30"/>
        <v>5754815</v>
      </c>
      <c r="AA80" s="307">
        <v>94</v>
      </c>
      <c r="AB80" s="307">
        <v>61766</v>
      </c>
      <c r="AC80" s="445">
        <f t="shared" si="31"/>
        <v>5806004</v>
      </c>
      <c r="AD80" s="442">
        <v>0</v>
      </c>
      <c r="AE80" s="443"/>
      <c r="AF80" s="444">
        <f t="shared" si="32"/>
        <v>0</v>
      </c>
      <c r="AG80" s="307">
        <v>0</v>
      </c>
      <c r="AH80" s="307"/>
      <c r="AI80" s="445">
        <f t="shared" si="33"/>
        <v>0</v>
      </c>
      <c r="AJ80" s="446"/>
      <c r="AK80" s="443"/>
      <c r="AL80" s="444">
        <f t="shared" si="34"/>
        <v>0</v>
      </c>
      <c r="AM80" s="307"/>
      <c r="AN80" s="307"/>
      <c r="AO80" s="447">
        <f t="shared" si="35"/>
        <v>0</v>
      </c>
      <c r="AP80" s="448">
        <v>41</v>
      </c>
      <c r="AQ80" s="443">
        <v>154782</v>
      </c>
      <c r="AR80" s="444">
        <f t="shared" si="36"/>
        <v>5192347.9284000006</v>
      </c>
      <c r="AS80" s="307">
        <v>39</v>
      </c>
      <c r="AT80" s="307">
        <v>153510</v>
      </c>
      <c r="AU80" s="441">
        <f t="shared" si="37"/>
        <v>4898473.398</v>
      </c>
      <c r="AV80" s="442">
        <v>17</v>
      </c>
      <c r="AW80" s="443">
        <v>104556</v>
      </c>
      <c r="AX80" s="444">
        <f t="shared" si="38"/>
        <v>1454311.2264</v>
      </c>
      <c r="AY80" s="307">
        <v>20</v>
      </c>
      <c r="AZ80" s="307">
        <v>108597</v>
      </c>
      <c r="BA80" s="445">
        <f t="shared" si="39"/>
        <v>1777081.3080000002</v>
      </c>
      <c r="BB80" s="442">
        <v>16</v>
      </c>
      <c r="BC80" s="443">
        <v>84656</v>
      </c>
      <c r="BD80" s="444">
        <f t="shared" si="40"/>
        <v>1108248.6272</v>
      </c>
      <c r="BE80" s="307">
        <v>15</v>
      </c>
      <c r="BF80" s="307">
        <v>81047</v>
      </c>
      <c r="BG80" s="445">
        <f t="shared" si="41"/>
        <v>994689.83100000001</v>
      </c>
      <c r="BH80" s="442">
        <v>9</v>
      </c>
      <c r="BI80" s="443">
        <v>67403</v>
      </c>
      <c r="BJ80" s="444">
        <f t="shared" si="42"/>
        <v>496342.21140000003</v>
      </c>
      <c r="BK80" s="307">
        <v>13</v>
      </c>
      <c r="BL80" s="307">
        <v>65579</v>
      </c>
      <c r="BM80" s="445">
        <f t="shared" si="43"/>
        <v>697537.59140000003</v>
      </c>
      <c r="BN80" s="442">
        <v>0</v>
      </c>
      <c r="BO80" s="443"/>
      <c r="BP80" s="444">
        <f t="shared" si="44"/>
        <v>0</v>
      </c>
      <c r="BQ80" s="307">
        <v>0</v>
      </c>
      <c r="BR80" s="307"/>
      <c r="BS80" s="445">
        <f t="shared" si="45"/>
        <v>0</v>
      </c>
      <c r="BT80" s="442"/>
      <c r="BU80" s="443"/>
      <c r="BV80" s="444">
        <f t="shared" si="46"/>
        <v>0</v>
      </c>
      <c r="BW80" s="307"/>
      <c r="BX80" s="307"/>
      <c r="BY80" s="449">
        <f t="shared" si="47"/>
        <v>0</v>
      </c>
    </row>
    <row r="81" spans="1:77" s="309" customFormat="1" ht="12.75" customHeight="1">
      <c r="A81" s="317" t="s">
        <v>339</v>
      </c>
      <c r="B81" s="393" t="s">
        <v>812</v>
      </c>
      <c r="C81" s="496" t="s">
        <v>1064</v>
      </c>
      <c r="D81" s="317">
        <v>130934</v>
      </c>
      <c r="E81" s="317">
        <v>4</v>
      </c>
      <c r="F81" s="453">
        <v>27</v>
      </c>
      <c r="G81" s="454">
        <v>82539</v>
      </c>
      <c r="H81" s="439">
        <f t="shared" si="24"/>
        <v>2228553</v>
      </c>
      <c r="I81" s="311">
        <v>20</v>
      </c>
      <c r="J81" s="311">
        <v>80156</v>
      </c>
      <c r="K81" s="441">
        <f t="shared" si="25"/>
        <v>1603120</v>
      </c>
      <c r="L81" s="442">
        <v>56</v>
      </c>
      <c r="M81" s="443">
        <v>67908</v>
      </c>
      <c r="N81" s="444">
        <f t="shared" si="26"/>
        <v>3802848</v>
      </c>
      <c r="O81" s="307">
        <v>62</v>
      </c>
      <c r="P81" s="307">
        <v>67605</v>
      </c>
      <c r="Q81" s="445">
        <f t="shared" si="27"/>
        <v>4191510</v>
      </c>
      <c r="R81" s="442">
        <v>48</v>
      </c>
      <c r="S81" s="443">
        <v>61894</v>
      </c>
      <c r="T81" s="444">
        <f t="shared" si="28"/>
        <v>2970912</v>
      </c>
      <c r="U81" s="306">
        <v>53</v>
      </c>
      <c r="V81" s="306">
        <v>61599</v>
      </c>
      <c r="W81" s="441">
        <f t="shared" si="29"/>
        <v>3264747</v>
      </c>
      <c r="X81" s="442">
        <v>3</v>
      </c>
      <c r="Y81" s="443">
        <v>45715</v>
      </c>
      <c r="Z81" s="444">
        <f t="shared" si="30"/>
        <v>137145</v>
      </c>
      <c r="AA81" s="307">
        <v>11</v>
      </c>
      <c r="AB81" s="307">
        <v>56856</v>
      </c>
      <c r="AC81" s="445">
        <f t="shared" si="31"/>
        <v>625416</v>
      </c>
      <c r="AD81" s="442">
        <v>1</v>
      </c>
      <c r="AE81" s="443">
        <v>38786</v>
      </c>
      <c r="AF81" s="444">
        <f t="shared" si="32"/>
        <v>38786</v>
      </c>
      <c r="AG81" s="307">
        <v>2</v>
      </c>
      <c r="AH81" s="307">
        <v>41893</v>
      </c>
      <c r="AI81" s="445">
        <f t="shared" si="33"/>
        <v>83786</v>
      </c>
      <c r="AJ81" s="446"/>
      <c r="AK81" s="443"/>
      <c r="AL81" s="444">
        <f t="shared" si="34"/>
        <v>0</v>
      </c>
      <c r="AM81" s="307"/>
      <c r="AN81" s="307"/>
      <c r="AO81" s="447">
        <f t="shared" si="35"/>
        <v>0</v>
      </c>
      <c r="AP81" s="448">
        <v>18</v>
      </c>
      <c r="AQ81" s="443">
        <v>98383</v>
      </c>
      <c r="AR81" s="444">
        <f t="shared" si="36"/>
        <v>1448945.4708</v>
      </c>
      <c r="AS81" s="307">
        <v>16</v>
      </c>
      <c r="AT81" s="307">
        <v>95348</v>
      </c>
      <c r="AU81" s="441">
        <f t="shared" si="37"/>
        <v>1248219.7376000001</v>
      </c>
      <c r="AV81" s="442">
        <v>24</v>
      </c>
      <c r="AW81" s="443">
        <v>68318</v>
      </c>
      <c r="AX81" s="444">
        <f t="shared" si="38"/>
        <v>1341546.9024</v>
      </c>
      <c r="AY81" s="307">
        <v>24</v>
      </c>
      <c r="AZ81" s="307">
        <v>69440</v>
      </c>
      <c r="BA81" s="445">
        <f t="shared" si="39"/>
        <v>1363579.392</v>
      </c>
      <c r="BB81" s="442">
        <v>12</v>
      </c>
      <c r="BC81" s="443">
        <v>61750</v>
      </c>
      <c r="BD81" s="444">
        <f t="shared" si="40"/>
        <v>606286.20000000007</v>
      </c>
      <c r="BE81" s="307">
        <v>10</v>
      </c>
      <c r="BF81" s="307">
        <v>61421</v>
      </c>
      <c r="BG81" s="445">
        <f t="shared" si="41"/>
        <v>502546.62200000003</v>
      </c>
      <c r="BH81" s="442">
        <v>1</v>
      </c>
      <c r="BI81" s="443">
        <v>75752</v>
      </c>
      <c r="BJ81" s="444">
        <f t="shared" si="42"/>
        <v>61980.286400000005</v>
      </c>
      <c r="BK81" s="307">
        <v>0</v>
      </c>
      <c r="BL81" s="307"/>
      <c r="BM81" s="445">
        <f t="shared" si="43"/>
        <v>0</v>
      </c>
      <c r="BN81" s="442"/>
      <c r="BO81" s="443"/>
      <c r="BP81" s="444">
        <f t="shared" si="44"/>
        <v>0</v>
      </c>
      <c r="BQ81" s="307"/>
      <c r="BR81" s="307"/>
      <c r="BS81" s="445">
        <f t="shared" si="45"/>
        <v>0</v>
      </c>
      <c r="BT81" s="442"/>
      <c r="BU81" s="443"/>
      <c r="BV81" s="444">
        <f t="shared" si="46"/>
        <v>0</v>
      </c>
      <c r="BW81" s="307"/>
      <c r="BX81" s="307"/>
      <c r="BY81" s="449">
        <f t="shared" si="47"/>
        <v>0</v>
      </c>
    </row>
    <row r="82" spans="1:77" s="309" customFormat="1" ht="12.75" customHeight="1">
      <c r="A82" s="317" t="s">
        <v>339</v>
      </c>
      <c r="B82" s="318" t="s">
        <v>813</v>
      </c>
      <c r="C82" s="318"/>
      <c r="D82" s="317">
        <v>130891</v>
      </c>
      <c r="E82" s="317">
        <v>9</v>
      </c>
      <c r="F82" s="453"/>
      <c r="G82" s="454"/>
      <c r="H82" s="439">
        <f t="shared" si="24"/>
        <v>0</v>
      </c>
      <c r="I82" s="311"/>
      <c r="J82" s="311"/>
      <c r="K82" s="441">
        <f t="shared" si="25"/>
        <v>0</v>
      </c>
      <c r="L82" s="442"/>
      <c r="M82" s="443"/>
      <c r="N82" s="444">
        <f t="shared" si="26"/>
        <v>0</v>
      </c>
      <c r="O82" s="307"/>
      <c r="P82" s="307"/>
      <c r="Q82" s="445">
        <f t="shared" si="27"/>
        <v>0</v>
      </c>
      <c r="R82" s="442"/>
      <c r="S82" s="443"/>
      <c r="T82" s="444">
        <f t="shared" si="28"/>
        <v>0</v>
      </c>
      <c r="U82" s="306"/>
      <c r="V82" s="306"/>
      <c r="W82" s="441">
        <f t="shared" si="29"/>
        <v>0</v>
      </c>
      <c r="X82" s="442"/>
      <c r="Y82" s="443"/>
      <c r="Z82" s="444">
        <f t="shared" si="30"/>
        <v>0</v>
      </c>
      <c r="AA82" s="307"/>
      <c r="AB82" s="307"/>
      <c r="AC82" s="445">
        <f t="shared" si="31"/>
        <v>0</v>
      </c>
      <c r="AD82" s="442"/>
      <c r="AE82" s="443"/>
      <c r="AF82" s="444">
        <f t="shared" si="32"/>
        <v>0</v>
      </c>
      <c r="AG82" s="307"/>
      <c r="AH82" s="307"/>
      <c r="AI82" s="445">
        <f t="shared" si="33"/>
        <v>0</v>
      </c>
      <c r="AJ82" s="446">
        <v>79</v>
      </c>
      <c r="AK82" s="443">
        <v>62461</v>
      </c>
      <c r="AL82" s="444">
        <f t="shared" si="34"/>
        <v>4934419</v>
      </c>
      <c r="AM82" s="307">
        <v>80</v>
      </c>
      <c r="AN82" s="307">
        <v>63759</v>
      </c>
      <c r="AO82" s="447">
        <f t="shared" si="35"/>
        <v>5100720</v>
      </c>
      <c r="AP82" s="448"/>
      <c r="AQ82" s="443"/>
      <c r="AR82" s="444">
        <f t="shared" si="36"/>
        <v>0</v>
      </c>
      <c r="AS82" s="307"/>
      <c r="AT82" s="307"/>
      <c r="AU82" s="441">
        <f t="shared" si="37"/>
        <v>0</v>
      </c>
      <c r="AV82" s="442"/>
      <c r="AW82" s="443"/>
      <c r="AX82" s="444">
        <f t="shared" si="38"/>
        <v>0</v>
      </c>
      <c r="AY82" s="307"/>
      <c r="AZ82" s="307"/>
      <c r="BA82" s="445">
        <f t="shared" si="39"/>
        <v>0</v>
      </c>
      <c r="BB82" s="442"/>
      <c r="BC82" s="443"/>
      <c r="BD82" s="444">
        <f t="shared" si="40"/>
        <v>0</v>
      </c>
      <c r="BE82" s="307"/>
      <c r="BF82" s="307"/>
      <c r="BG82" s="445">
        <f t="shared" si="41"/>
        <v>0</v>
      </c>
      <c r="BH82" s="442"/>
      <c r="BI82" s="443"/>
      <c r="BJ82" s="444">
        <f t="shared" si="42"/>
        <v>0</v>
      </c>
      <c r="BK82" s="307"/>
      <c r="BL82" s="307"/>
      <c r="BM82" s="445">
        <f t="shared" si="43"/>
        <v>0</v>
      </c>
      <c r="BN82" s="442"/>
      <c r="BO82" s="443"/>
      <c r="BP82" s="444">
        <f t="shared" si="44"/>
        <v>0</v>
      </c>
      <c r="BQ82" s="307"/>
      <c r="BR82" s="307"/>
      <c r="BS82" s="445">
        <f t="shared" si="45"/>
        <v>0</v>
      </c>
      <c r="BT82" s="442">
        <v>38</v>
      </c>
      <c r="BU82" s="443">
        <v>77857</v>
      </c>
      <c r="BV82" s="444">
        <f t="shared" si="46"/>
        <v>2420698.7012</v>
      </c>
      <c r="BW82" s="307">
        <v>41</v>
      </c>
      <c r="BX82" s="307">
        <v>77530</v>
      </c>
      <c r="BY82" s="449">
        <f t="shared" si="47"/>
        <v>2600836.8859999999</v>
      </c>
    </row>
    <row r="83" spans="1:77" s="309" customFormat="1" ht="12.75" customHeight="1">
      <c r="A83" s="317" t="s">
        <v>339</v>
      </c>
      <c r="B83" s="318" t="s">
        <v>814</v>
      </c>
      <c r="C83" s="497" t="s">
        <v>1075</v>
      </c>
      <c r="D83" s="317">
        <v>130916</v>
      </c>
      <c r="E83" s="317">
        <v>9</v>
      </c>
      <c r="F83" s="453"/>
      <c r="G83" s="454"/>
      <c r="H83" s="439">
        <f t="shared" si="24"/>
        <v>0</v>
      </c>
      <c r="I83" s="311"/>
      <c r="J83" s="311"/>
      <c r="K83" s="441">
        <f t="shared" si="25"/>
        <v>0</v>
      </c>
      <c r="L83" s="442"/>
      <c r="M83" s="443"/>
      <c r="N83" s="444">
        <f t="shared" si="26"/>
        <v>0</v>
      </c>
      <c r="O83" s="307"/>
      <c r="P83" s="307"/>
      <c r="Q83" s="445">
        <f t="shared" si="27"/>
        <v>0</v>
      </c>
      <c r="R83" s="442"/>
      <c r="S83" s="443"/>
      <c r="T83" s="444">
        <f t="shared" si="28"/>
        <v>0</v>
      </c>
      <c r="U83" s="306"/>
      <c r="V83" s="306"/>
      <c r="W83" s="441">
        <f t="shared" si="29"/>
        <v>0</v>
      </c>
      <c r="X83" s="442"/>
      <c r="Y83" s="443"/>
      <c r="Z83" s="444">
        <f t="shared" si="30"/>
        <v>0</v>
      </c>
      <c r="AA83" s="307"/>
      <c r="AB83" s="307"/>
      <c r="AC83" s="445">
        <f t="shared" si="31"/>
        <v>0</v>
      </c>
      <c r="AD83" s="442"/>
      <c r="AE83" s="443"/>
      <c r="AF83" s="444">
        <f t="shared" si="32"/>
        <v>0</v>
      </c>
      <c r="AG83" s="307"/>
      <c r="AH83" s="307"/>
      <c r="AI83" s="445">
        <f t="shared" si="33"/>
        <v>0</v>
      </c>
      <c r="AJ83" s="446">
        <v>131</v>
      </c>
      <c r="AK83" s="443">
        <v>62463</v>
      </c>
      <c r="AL83" s="444">
        <f t="shared" si="34"/>
        <v>8182653</v>
      </c>
      <c r="AM83" s="307">
        <v>134</v>
      </c>
      <c r="AN83" s="307">
        <v>63911</v>
      </c>
      <c r="AO83" s="447">
        <f t="shared" si="35"/>
        <v>8564074</v>
      </c>
      <c r="AP83" s="448"/>
      <c r="AQ83" s="443"/>
      <c r="AR83" s="444">
        <f t="shared" si="36"/>
        <v>0</v>
      </c>
      <c r="AS83" s="307"/>
      <c r="AT83" s="307"/>
      <c r="AU83" s="441">
        <f t="shared" si="37"/>
        <v>0</v>
      </c>
      <c r="AV83" s="442"/>
      <c r="AW83" s="443"/>
      <c r="AX83" s="444">
        <f t="shared" si="38"/>
        <v>0</v>
      </c>
      <c r="AY83" s="307"/>
      <c r="AZ83" s="307"/>
      <c r="BA83" s="445">
        <f t="shared" si="39"/>
        <v>0</v>
      </c>
      <c r="BB83" s="442"/>
      <c r="BC83" s="443"/>
      <c r="BD83" s="444">
        <f t="shared" si="40"/>
        <v>0</v>
      </c>
      <c r="BE83" s="307"/>
      <c r="BF83" s="307"/>
      <c r="BG83" s="445">
        <f t="shared" si="41"/>
        <v>0</v>
      </c>
      <c r="BH83" s="442"/>
      <c r="BI83" s="443"/>
      <c r="BJ83" s="444">
        <f t="shared" si="42"/>
        <v>0</v>
      </c>
      <c r="BK83" s="307"/>
      <c r="BL83" s="307"/>
      <c r="BM83" s="445">
        <f t="shared" si="43"/>
        <v>0</v>
      </c>
      <c r="BN83" s="442"/>
      <c r="BO83" s="443"/>
      <c r="BP83" s="444">
        <f t="shared" si="44"/>
        <v>0</v>
      </c>
      <c r="BQ83" s="307"/>
      <c r="BR83" s="307"/>
      <c r="BS83" s="445">
        <f t="shared" si="45"/>
        <v>0</v>
      </c>
      <c r="BT83" s="442">
        <v>47</v>
      </c>
      <c r="BU83" s="443">
        <v>78237</v>
      </c>
      <c r="BV83" s="444">
        <f t="shared" si="46"/>
        <v>3008635.1298000002</v>
      </c>
      <c r="BW83" s="307">
        <v>45</v>
      </c>
      <c r="BX83" s="307">
        <v>78306</v>
      </c>
      <c r="BY83" s="449">
        <f t="shared" si="47"/>
        <v>2883148.6140000001</v>
      </c>
    </row>
    <row r="84" spans="1:77" s="309" customFormat="1" ht="12.75" customHeight="1">
      <c r="A84" s="317" t="s">
        <v>339</v>
      </c>
      <c r="B84" s="319" t="s">
        <v>815</v>
      </c>
      <c r="C84" s="319"/>
      <c r="D84" s="317">
        <v>130907</v>
      </c>
      <c r="E84" s="317">
        <v>10</v>
      </c>
      <c r="F84" s="453"/>
      <c r="G84" s="454"/>
      <c r="H84" s="439">
        <f t="shared" si="24"/>
        <v>0</v>
      </c>
      <c r="I84" s="311"/>
      <c r="J84" s="311"/>
      <c r="K84" s="441">
        <f t="shared" si="25"/>
        <v>0</v>
      </c>
      <c r="L84" s="442"/>
      <c r="M84" s="443"/>
      <c r="N84" s="444">
        <f t="shared" si="26"/>
        <v>0</v>
      </c>
      <c r="O84" s="307"/>
      <c r="P84" s="307"/>
      <c r="Q84" s="445">
        <f t="shared" si="27"/>
        <v>0</v>
      </c>
      <c r="R84" s="442"/>
      <c r="S84" s="443"/>
      <c r="T84" s="444">
        <f t="shared" si="28"/>
        <v>0</v>
      </c>
      <c r="U84" s="306"/>
      <c r="V84" s="306"/>
      <c r="W84" s="441">
        <f t="shared" si="29"/>
        <v>0</v>
      </c>
      <c r="X84" s="442"/>
      <c r="Y84" s="443"/>
      <c r="Z84" s="444">
        <f t="shared" si="30"/>
        <v>0</v>
      </c>
      <c r="AA84" s="307"/>
      <c r="AB84" s="307"/>
      <c r="AC84" s="445">
        <f t="shared" si="31"/>
        <v>0</v>
      </c>
      <c r="AD84" s="442"/>
      <c r="AE84" s="443"/>
      <c r="AF84" s="444">
        <f t="shared" si="32"/>
        <v>0</v>
      </c>
      <c r="AG84" s="307"/>
      <c r="AH84" s="307"/>
      <c r="AI84" s="445">
        <f t="shared" si="33"/>
        <v>0</v>
      </c>
      <c r="AJ84" s="446">
        <v>60</v>
      </c>
      <c r="AK84" s="443">
        <v>61808</v>
      </c>
      <c r="AL84" s="444">
        <f t="shared" si="34"/>
        <v>3708480</v>
      </c>
      <c r="AM84" s="307">
        <v>60</v>
      </c>
      <c r="AN84" s="307">
        <v>63681</v>
      </c>
      <c r="AO84" s="447">
        <f t="shared" si="35"/>
        <v>3820860</v>
      </c>
      <c r="AP84" s="448"/>
      <c r="AQ84" s="443"/>
      <c r="AR84" s="444">
        <f t="shared" si="36"/>
        <v>0</v>
      </c>
      <c r="AS84" s="307"/>
      <c r="AT84" s="307"/>
      <c r="AU84" s="441">
        <f t="shared" si="37"/>
        <v>0</v>
      </c>
      <c r="AV84" s="442"/>
      <c r="AW84" s="443"/>
      <c r="AX84" s="444">
        <f t="shared" si="38"/>
        <v>0</v>
      </c>
      <c r="AY84" s="307"/>
      <c r="AZ84" s="307"/>
      <c r="BA84" s="445">
        <f t="shared" si="39"/>
        <v>0</v>
      </c>
      <c r="BB84" s="442"/>
      <c r="BC84" s="443"/>
      <c r="BD84" s="444">
        <f t="shared" si="40"/>
        <v>0</v>
      </c>
      <c r="BE84" s="307"/>
      <c r="BF84" s="307"/>
      <c r="BG84" s="445">
        <f t="shared" si="41"/>
        <v>0</v>
      </c>
      <c r="BH84" s="442"/>
      <c r="BI84" s="443"/>
      <c r="BJ84" s="444">
        <f t="shared" si="42"/>
        <v>0</v>
      </c>
      <c r="BK84" s="307"/>
      <c r="BL84" s="307"/>
      <c r="BM84" s="445">
        <f t="shared" si="43"/>
        <v>0</v>
      </c>
      <c r="BN84" s="442"/>
      <c r="BO84" s="443"/>
      <c r="BP84" s="444">
        <f t="shared" si="44"/>
        <v>0</v>
      </c>
      <c r="BQ84" s="307"/>
      <c r="BR84" s="307"/>
      <c r="BS84" s="445">
        <f t="shared" si="45"/>
        <v>0</v>
      </c>
      <c r="BT84" s="442">
        <v>21</v>
      </c>
      <c r="BU84" s="443">
        <v>78582</v>
      </c>
      <c r="BV84" s="444">
        <f t="shared" si="46"/>
        <v>1350211.6404000001</v>
      </c>
      <c r="BW84" s="307">
        <v>24</v>
      </c>
      <c r="BX84" s="307">
        <v>77979</v>
      </c>
      <c r="BY84" s="449">
        <f t="shared" si="47"/>
        <v>1531258.0272000001</v>
      </c>
    </row>
    <row r="85" spans="1:77" s="309" customFormat="1" ht="12.75" customHeight="1">
      <c r="A85" s="320" t="s">
        <v>347</v>
      </c>
      <c r="B85" s="498" t="s">
        <v>469</v>
      </c>
      <c r="C85" s="321"/>
      <c r="D85" s="322">
        <v>133951</v>
      </c>
      <c r="E85" s="323">
        <v>1</v>
      </c>
      <c r="F85" s="453">
        <v>192</v>
      </c>
      <c r="G85" s="454">
        <v>108693.78953125002</v>
      </c>
      <c r="H85" s="439">
        <f t="shared" si="24"/>
        <v>20869207.590000004</v>
      </c>
      <c r="I85" s="311">
        <v>198</v>
      </c>
      <c r="J85" s="311">
        <v>112485.42545454546</v>
      </c>
      <c r="K85" s="441">
        <f t="shared" si="25"/>
        <v>22272114.240000002</v>
      </c>
      <c r="L85" s="442">
        <v>250</v>
      </c>
      <c r="M85" s="443">
        <v>76961.629440000019</v>
      </c>
      <c r="N85" s="444">
        <f t="shared" si="26"/>
        <v>19240407.360000003</v>
      </c>
      <c r="O85" s="307">
        <v>248</v>
      </c>
      <c r="P85" s="307">
        <v>81294.390846774186</v>
      </c>
      <c r="Q85" s="445">
        <f t="shared" si="27"/>
        <v>20161008.93</v>
      </c>
      <c r="R85" s="442">
        <v>216</v>
      </c>
      <c r="S85" s="443">
        <v>72399.994444444455</v>
      </c>
      <c r="T85" s="444">
        <f t="shared" si="28"/>
        <v>15638398.800000003</v>
      </c>
      <c r="U85" s="306">
        <v>211</v>
      </c>
      <c r="V85" s="306">
        <v>73105.763270142183</v>
      </c>
      <c r="W85" s="441">
        <f t="shared" si="29"/>
        <v>15425316.050000001</v>
      </c>
      <c r="X85" s="442">
        <v>93</v>
      </c>
      <c r="Y85" s="443">
        <v>52911.172043010753</v>
      </c>
      <c r="Z85" s="444">
        <f t="shared" si="30"/>
        <v>4920739</v>
      </c>
      <c r="AA85" s="455">
        <v>111</v>
      </c>
      <c r="AB85" s="307">
        <v>53853.389009009006</v>
      </c>
      <c r="AC85" s="445">
        <f t="shared" si="31"/>
        <v>5977726.1799999997</v>
      </c>
      <c r="AD85" s="442">
        <v>41</v>
      </c>
      <c r="AE85" s="443">
        <v>60236.756097560974</v>
      </c>
      <c r="AF85" s="444">
        <f t="shared" si="32"/>
        <v>2469707</v>
      </c>
      <c r="AG85" s="455">
        <v>40</v>
      </c>
      <c r="AH85" s="308">
        <v>65280</v>
      </c>
      <c r="AI85" s="445">
        <f t="shared" si="33"/>
        <v>2611200</v>
      </c>
      <c r="AJ85" s="446"/>
      <c r="AK85" s="443"/>
      <c r="AL85" s="444">
        <f t="shared" si="34"/>
        <v>0</v>
      </c>
      <c r="AM85" s="307"/>
      <c r="AN85" s="307"/>
      <c r="AO85" s="447">
        <f t="shared" si="35"/>
        <v>0</v>
      </c>
      <c r="AP85" s="448">
        <v>15</v>
      </c>
      <c r="AQ85" s="443">
        <v>171217.99266666669</v>
      </c>
      <c r="AR85" s="444">
        <f t="shared" si="36"/>
        <v>2101358.4239980001</v>
      </c>
      <c r="AS85" s="455">
        <v>17</v>
      </c>
      <c r="AT85" s="307">
        <v>197040.34882352941</v>
      </c>
      <c r="AU85" s="441">
        <f t="shared" si="37"/>
        <v>2740713.0279259998</v>
      </c>
      <c r="AV85" s="442">
        <v>13</v>
      </c>
      <c r="AW85" s="443">
        <v>128350.01076923076</v>
      </c>
      <c r="AX85" s="444">
        <f t="shared" si="38"/>
        <v>1365207.7245479999</v>
      </c>
      <c r="AY85" s="455">
        <v>11</v>
      </c>
      <c r="AZ85" s="307">
        <v>119851.94545454545</v>
      </c>
      <c r="BA85" s="445">
        <f t="shared" si="39"/>
        <v>1078691.47948</v>
      </c>
      <c r="BB85" s="442">
        <v>6</v>
      </c>
      <c r="BC85" s="443">
        <v>100801.70666666667</v>
      </c>
      <c r="BD85" s="444">
        <f t="shared" si="40"/>
        <v>494855.73836800002</v>
      </c>
      <c r="BE85" s="455">
        <v>8</v>
      </c>
      <c r="BF85" s="307">
        <v>102716.58875</v>
      </c>
      <c r="BG85" s="445">
        <f t="shared" si="41"/>
        <v>672341.70332199999</v>
      </c>
      <c r="BH85" s="442">
        <v>7</v>
      </c>
      <c r="BI85" s="443">
        <v>92415.71</v>
      </c>
      <c r="BJ85" s="444">
        <f t="shared" si="42"/>
        <v>529301.73745400005</v>
      </c>
      <c r="BK85" s="455">
        <v>9</v>
      </c>
      <c r="BL85" s="308">
        <v>86410.183333333334</v>
      </c>
      <c r="BM85" s="445">
        <f t="shared" si="43"/>
        <v>636307.30803000007</v>
      </c>
      <c r="BN85" s="442">
        <v>8</v>
      </c>
      <c r="BO85" s="443">
        <v>78682.816250000003</v>
      </c>
      <c r="BP85" s="444">
        <f t="shared" si="44"/>
        <v>515026.24204600003</v>
      </c>
      <c r="BQ85" s="455">
        <v>7</v>
      </c>
      <c r="BR85" s="307">
        <v>88181.349999999991</v>
      </c>
      <c r="BS85" s="445">
        <f t="shared" si="45"/>
        <v>505049.86398999998</v>
      </c>
      <c r="BT85" s="442"/>
      <c r="BU85" s="443"/>
      <c r="BV85" s="444">
        <f t="shared" si="46"/>
        <v>0</v>
      </c>
      <c r="BW85" s="307"/>
      <c r="BX85" s="307"/>
      <c r="BY85" s="449">
        <f t="shared" si="47"/>
        <v>0</v>
      </c>
    </row>
    <row r="86" spans="1:77" s="309" customFormat="1" ht="12.75" customHeight="1">
      <c r="A86" s="320" t="s">
        <v>347</v>
      </c>
      <c r="B86" s="324" t="s">
        <v>465</v>
      </c>
      <c r="C86" s="324"/>
      <c r="D86" s="320">
        <v>134097</v>
      </c>
      <c r="E86" s="436">
        <v>1</v>
      </c>
      <c r="F86" s="453">
        <v>431</v>
      </c>
      <c r="G86" s="454">
        <v>103921.64965197215</v>
      </c>
      <c r="H86" s="439">
        <f t="shared" si="24"/>
        <v>44790231</v>
      </c>
      <c r="I86" s="311">
        <v>442</v>
      </c>
      <c r="J86" s="311">
        <v>103432.64027149322</v>
      </c>
      <c r="K86" s="441">
        <f t="shared" si="25"/>
        <v>45717227</v>
      </c>
      <c r="L86" s="442">
        <v>355</v>
      </c>
      <c r="M86" s="443">
        <v>72933.078873239443</v>
      </c>
      <c r="N86" s="444">
        <f t="shared" si="26"/>
        <v>25891243.000000004</v>
      </c>
      <c r="O86" s="307">
        <v>342</v>
      </c>
      <c r="P86" s="307">
        <v>73725.54678362573</v>
      </c>
      <c r="Q86" s="445">
        <f t="shared" si="27"/>
        <v>25214137</v>
      </c>
      <c r="R86" s="442">
        <v>273</v>
      </c>
      <c r="S86" s="443">
        <v>70818.593406593413</v>
      </c>
      <c r="T86" s="444">
        <f t="shared" si="28"/>
        <v>19333476</v>
      </c>
      <c r="U86" s="306">
        <v>239</v>
      </c>
      <c r="V86" s="306">
        <v>72372.456066945611</v>
      </c>
      <c r="W86" s="441">
        <f t="shared" si="29"/>
        <v>17297017</v>
      </c>
      <c r="X86" s="442">
        <v>8</v>
      </c>
      <c r="Y86" s="443">
        <v>36474</v>
      </c>
      <c r="Z86" s="444">
        <f t="shared" si="30"/>
        <v>291792</v>
      </c>
      <c r="AA86" s="455">
        <v>4</v>
      </c>
      <c r="AB86" s="307">
        <v>34267.5</v>
      </c>
      <c r="AC86" s="445">
        <f t="shared" si="31"/>
        <v>137070</v>
      </c>
      <c r="AD86" s="442">
        <v>122</v>
      </c>
      <c r="AE86" s="443">
        <v>52600.918030000001</v>
      </c>
      <c r="AF86" s="444">
        <f t="shared" si="32"/>
        <v>6417311.9996600002</v>
      </c>
      <c r="AG86" s="455">
        <v>117</v>
      </c>
      <c r="AH86" s="308">
        <v>52866.837606837609</v>
      </c>
      <c r="AI86" s="445">
        <f t="shared" si="33"/>
        <v>6185420</v>
      </c>
      <c r="AJ86" s="446"/>
      <c r="AK86" s="443"/>
      <c r="AL86" s="444">
        <f t="shared" si="34"/>
        <v>0</v>
      </c>
      <c r="AM86" s="307"/>
      <c r="AN86" s="307"/>
      <c r="AO86" s="447">
        <f t="shared" si="35"/>
        <v>0</v>
      </c>
      <c r="AP86" s="448">
        <v>4</v>
      </c>
      <c r="AQ86" s="443">
        <v>163413.5</v>
      </c>
      <c r="AR86" s="444">
        <f t="shared" si="36"/>
        <v>534819.70279999997</v>
      </c>
      <c r="AS86" s="455">
        <v>5</v>
      </c>
      <c r="AT86" s="307">
        <v>149330.79999999999</v>
      </c>
      <c r="AU86" s="441">
        <f t="shared" si="37"/>
        <v>610912.30280000006</v>
      </c>
      <c r="AV86" s="442">
        <v>1</v>
      </c>
      <c r="AW86" s="443">
        <v>123020</v>
      </c>
      <c r="AX86" s="444">
        <f t="shared" si="38"/>
        <v>100654.96400000001</v>
      </c>
      <c r="AY86" s="455"/>
      <c r="AZ86" s="307"/>
      <c r="BA86" s="445">
        <f t="shared" si="39"/>
        <v>0</v>
      </c>
      <c r="BB86" s="442">
        <v>1</v>
      </c>
      <c r="BC86" s="443">
        <v>65000</v>
      </c>
      <c r="BD86" s="444">
        <f t="shared" si="40"/>
        <v>53183</v>
      </c>
      <c r="BE86" s="455">
        <v>1</v>
      </c>
      <c r="BF86" s="307">
        <v>66000</v>
      </c>
      <c r="BG86" s="445">
        <f t="shared" si="41"/>
        <v>54001.200000000004</v>
      </c>
      <c r="BH86" s="442"/>
      <c r="BI86" s="443"/>
      <c r="BJ86" s="444">
        <f t="shared" si="42"/>
        <v>0</v>
      </c>
      <c r="BK86" s="455">
        <v>1</v>
      </c>
      <c r="BL86" s="308">
        <v>36000</v>
      </c>
      <c r="BM86" s="445">
        <f t="shared" si="43"/>
        <v>29455.200000000001</v>
      </c>
      <c r="BN86" s="442">
        <v>98</v>
      </c>
      <c r="BO86" s="443">
        <v>67709.806122448979</v>
      </c>
      <c r="BP86" s="444">
        <f t="shared" si="44"/>
        <v>5429216.0102000004</v>
      </c>
      <c r="BQ86" s="455">
        <v>97</v>
      </c>
      <c r="BR86" s="307">
        <v>67485.47422680413</v>
      </c>
      <c r="BS86" s="445">
        <f t="shared" si="45"/>
        <v>5356011.656200001</v>
      </c>
      <c r="BT86" s="442"/>
      <c r="BU86" s="443"/>
      <c r="BV86" s="444">
        <f t="shared" si="46"/>
        <v>0</v>
      </c>
      <c r="BW86" s="307"/>
      <c r="BX86" s="307"/>
      <c r="BY86" s="449">
        <f t="shared" si="47"/>
        <v>0</v>
      </c>
    </row>
    <row r="87" spans="1:77" s="309" customFormat="1" ht="12.75" customHeight="1">
      <c r="A87" s="320" t="s">
        <v>347</v>
      </c>
      <c r="B87" s="321" t="s">
        <v>470</v>
      </c>
      <c r="C87" s="321"/>
      <c r="D87" s="320">
        <v>132903</v>
      </c>
      <c r="E87" s="320">
        <v>1</v>
      </c>
      <c r="F87" s="453">
        <v>196</v>
      </c>
      <c r="G87" s="454">
        <v>111081.27040816327</v>
      </c>
      <c r="H87" s="439">
        <f t="shared" si="24"/>
        <v>21771929</v>
      </c>
      <c r="I87" s="311">
        <v>200</v>
      </c>
      <c r="J87" s="311">
        <v>111912.2</v>
      </c>
      <c r="K87" s="441">
        <f t="shared" si="25"/>
        <v>22382440</v>
      </c>
      <c r="L87" s="442">
        <v>301</v>
      </c>
      <c r="M87" s="443">
        <v>76171.953488372092</v>
      </c>
      <c r="N87" s="444">
        <f t="shared" si="26"/>
        <v>22927758</v>
      </c>
      <c r="O87" s="307">
        <v>296</v>
      </c>
      <c r="P87" s="307">
        <v>76835.138513513521</v>
      </c>
      <c r="Q87" s="445">
        <f t="shared" si="27"/>
        <v>22743201.000000004</v>
      </c>
      <c r="R87" s="442">
        <v>200</v>
      </c>
      <c r="S87" s="443">
        <v>64463.945</v>
      </c>
      <c r="T87" s="444">
        <f t="shared" si="28"/>
        <v>12892789</v>
      </c>
      <c r="U87" s="306">
        <v>198</v>
      </c>
      <c r="V87" s="306">
        <v>63603.984848484848</v>
      </c>
      <c r="W87" s="441">
        <f t="shared" si="29"/>
        <v>12593589</v>
      </c>
      <c r="X87" s="442">
        <v>225</v>
      </c>
      <c r="Y87" s="443">
        <v>44494.897777777776</v>
      </c>
      <c r="Z87" s="444">
        <f t="shared" si="30"/>
        <v>10011352</v>
      </c>
      <c r="AA87" s="455">
        <v>256</v>
      </c>
      <c r="AB87" s="307">
        <v>44946.38671875</v>
      </c>
      <c r="AC87" s="445">
        <f t="shared" si="31"/>
        <v>11506275</v>
      </c>
      <c r="AD87" s="442">
        <v>54</v>
      </c>
      <c r="AE87" s="443">
        <v>56036.555555555555</v>
      </c>
      <c r="AF87" s="444">
        <f t="shared" si="32"/>
        <v>3025974</v>
      </c>
      <c r="AG87" s="455">
        <v>62</v>
      </c>
      <c r="AH87" s="308">
        <v>56754.661290322583</v>
      </c>
      <c r="AI87" s="445">
        <f t="shared" si="33"/>
        <v>3518789</v>
      </c>
      <c r="AJ87" s="446"/>
      <c r="AK87" s="443"/>
      <c r="AL87" s="444">
        <f t="shared" si="34"/>
        <v>0</v>
      </c>
      <c r="AM87" s="307"/>
      <c r="AN87" s="307"/>
      <c r="AO87" s="447">
        <f t="shared" si="35"/>
        <v>0</v>
      </c>
      <c r="AP87" s="448">
        <v>48</v>
      </c>
      <c r="AQ87" s="443">
        <v>165258.5625</v>
      </c>
      <c r="AR87" s="444">
        <f t="shared" si="36"/>
        <v>6490298.6802000003</v>
      </c>
      <c r="AS87" s="455">
        <v>46</v>
      </c>
      <c r="AT87" s="307">
        <v>163851.17391304349</v>
      </c>
      <c r="AU87" s="441">
        <f t="shared" si="37"/>
        <v>6166899.4028000003</v>
      </c>
      <c r="AV87" s="442">
        <v>15</v>
      </c>
      <c r="AW87" s="443">
        <v>120800</v>
      </c>
      <c r="AX87" s="444">
        <f t="shared" si="38"/>
        <v>1482578.4000000001</v>
      </c>
      <c r="AY87" s="455">
        <v>19</v>
      </c>
      <c r="AZ87" s="307">
        <v>132341.31578947368</v>
      </c>
      <c r="BA87" s="445">
        <f t="shared" si="39"/>
        <v>2057351.6270000001</v>
      </c>
      <c r="BB87" s="442">
        <v>5</v>
      </c>
      <c r="BC87" s="443">
        <v>110683</v>
      </c>
      <c r="BD87" s="444">
        <f t="shared" si="40"/>
        <v>452804.15300000005</v>
      </c>
      <c r="BE87" s="455">
        <v>11</v>
      </c>
      <c r="BF87" s="307">
        <v>132597.27272727274</v>
      </c>
      <c r="BG87" s="445">
        <f t="shared" si="41"/>
        <v>1193401.9740000002</v>
      </c>
      <c r="BH87" s="442">
        <v>50</v>
      </c>
      <c r="BI87" s="443">
        <v>60172.04</v>
      </c>
      <c r="BJ87" s="444">
        <f t="shared" si="42"/>
        <v>2461638.1564000002</v>
      </c>
      <c r="BK87" s="455">
        <v>54</v>
      </c>
      <c r="BL87" s="308">
        <v>58996.592592592591</v>
      </c>
      <c r="BM87" s="445">
        <f t="shared" si="43"/>
        <v>2606634.6512000002</v>
      </c>
      <c r="BN87" s="442">
        <v>3</v>
      </c>
      <c r="BO87" s="443">
        <v>96525.333333333328</v>
      </c>
      <c r="BP87" s="444">
        <f t="shared" si="44"/>
        <v>236931.08320000002</v>
      </c>
      <c r="BQ87" s="455">
        <v>3</v>
      </c>
      <c r="BR87" s="307">
        <v>97050</v>
      </c>
      <c r="BS87" s="445">
        <f t="shared" si="45"/>
        <v>238218.93000000002</v>
      </c>
      <c r="BT87" s="442"/>
      <c r="BU87" s="443"/>
      <c r="BV87" s="444">
        <f t="shared" si="46"/>
        <v>0</v>
      </c>
      <c r="BW87" s="307"/>
      <c r="BX87" s="307"/>
      <c r="BY87" s="449">
        <f t="shared" si="47"/>
        <v>0</v>
      </c>
    </row>
    <row r="88" spans="1:77" s="309" customFormat="1" ht="12.75" customHeight="1">
      <c r="A88" s="320" t="s">
        <v>347</v>
      </c>
      <c r="B88" s="324" t="s">
        <v>466</v>
      </c>
      <c r="C88" s="324"/>
      <c r="D88" s="320">
        <v>134130</v>
      </c>
      <c r="E88" s="436">
        <v>1</v>
      </c>
      <c r="F88" s="453">
        <v>479</v>
      </c>
      <c r="G88" s="454">
        <v>120227.46822546973</v>
      </c>
      <c r="H88" s="439">
        <f t="shared" si="24"/>
        <v>57588957.280000001</v>
      </c>
      <c r="I88" s="311">
        <v>470</v>
      </c>
      <c r="J88" s="311">
        <v>125476.27234042554</v>
      </c>
      <c r="K88" s="441">
        <f t="shared" si="25"/>
        <v>58973848</v>
      </c>
      <c r="L88" s="442">
        <v>407</v>
      </c>
      <c r="M88" s="443">
        <v>76289.744447174453</v>
      </c>
      <c r="N88" s="444">
        <f t="shared" si="26"/>
        <v>31049925.990000002</v>
      </c>
      <c r="O88" s="307">
        <v>418</v>
      </c>
      <c r="P88" s="307">
        <v>81057.363636363632</v>
      </c>
      <c r="Q88" s="445">
        <f t="shared" si="27"/>
        <v>33881978</v>
      </c>
      <c r="R88" s="442">
        <v>285</v>
      </c>
      <c r="S88" s="443">
        <v>67276.11922807018</v>
      </c>
      <c r="T88" s="444">
        <f t="shared" si="28"/>
        <v>19173693.98</v>
      </c>
      <c r="U88" s="306">
        <v>282</v>
      </c>
      <c r="V88" s="306">
        <v>73116.907801418434</v>
      </c>
      <c r="W88" s="441">
        <f t="shared" si="29"/>
        <v>20618968</v>
      </c>
      <c r="X88" s="442"/>
      <c r="Y88" s="443"/>
      <c r="Z88" s="444">
        <f t="shared" si="30"/>
        <v>0</v>
      </c>
      <c r="AA88" s="455"/>
      <c r="AB88" s="307"/>
      <c r="AC88" s="445">
        <f t="shared" si="31"/>
        <v>0</v>
      </c>
      <c r="AD88" s="442">
        <v>126</v>
      </c>
      <c r="AE88" s="443">
        <v>53823.490476190484</v>
      </c>
      <c r="AF88" s="444">
        <f t="shared" si="32"/>
        <v>6781759.8000000007</v>
      </c>
      <c r="AG88" s="455">
        <v>133</v>
      </c>
      <c r="AH88" s="308">
        <v>56910.977443609023</v>
      </c>
      <c r="AI88" s="445">
        <f t="shared" si="33"/>
        <v>7569160</v>
      </c>
      <c r="AJ88" s="446"/>
      <c r="AK88" s="443"/>
      <c r="AL88" s="444">
        <f t="shared" si="34"/>
        <v>0</v>
      </c>
      <c r="AM88" s="307"/>
      <c r="AN88" s="307"/>
      <c r="AO88" s="447">
        <f t="shared" si="35"/>
        <v>0</v>
      </c>
      <c r="AP88" s="448">
        <v>224</v>
      </c>
      <c r="AQ88" s="443">
        <v>134746.18758928572</v>
      </c>
      <c r="AR88" s="444">
        <f t="shared" si="36"/>
        <v>24695850.073564004</v>
      </c>
      <c r="AS88" s="455">
        <v>219</v>
      </c>
      <c r="AT88" s="307">
        <v>140314.27397260274</v>
      </c>
      <c r="AU88" s="441">
        <f t="shared" si="37"/>
        <v>25142325.433200002</v>
      </c>
      <c r="AV88" s="442">
        <v>167</v>
      </c>
      <c r="AW88" s="443">
        <v>90130.382874251489</v>
      </c>
      <c r="AX88" s="444">
        <f t="shared" si="38"/>
        <v>12315361.437708</v>
      </c>
      <c r="AY88" s="455">
        <v>171</v>
      </c>
      <c r="AZ88" s="307">
        <v>94579.233918128652</v>
      </c>
      <c r="BA88" s="445">
        <f t="shared" si="39"/>
        <v>13232788.6918</v>
      </c>
      <c r="BB88" s="442">
        <v>236</v>
      </c>
      <c r="BC88" s="443">
        <v>73149.077076271191</v>
      </c>
      <c r="BD88" s="444">
        <f t="shared" si="40"/>
        <v>14124735.667858001</v>
      </c>
      <c r="BE88" s="455">
        <v>232</v>
      </c>
      <c r="BF88" s="307">
        <v>76558.625</v>
      </c>
      <c r="BG88" s="445">
        <f t="shared" si="41"/>
        <v>14532541.938200001</v>
      </c>
      <c r="BH88" s="442"/>
      <c r="BI88" s="443"/>
      <c r="BJ88" s="444">
        <f t="shared" si="42"/>
        <v>0</v>
      </c>
      <c r="BK88" s="455"/>
      <c r="BL88" s="308"/>
      <c r="BM88" s="445">
        <f t="shared" si="43"/>
        <v>0</v>
      </c>
      <c r="BN88" s="442">
        <v>63</v>
      </c>
      <c r="BO88" s="443">
        <v>72821.151587301589</v>
      </c>
      <c r="BP88" s="444">
        <f t="shared" si="44"/>
        <v>3753682.7724100002</v>
      </c>
      <c r="BQ88" s="455">
        <v>67</v>
      </c>
      <c r="BR88" s="307">
        <v>75887.507462686568</v>
      </c>
      <c r="BS88" s="445">
        <f t="shared" si="45"/>
        <v>4160107.6266000001</v>
      </c>
      <c r="BT88" s="442"/>
      <c r="BU88" s="443"/>
      <c r="BV88" s="444">
        <f t="shared" si="46"/>
        <v>0</v>
      </c>
      <c r="BW88" s="307"/>
      <c r="BX88" s="307"/>
      <c r="BY88" s="449">
        <f t="shared" si="47"/>
        <v>0</v>
      </c>
    </row>
    <row r="89" spans="1:77" s="309" customFormat="1" ht="12.75" customHeight="1">
      <c r="A89" s="320" t="s">
        <v>347</v>
      </c>
      <c r="B89" s="324" t="s">
        <v>467</v>
      </c>
      <c r="C89" s="324"/>
      <c r="D89" s="320">
        <v>137351</v>
      </c>
      <c r="E89" s="436">
        <v>1</v>
      </c>
      <c r="F89" s="453">
        <v>265</v>
      </c>
      <c r="G89" s="454">
        <v>107116.69056603774</v>
      </c>
      <c r="H89" s="439">
        <f t="shared" si="24"/>
        <v>28385923</v>
      </c>
      <c r="I89" s="311">
        <v>279</v>
      </c>
      <c r="J89" s="311">
        <v>108733.74551971327</v>
      </c>
      <c r="K89" s="441">
        <f t="shared" si="25"/>
        <v>30336715</v>
      </c>
      <c r="L89" s="442">
        <v>313</v>
      </c>
      <c r="M89" s="443">
        <v>77028.993610223639</v>
      </c>
      <c r="N89" s="444">
        <f t="shared" si="26"/>
        <v>24110075</v>
      </c>
      <c r="O89" s="307">
        <v>316</v>
      </c>
      <c r="P89" s="307">
        <v>77253.465189873416</v>
      </c>
      <c r="Q89" s="445">
        <f t="shared" si="27"/>
        <v>24412095</v>
      </c>
      <c r="R89" s="442">
        <v>307</v>
      </c>
      <c r="S89" s="443">
        <v>66074.807947882728</v>
      </c>
      <c r="T89" s="444">
        <f t="shared" si="28"/>
        <v>20284966.039999999</v>
      </c>
      <c r="U89" s="306">
        <v>311</v>
      </c>
      <c r="V89" s="306">
        <v>67640.816720257237</v>
      </c>
      <c r="W89" s="441">
        <f t="shared" si="29"/>
        <v>21036294</v>
      </c>
      <c r="X89" s="442">
        <v>132</v>
      </c>
      <c r="Y89" s="443">
        <v>53263.909090909088</v>
      </c>
      <c r="Z89" s="444">
        <f t="shared" si="30"/>
        <v>7030836</v>
      </c>
      <c r="AA89" s="455">
        <v>147</v>
      </c>
      <c r="AB89" s="307">
        <v>53529.394557823129</v>
      </c>
      <c r="AC89" s="445">
        <f t="shared" si="31"/>
        <v>7868821</v>
      </c>
      <c r="AD89" s="442">
        <v>14</v>
      </c>
      <c r="AE89" s="443">
        <v>54160.5</v>
      </c>
      <c r="AF89" s="444">
        <f t="shared" si="32"/>
        <v>758247</v>
      </c>
      <c r="AG89" s="455">
        <v>9</v>
      </c>
      <c r="AH89" s="308">
        <v>52629.111111111109</v>
      </c>
      <c r="AI89" s="445">
        <f t="shared" si="33"/>
        <v>473662</v>
      </c>
      <c r="AJ89" s="446"/>
      <c r="AK89" s="443"/>
      <c r="AL89" s="444">
        <f t="shared" si="34"/>
        <v>0</v>
      </c>
      <c r="AM89" s="307"/>
      <c r="AN89" s="307"/>
      <c r="AO89" s="447">
        <f t="shared" si="35"/>
        <v>0</v>
      </c>
      <c r="AP89" s="448">
        <v>71</v>
      </c>
      <c r="AQ89" s="443">
        <v>130444.14084507042</v>
      </c>
      <c r="AR89" s="444">
        <f t="shared" si="36"/>
        <v>7577787.1188000003</v>
      </c>
      <c r="AS89" s="455">
        <v>68</v>
      </c>
      <c r="AT89" s="307">
        <v>134360.66176470587</v>
      </c>
      <c r="AU89" s="441">
        <f t="shared" si="37"/>
        <v>7475504.7549999999</v>
      </c>
      <c r="AV89" s="442">
        <v>48</v>
      </c>
      <c r="AW89" s="443">
        <v>93584.041666666672</v>
      </c>
      <c r="AX89" s="444">
        <f t="shared" si="38"/>
        <v>3675382.2188000004</v>
      </c>
      <c r="AY89" s="455">
        <v>55</v>
      </c>
      <c r="AZ89" s="307">
        <v>95552.654545454541</v>
      </c>
      <c r="BA89" s="445">
        <f t="shared" si="39"/>
        <v>4299965.0071999999</v>
      </c>
      <c r="BB89" s="442">
        <v>57</v>
      </c>
      <c r="BC89" s="443">
        <v>76842.578947368427</v>
      </c>
      <c r="BD89" s="444">
        <f t="shared" si="40"/>
        <v>3583738.0914000003</v>
      </c>
      <c r="BE89" s="455">
        <v>53</v>
      </c>
      <c r="BF89" s="307">
        <v>76724.75471698113</v>
      </c>
      <c r="BG89" s="445">
        <f t="shared" si="41"/>
        <v>3327138.2984000002</v>
      </c>
      <c r="BH89" s="442">
        <v>83</v>
      </c>
      <c r="BI89" s="443">
        <v>58307.674698795177</v>
      </c>
      <c r="BJ89" s="444">
        <f t="shared" si="42"/>
        <v>3959709.1734000002</v>
      </c>
      <c r="BK89" s="455">
        <v>77</v>
      </c>
      <c r="BL89" s="308">
        <v>58835.038961038961</v>
      </c>
      <c r="BM89" s="445">
        <f t="shared" si="43"/>
        <v>3706689.8236000002</v>
      </c>
      <c r="BN89" s="442">
        <v>2</v>
      </c>
      <c r="BO89" s="443">
        <v>58939.5</v>
      </c>
      <c r="BP89" s="444">
        <f t="shared" si="44"/>
        <v>96448.597800000003</v>
      </c>
      <c r="BQ89" s="455">
        <v>2</v>
      </c>
      <c r="BR89" s="307">
        <v>59807</v>
      </c>
      <c r="BS89" s="445">
        <f t="shared" si="45"/>
        <v>97868.174800000008</v>
      </c>
      <c r="BT89" s="442"/>
      <c r="BU89" s="443"/>
      <c r="BV89" s="444">
        <f t="shared" si="46"/>
        <v>0</v>
      </c>
      <c r="BW89" s="307"/>
      <c r="BX89" s="307"/>
      <c r="BY89" s="449">
        <f t="shared" si="47"/>
        <v>0</v>
      </c>
    </row>
    <row r="90" spans="1:77" s="309" customFormat="1" ht="12.75" customHeight="1">
      <c r="A90" s="320" t="s">
        <v>347</v>
      </c>
      <c r="B90" s="324" t="s">
        <v>468</v>
      </c>
      <c r="C90" s="324"/>
      <c r="D90" s="320">
        <v>133669</v>
      </c>
      <c r="E90" s="436">
        <v>2</v>
      </c>
      <c r="F90" s="453">
        <v>193</v>
      </c>
      <c r="G90" s="454">
        <v>91885.8056476684</v>
      </c>
      <c r="H90" s="439">
        <f t="shared" si="24"/>
        <v>17733960.490000002</v>
      </c>
      <c r="I90" s="311">
        <v>189</v>
      </c>
      <c r="J90" s="311">
        <v>96491.153439153437</v>
      </c>
      <c r="K90" s="441">
        <f t="shared" si="25"/>
        <v>18236828</v>
      </c>
      <c r="L90" s="442">
        <v>217</v>
      </c>
      <c r="M90" s="443">
        <v>70788.164147465461</v>
      </c>
      <c r="N90" s="444">
        <f t="shared" si="26"/>
        <v>15361031.620000005</v>
      </c>
      <c r="O90" s="307">
        <v>216</v>
      </c>
      <c r="P90" s="307">
        <v>72057.481481481474</v>
      </c>
      <c r="Q90" s="445">
        <f t="shared" si="27"/>
        <v>15564415.999999998</v>
      </c>
      <c r="R90" s="442">
        <v>172</v>
      </c>
      <c r="S90" s="443">
        <v>62203.706453488383</v>
      </c>
      <c r="T90" s="444">
        <f t="shared" si="28"/>
        <v>10699037.510000002</v>
      </c>
      <c r="U90" s="306">
        <v>160</v>
      </c>
      <c r="V90" s="306">
        <v>64214.393750000003</v>
      </c>
      <c r="W90" s="441">
        <f t="shared" si="29"/>
        <v>10274303</v>
      </c>
      <c r="X90" s="442">
        <v>138</v>
      </c>
      <c r="Y90" s="443">
        <v>44021.462028985508</v>
      </c>
      <c r="Z90" s="444">
        <f t="shared" si="30"/>
        <v>6074961.7599999998</v>
      </c>
      <c r="AA90" s="455">
        <v>152</v>
      </c>
      <c r="AB90" s="307">
        <v>46307.21710526316</v>
      </c>
      <c r="AC90" s="445">
        <f t="shared" si="31"/>
        <v>7038697</v>
      </c>
      <c r="AD90" s="442">
        <v>2</v>
      </c>
      <c r="AE90" s="443">
        <v>49873.66</v>
      </c>
      <c r="AF90" s="444">
        <f t="shared" si="32"/>
        <v>99747.32</v>
      </c>
      <c r="AG90" s="455">
        <v>2</v>
      </c>
      <c r="AH90" s="308">
        <v>50924.5</v>
      </c>
      <c r="AI90" s="445">
        <f t="shared" si="33"/>
        <v>101849</v>
      </c>
      <c r="AJ90" s="446"/>
      <c r="AK90" s="443"/>
      <c r="AL90" s="444">
        <f t="shared" si="34"/>
        <v>0</v>
      </c>
      <c r="AM90" s="307"/>
      <c r="AN90" s="307"/>
      <c r="AO90" s="447">
        <f t="shared" si="35"/>
        <v>0</v>
      </c>
      <c r="AP90" s="448">
        <v>5</v>
      </c>
      <c r="AQ90" s="443">
        <v>128613.65400000001</v>
      </c>
      <c r="AR90" s="444">
        <f t="shared" si="36"/>
        <v>526158.45851400006</v>
      </c>
      <c r="AS90" s="455">
        <v>4</v>
      </c>
      <c r="AT90" s="307">
        <v>128481.25</v>
      </c>
      <c r="AU90" s="441">
        <f t="shared" si="37"/>
        <v>420493.435</v>
      </c>
      <c r="AV90" s="442">
        <v>16</v>
      </c>
      <c r="AW90" s="443">
        <v>89270.108124999999</v>
      </c>
      <c r="AX90" s="444">
        <f t="shared" si="38"/>
        <v>1168652.8394860001</v>
      </c>
      <c r="AY90" s="455">
        <v>14</v>
      </c>
      <c r="AZ90" s="307">
        <v>94300.28571428571</v>
      </c>
      <c r="BA90" s="445">
        <f t="shared" si="39"/>
        <v>1080190.9128</v>
      </c>
      <c r="BB90" s="442">
        <v>5</v>
      </c>
      <c r="BC90" s="443">
        <v>70468.542000000001</v>
      </c>
      <c r="BD90" s="444">
        <f t="shared" si="40"/>
        <v>288286.80532200006</v>
      </c>
      <c r="BE90" s="455">
        <v>6</v>
      </c>
      <c r="BF90" s="307">
        <v>72221</v>
      </c>
      <c r="BG90" s="445">
        <f t="shared" si="41"/>
        <v>354547.33319999999</v>
      </c>
      <c r="BH90" s="442">
        <v>29</v>
      </c>
      <c r="BI90" s="443">
        <v>62288.638965517239</v>
      </c>
      <c r="BJ90" s="444">
        <f t="shared" si="42"/>
        <v>1477972.3676460001</v>
      </c>
      <c r="BK90" s="455">
        <v>30</v>
      </c>
      <c r="BL90" s="308">
        <v>67658.2</v>
      </c>
      <c r="BM90" s="445">
        <f t="shared" si="43"/>
        <v>1660738.1772</v>
      </c>
      <c r="BN90" s="442">
        <v>2</v>
      </c>
      <c r="BO90" s="443">
        <v>82480.264999999999</v>
      </c>
      <c r="BP90" s="444">
        <f t="shared" si="44"/>
        <v>134970.70564600002</v>
      </c>
      <c r="BQ90" s="455">
        <v>1</v>
      </c>
      <c r="BR90" s="307">
        <v>72157</v>
      </c>
      <c r="BS90" s="445">
        <f t="shared" si="45"/>
        <v>59038.857400000001</v>
      </c>
      <c r="BT90" s="442"/>
      <c r="BU90" s="443"/>
      <c r="BV90" s="444">
        <f t="shared" si="46"/>
        <v>0</v>
      </c>
      <c r="BW90" s="307"/>
      <c r="BX90" s="307"/>
      <c r="BY90" s="449">
        <f t="shared" si="47"/>
        <v>0</v>
      </c>
    </row>
    <row r="91" spans="1:77" s="309" customFormat="1" ht="12.75" customHeight="1">
      <c r="A91" s="320" t="s">
        <v>347</v>
      </c>
      <c r="B91" s="324" t="s">
        <v>471</v>
      </c>
      <c r="C91" s="324"/>
      <c r="D91" s="320">
        <v>133650</v>
      </c>
      <c r="E91" s="436">
        <v>3</v>
      </c>
      <c r="F91" s="453">
        <v>89</v>
      </c>
      <c r="G91" s="454">
        <v>85846.842696629217</v>
      </c>
      <c r="H91" s="439">
        <f t="shared" si="24"/>
        <v>7640369</v>
      </c>
      <c r="I91" s="311">
        <v>85</v>
      </c>
      <c r="J91" s="311">
        <v>87729.623529411765</v>
      </c>
      <c r="K91" s="441">
        <f t="shared" si="25"/>
        <v>7457018</v>
      </c>
      <c r="L91" s="442">
        <v>121</v>
      </c>
      <c r="M91" s="443">
        <v>71196.760330578516</v>
      </c>
      <c r="N91" s="444">
        <f t="shared" si="26"/>
        <v>8614808</v>
      </c>
      <c r="O91" s="307">
        <v>124</v>
      </c>
      <c r="P91" s="307">
        <v>72496.661290322576</v>
      </c>
      <c r="Q91" s="445">
        <f t="shared" si="27"/>
        <v>8989586</v>
      </c>
      <c r="R91" s="442">
        <v>120</v>
      </c>
      <c r="S91" s="443">
        <v>60400.05</v>
      </c>
      <c r="T91" s="444">
        <f t="shared" si="28"/>
        <v>7248006</v>
      </c>
      <c r="U91" s="306">
        <v>114</v>
      </c>
      <c r="V91" s="306">
        <v>61973.973684210527</v>
      </c>
      <c r="W91" s="441">
        <f t="shared" si="29"/>
        <v>7065033</v>
      </c>
      <c r="X91" s="442">
        <v>45</v>
      </c>
      <c r="Y91" s="443">
        <v>53821.933333333334</v>
      </c>
      <c r="Z91" s="444">
        <f t="shared" si="30"/>
        <v>2421987</v>
      </c>
      <c r="AA91" s="455">
        <v>42</v>
      </c>
      <c r="AB91" s="307">
        <v>52771.214285714283</v>
      </c>
      <c r="AC91" s="445">
        <f t="shared" si="31"/>
        <v>2216391</v>
      </c>
      <c r="AD91" s="442"/>
      <c r="AE91" s="443"/>
      <c r="AF91" s="444">
        <f t="shared" si="32"/>
        <v>0</v>
      </c>
      <c r="AG91" s="455">
        <v>0</v>
      </c>
      <c r="AH91" s="308">
        <v>0</v>
      </c>
      <c r="AI91" s="445">
        <f t="shared" si="33"/>
        <v>0</v>
      </c>
      <c r="AJ91" s="446"/>
      <c r="AK91" s="443"/>
      <c r="AL91" s="444">
        <f t="shared" si="34"/>
        <v>0</v>
      </c>
      <c r="AM91" s="307"/>
      <c r="AN91" s="307"/>
      <c r="AO91" s="447">
        <f t="shared" si="35"/>
        <v>0</v>
      </c>
      <c r="AP91" s="448">
        <v>75</v>
      </c>
      <c r="AQ91" s="443">
        <v>105656.38666666667</v>
      </c>
      <c r="AR91" s="444">
        <f t="shared" si="36"/>
        <v>6483604.1677999999</v>
      </c>
      <c r="AS91" s="455">
        <v>74</v>
      </c>
      <c r="AT91" s="307">
        <v>103653.94594594595</v>
      </c>
      <c r="AU91" s="441">
        <f t="shared" si="37"/>
        <v>6275914.7344000004</v>
      </c>
      <c r="AV91" s="442">
        <v>56</v>
      </c>
      <c r="AW91" s="443">
        <v>90128.625</v>
      </c>
      <c r="AX91" s="444">
        <f t="shared" si="38"/>
        <v>4129621.4946000003</v>
      </c>
      <c r="AY91" s="455">
        <v>55</v>
      </c>
      <c r="AZ91" s="307">
        <v>90655.2</v>
      </c>
      <c r="BA91" s="445">
        <f t="shared" si="39"/>
        <v>4079574.6552000004</v>
      </c>
      <c r="BB91" s="442">
        <v>58</v>
      </c>
      <c r="BC91" s="443">
        <v>74276.655172413797</v>
      </c>
      <c r="BD91" s="444">
        <f t="shared" si="40"/>
        <v>3524843.2372000003</v>
      </c>
      <c r="BE91" s="455">
        <v>52</v>
      </c>
      <c r="BF91" s="307">
        <v>76161.480769230766</v>
      </c>
      <c r="BG91" s="445">
        <f t="shared" si="41"/>
        <v>3240396.8254</v>
      </c>
      <c r="BH91" s="442">
        <v>26</v>
      </c>
      <c r="BI91" s="443">
        <v>57515.346153846156</v>
      </c>
      <c r="BJ91" s="444">
        <f t="shared" si="42"/>
        <v>1223535.4618000002</v>
      </c>
      <c r="BK91" s="455">
        <v>27</v>
      </c>
      <c r="BL91" s="308">
        <v>59160.333333333336</v>
      </c>
      <c r="BM91" s="445">
        <f t="shared" si="43"/>
        <v>1306934.5878000001</v>
      </c>
      <c r="BN91" s="442"/>
      <c r="BO91" s="443"/>
      <c r="BP91" s="444">
        <f t="shared" si="44"/>
        <v>0</v>
      </c>
      <c r="BQ91" s="455"/>
      <c r="BR91" s="307"/>
      <c r="BS91" s="445">
        <f t="shared" si="45"/>
        <v>0</v>
      </c>
      <c r="BT91" s="442"/>
      <c r="BU91" s="443"/>
      <c r="BV91" s="444">
        <f t="shared" si="46"/>
        <v>0</v>
      </c>
      <c r="BW91" s="307"/>
      <c r="BX91" s="307"/>
      <c r="BY91" s="449">
        <f t="shared" si="47"/>
        <v>0</v>
      </c>
    </row>
    <row r="92" spans="1:77" s="309" customFormat="1" ht="12.75" customHeight="1">
      <c r="A92" s="320" t="s">
        <v>347</v>
      </c>
      <c r="B92" s="324" t="s">
        <v>472</v>
      </c>
      <c r="C92" s="324"/>
      <c r="D92" s="320">
        <v>136172</v>
      </c>
      <c r="E92" s="436">
        <v>3</v>
      </c>
      <c r="F92" s="453">
        <v>71</v>
      </c>
      <c r="G92" s="454">
        <v>92010.611830985916</v>
      </c>
      <c r="H92" s="439">
        <f t="shared" si="24"/>
        <v>6532753.4400000004</v>
      </c>
      <c r="I92" s="311">
        <v>67</v>
      </c>
      <c r="J92" s="311">
        <v>91211.67164179105</v>
      </c>
      <c r="K92" s="441">
        <f t="shared" si="25"/>
        <v>6111182</v>
      </c>
      <c r="L92" s="442">
        <v>124</v>
      </c>
      <c r="M92" s="443">
        <v>66910.524193548394</v>
      </c>
      <c r="N92" s="444">
        <f t="shared" si="26"/>
        <v>8296905.0000000009</v>
      </c>
      <c r="O92" s="307">
        <v>127</v>
      </c>
      <c r="P92" s="307">
        <v>66596.716535433065</v>
      </c>
      <c r="Q92" s="445">
        <f t="shared" si="27"/>
        <v>8457783</v>
      </c>
      <c r="R92" s="442">
        <v>159</v>
      </c>
      <c r="S92" s="443">
        <v>54150.38993710692</v>
      </c>
      <c r="T92" s="444">
        <f t="shared" si="28"/>
        <v>8609912</v>
      </c>
      <c r="U92" s="306">
        <v>146</v>
      </c>
      <c r="V92" s="306">
        <v>55262.219178082189</v>
      </c>
      <c r="W92" s="441">
        <f t="shared" si="29"/>
        <v>8068284</v>
      </c>
      <c r="X92" s="442">
        <v>77</v>
      </c>
      <c r="Y92" s="443">
        <v>43578.038961038961</v>
      </c>
      <c r="Z92" s="444">
        <f t="shared" si="30"/>
        <v>3355509</v>
      </c>
      <c r="AA92" s="455">
        <v>75</v>
      </c>
      <c r="AB92" s="307">
        <v>43268.386666666665</v>
      </c>
      <c r="AC92" s="445">
        <f t="shared" si="31"/>
        <v>3245129</v>
      </c>
      <c r="AD92" s="442">
        <v>4</v>
      </c>
      <c r="AE92" s="443">
        <v>41000</v>
      </c>
      <c r="AF92" s="444">
        <f t="shared" si="32"/>
        <v>164000</v>
      </c>
      <c r="AG92" s="455">
        <v>1</v>
      </c>
      <c r="AH92" s="308">
        <v>40000</v>
      </c>
      <c r="AI92" s="445">
        <f t="shared" si="33"/>
        <v>40000</v>
      </c>
      <c r="AJ92" s="446"/>
      <c r="AK92" s="443"/>
      <c r="AL92" s="444">
        <f t="shared" si="34"/>
        <v>0</v>
      </c>
      <c r="AM92" s="307"/>
      <c r="AN92" s="307"/>
      <c r="AO92" s="447">
        <f t="shared" si="35"/>
        <v>0</v>
      </c>
      <c r="AP92" s="448">
        <v>12</v>
      </c>
      <c r="AQ92" s="443">
        <v>129503.78166666666</v>
      </c>
      <c r="AR92" s="444">
        <f t="shared" si="36"/>
        <v>1271519.929916</v>
      </c>
      <c r="AS92" s="455">
        <v>10</v>
      </c>
      <c r="AT92" s="307">
        <v>132857</v>
      </c>
      <c r="AU92" s="441">
        <f t="shared" si="37"/>
        <v>1087035.9740000002</v>
      </c>
      <c r="AV92" s="442">
        <v>14</v>
      </c>
      <c r="AW92" s="443">
        <v>103553.78571428571</v>
      </c>
      <c r="AX92" s="444">
        <f t="shared" si="38"/>
        <v>1186187.9046</v>
      </c>
      <c r="AY92" s="455">
        <v>8</v>
      </c>
      <c r="AZ92" s="307">
        <v>109326.25</v>
      </c>
      <c r="BA92" s="445">
        <f t="shared" si="39"/>
        <v>715605.902</v>
      </c>
      <c r="BB92" s="442">
        <v>1</v>
      </c>
      <c r="BC92" s="443">
        <v>80000</v>
      </c>
      <c r="BD92" s="444">
        <f t="shared" si="40"/>
        <v>65456</v>
      </c>
      <c r="BE92" s="455">
        <v>4</v>
      </c>
      <c r="BF92" s="307">
        <v>96750</v>
      </c>
      <c r="BG92" s="445">
        <f t="shared" si="41"/>
        <v>316643.40000000002</v>
      </c>
      <c r="BH92" s="442">
        <v>9</v>
      </c>
      <c r="BI92" s="443">
        <v>68225.444444444438</v>
      </c>
      <c r="BJ92" s="444">
        <f t="shared" si="42"/>
        <v>502398.52780000004</v>
      </c>
      <c r="BK92" s="455">
        <v>5</v>
      </c>
      <c r="BL92" s="308">
        <v>66643.8</v>
      </c>
      <c r="BM92" s="445">
        <f t="shared" si="43"/>
        <v>272639.78580000001</v>
      </c>
      <c r="BN92" s="442">
        <v>21</v>
      </c>
      <c r="BO92" s="443">
        <v>44505.809523809527</v>
      </c>
      <c r="BP92" s="444">
        <f t="shared" si="44"/>
        <v>764707.72039999999</v>
      </c>
      <c r="BQ92" s="455">
        <v>7</v>
      </c>
      <c r="BR92" s="307">
        <v>46103.714285714283</v>
      </c>
      <c r="BS92" s="445">
        <f t="shared" si="45"/>
        <v>264054.41320000001</v>
      </c>
      <c r="BT92" s="442"/>
      <c r="BU92" s="443"/>
      <c r="BV92" s="444">
        <f t="shared" si="46"/>
        <v>0</v>
      </c>
      <c r="BW92" s="307"/>
      <c r="BX92" s="307"/>
      <c r="BY92" s="449">
        <f t="shared" si="47"/>
        <v>0</v>
      </c>
    </row>
    <row r="93" spans="1:77" s="309" customFormat="1" ht="12.75" customHeight="1">
      <c r="A93" s="320" t="s">
        <v>347</v>
      </c>
      <c r="B93" s="324" t="s">
        <v>473</v>
      </c>
      <c r="C93" s="324"/>
      <c r="D93" s="320">
        <v>138354</v>
      </c>
      <c r="E93" s="436">
        <v>3</v>
      </c>
      <c r="F93" s="453">
        <v>51</v>
      </c>
      <c r="G93" s="454">
        <v>87564.470588235301</v>
      </c>
      <c r="H93" s="439">
        <f t="shared" si="24"/>
        <v>4465788</v>
      </c>
      <c r="I93" s="311">
        <v>53</v>
      </c>
      <c r="J93" s="311">
        <v>88849.018867924533</v>
      </c>
      <c r="K93" s="441">
        <f t="shared" si="25"/>
        <v>4708998</v>
      </c>
      <c r="L93" s="442">
        <v>76</v>
      </c>
      <c r="M93" s="443">
        <v>64934.723684210527</v>
      </c>
      <c r="N93" s="444">
        <f t="shared" si="26"/>
        <v>4935039</v>
      </c>
      <c r="O93" s="307">
        <v>79</v>
      </c>
      <c r="P93" s="307">
        <v>65568.936708860754</v>
      </c>
      <c r="Q93" s="445">
        <f t="shared" si="27"/>
        <v>5179946</v>
      </c>
      <c r="R93" s="442">
        <v>70</v>
      </c>
      <c r="S93" s="443">
        <v>55248.214285714283</v>
      </c>
      <c r="T93" s="444">
        <f t="shared" si="28"/>
        <v>3867375</v>
      </c>
      <c r="U93" s="306">
        <v>68</v>
      </c>
      <c r="V93" s="306">
        <v>56020.75</v>
      </c>
      <c r="W93" s="441">
        <f t="shared" si="29"/>
        <v>3809411</v>
      </c>
      <c r="X93" s="442">
        <v>27</v>
      </c>
      <c r="Y93" s="443">
        <v>43898.111111111109</v>
      </c>
      <c r="Z93" s="444">
        <f t="shared" si="30"/>
        <v>1185249</v>
      </c>
      <c r="AA93" s="455">
        <v>27</v>
      </c>
      <c r="AB93" s="307">
        <v>43700.555555555555</v>
      </c>
      <c r="AC93" s="445">
        <f t="shared" si="31"/>
        <v>1179915</v>
      </c>
      <c r="AD93" s="442">
        <v>10</v>
      </c>
      <c r="AE93" s="443">
        <v>45051.6</v>
      </c>
      <c r="AF93" s="444">
        <f t="shared" si="32"/>
        <v>450516</v>
      </c>
      <c r="AG93" s="455">
        <v>8</v>
      </c>
      <c r="AH93" s="308">
        <v>46864</v>
      </c>
      <c r="AI93" s="445">
        <f t="shared" si="33"/>
        <v>374912</v>
      </c>
      <c r="AJ93" s="446"/>
      <c r="AK93" s="443"/>
      <c r="AL93" s="444">
        <f t="shared" si="34"/>
        <v>0</v>
      </c>
      <c r="AM93" s="307"/>
      <c r="AN93" s="307"/>
      <c r="AO93" s="447">
        <f t="shared" si="35"/>
        <v>0</v>
      </c>
      <c r="AP93" s="448">
        <v>16</v>
      </c>
      <c r="AQ93" s="443">
        <v>110864.0625</v>
      </c>
      <c r="AR93" s="444">
        <f t="shared" si="36"/>
        <v>1451343.615</v>
      </c>
      <c r="AS93" s="455">
        <v>15</v>
      </c>
      <c r="AT93" s="307">
        <v>114868.73333333334</v>
      </c>
      <c r="AU93" s="441">
        <f t="shared" si="37"/>
        <v>1409783.9642</v>
      </c>
      <c r="AV93" s="442">
        <v>11</v>
      </c>
      <c r="AW93" s="443">
        <v>92902.272727272721</v>
      </c>
      <c r="AX93" s="444">
        <f t="shared" si="38"/>
        <v>836139.03499999992</v>
      </c>
      <c r="AY93" s="455">
        <v>10</v>
      </c>
      <c r="AZ93" s="307">
        <v>93163</v>
      </c>
      <c r="BA93" s="445">
        <f t="shared" si="39"/>
        <v>762259.66600000008</v>
      </c>
      <c r="BB93" s="442">
        <v>5</v>
      </c>
      <c r="BC93" s="443">
        <v>69147.8</v>
      </c>
      <c r="BD93" s="444">
        <f t="shared" si="40"/>
        <v>282883.64980000001</v>
      </c>
      <c r="BE93" s="455">
        <v>4</v>
      </c>
      <c r="BF93" s="307">
        <v>65911.75</v>
      </c>
      <c r="BG93" s="445">
        <f t="shared" si="41"/>
        <v>215715.9754</v>
      </c>
      <c r="BH93" s="442">
        <v>15</v>
      </c>
      <c r="BI93" s="443">
        <v>53042.8</v>
      </c>
      <c r="BJ93" s="444">
        <f t="shared" si="42"/>
        <v>650994.2844</v>
      </c>
      <c r="BK93" s="455">
        <v>10</v>
      </c>
      <c r="BL93" s="308">
        <v>58591.1</v>
      </c>
      <c r="BM93" s="445">
        <f t="shared" si="43"/>
        <v>479392.38020000001</v>
      </c>
      <c r="BN93" s="442">
        <v>31</v>
      </c>
      <c r="BO93" s="443">
        <v>58084.483870967742</v>
      </c>
      <c r="BP93" s="444">
        <f t="shared" si="44"/>
        <v>1473266.4658000001</v>
      </c>
      <c r="BQ93" s="455">
        <v>29</v>
      </c>
      <c r="BR93" s="307">
        <v>58929.758620689652</v>
      </c>
      <c r="BS93" s="445">
        <f t="shared" si="45"/>
        <v>1398273.5266</v>
      </c>
      <c r="BT93" s="442"/>
      <c r="BU93" s="443"/>
      <c r="BV93" s="444">
        <f t="shared" si="46"/>
        <v>0</v>
      </c>
      <c r="BW93" s="307"/>
      <c r="BX93" s="307"/>
      <c r="BY93" s="449">
        <f t="shared" si="47"/>
        <v>0</v>
      </c>
    </row>
    <row r="94" spans="1:77" s="309" customFormat="1" ht="12.75" customHeight="1">
      <c r="A94" s="320" t="s">
        <v>347</v>
      </c>
      <c r="B94" s="321" t="s">
        <v>474</v>
      </c>
      <c r="C94" s="321"/>
      <c r="D94" s="322">
        <v>433660</v>
      </c>
      <c r="E94" s="323">
        <v>4</v>
      </c>
      <c r="F94" s="453">
        <v>43</v>
      </c>
      <c r="G94" s="454">
        <v>88427.255813953481</v>
      </c>
      <c r="H94" s="439">
        <f t="shared" si="24"/>
        <v>3802371.9999999995</v>
      </c>
      <c r="I94" s="311">
        <v>46</v>
      </c>
      <c r="J94" s="311">
        <v>86391.195652173919</v>
      </c>
      <c r="K94" s="441">
        <f t="shared" si="25"/>
        <v>3973995.0000000005</v>
      </c>
      <c r="L94" s="442">
        <v>82</v>
      </c>
      <c r="M94" s="443">
        <v>69103.85365853658</v>
      </c>
      <c r="N94" s="444">
        <f t="shared" si="26"/>
        <v>5666516</v>
      </c>
      <c r="O94" s="307">
        <v>81</v>
      </c>
      <c r="P94" s="307">
        <v>70359.617283950618</v>
      </c>
      <c r="Q94" s="445">
        <f t="shared" si="27"/>
        <v>5699129</v>
      </c>
      <c r="R94" s="442">
        <v>102</v>
      </c>
      <c r="S94" s="443">
        <v>56736.696078431371</v>
      </c>
      <c r="T94" s="444">
        <f t="shared" si="28"/>
        <v>5787143</v>
      </c>
      <c r="U94" s="306">
        <v>106</v>
      </c>
      <c r="V94" s="306">
        <v>55292.943396226416</v>
      </c>
      <c r="W94" s="441">
        <f t="shared" si="29"/>
        <v>5861052</v>
      </c>
      <c r="X94" s="442">
        <v>58</v>
      </c>
      <c r="Y94" s="443">
        <v>40568.896551724138</v>
      </c>
      <c r="Z94" s="444">
        <f t="shared" si="30"/>
        <v>2352996</v>
      </c>
      <c r="AA94" s="455">
        <v>70</v>
      </c>
      <c r="AB94" s="307">
        <v>41290.542857142857</v>
      </c>
      <c r="AC94" s="445">
        <f t="shared" si="31"/>
        <v>2890338</v>
      </c>
      <c r="AD94" s="442">
        <v>3</v>
      </c>
      <c r="AE94" s="443">
        <v>44666.666666666664</v>
      </c>
      <c r="AF94" s="444">
        <f t="shared" si="32"/>
        <v>134000</v>
      </c>
      <c r="AG94" s="455">
        <v>0</v>
      </c>
      <c r="AH94" s="308">
        <v>0</v>
      </c>
      <c r="AI94" s="445">
        <f t="shared" si="33"/>
        <v>0</v>
      </c>
      <c r="AJ94" s="446"/>
      <c r="AK94" s="443"/>
      <c r="AL94" s="444">
        <f t="shared" si="34"/>
        <v>0</v>
      </c>
      <c r="AM94" s="307"/>
      <c r="AN94" s="307"/>
      <c r="AO94" s="447">
        <f t="shared" si="35"/>
        <v>0</v>
      </c>
      <c r="AP94" s="448">
        <v>15</v>
      </c>
      <c r="AQ94" s="443">
        <v>116476.46666666666</v>
      </c>
      <c r="AR94" s="444">
        <f t="shared" si="36"/>
        <v>1429515.6754000001</v>
      </c>
      <c r="AS94" s="455">
        <v>18</v>
      </c>
      <c r="AT94" s="307">
        <v>115922.55555555556</v>
      </c>
      <c r="AU94" s="441">
        <f t="shared" si="37"/>
        <v>1707261.0292</v>
      </c>
      <c r="AV94" s="442">
        <v>11</v>
      </c>
      <c r="AW94" s="443">
        <v>97230.909090909088</v>
      </c>
      <c r="AX94" s="444">
        <f t="shared" si="38"/>
        <v>875097.62800000003</v>
      </c>
      <c r="AY94" s="455">
        <v>14</v>
      </c>
      <c r="AZ94" s="307">
        <v>94400.142857142855</v>
      </c>
      <c r="BA94" s="445">
        <f t="shared" si="39"/>
        <v>1081334.7564000001</v>
      </c>
      <c r="BB94" s="442">
        <v>13</v>
      </c>
      <c r="BC94" s="443">
        <v>78555.538461538468</v>
      </c>
      <c r="BD94" s="444">
        <f t="shared" si="40"/>
        <v>835563.8404000001</v>
      </c>
      <c r="BE94" s="455">
        <v>18</v>
      </c>
      <c r="BF94" s="307">
        <v>75494.777777777781</v>
      </c>
      <c r="BG94" s="445">
        <f t="shared" si="41"/>
        <v>1111856.8892000001</v>
      </c>
      <c r="BH94" s="442">
        <v>21</v>
      </c>
      <c r="BI94" s="443">
        <v>67270.333333333328</v>
      </c>
      <c r="BJ94" s="444">
        <f t="shared" si="42"/>
        <v>1155852.3214</v>
      </c>
      <c r="BK94" s="455">
        <v>20</v>
      </c>
      <c r="BL94" s="308">
        <v>65934.45</v>
      </c>
      <c r="BM94" s="445">
        <f t="shared" si="43"/>
        <v>1078951.3398</v>
      </c>
      <c r="BN94" s="442"/>
      <c r="BO94" s="443"/>
      <c r="BP94" s="444">
        <f t="shared" si="44"/>
        <v>0</v>
      </c>
      <c r="BQ94" s="455"/>
      <c r="BR94" s="307"/>
      <c r="BS94" s="445">
        <f t="shared" si="45"/>
        <v>0</v>
      </c>
      <c r="BT94" s="442"/>
      <c r="BU94" s="443"/>
      <c r="BV94" s="444">
        <f t="shared" si="46"/>
        <v>0</v>
      </c>
      <c r="BW94" s="307"/>
      <c r="BX94" s="307"/>
      <c r="BY94" s="449">
        <f t="shared" si="47"/>
        <v>0</v>
      </c>
    </row>
    <row r="95" spans="1:77" s="309" customFormat="1" ht="12.75" customHeight="1">
      <c r="A95" s="320" t="s">
        <v>347</v>
      </c>
      <c r="B95" s="324" t="s">
        <v>475</v>
      </c>
      <c r="C95" s="324"/>
      <c r="D95" s="320">
        <v>262129</v>
      </c>
      <c r="E95" s="436">
        <v>6</v>
      </c>
      <c r="F95" s="453">
        <v>21</v>
      </c>
      <c r="G95" s="454">
        <v>85990.142857142855</v>
      </c>
      <c r="H95" s="439">
        <f t="shared" si="24"/>
        <v>1805793</v>
      </c>
      <c r="I95" s="311">
        <v>24</v>
      </c>
      <c r="J95" s="311">
        <v>82860.049583333326</v>
      </c>
      <c r="K95" s="441">
        <f t="shared" si="25"/>
        <v>1988641.19</v>
      </c>
      <c r="L95" s="442">
        <v>27</v>
      </c>
      <c r="M95" s="443">
        <v>67331.444444444438</v>
      </c>
      <c r="N95" s="444">
        <f t="shared" si="26"/>
        <v>1817948.9999999998</v>
      </c>
      <c r="O95" s="307">
        <v>24</v>
      </c>
      <c r="P95" s="307">
        <v>66594.874639999995</v>
      </c>
      <c r="Q95" s="445">
        <f t="shared" si="27"/>
        <v>1598276.9913599999</v>
      </c>
      <c r="R95" s="442">
        <v>11</v>
      </c>
      <c r="S95" s="443">
        <v>109469</v>
      </c>
      <c r="T95" s="444">
        <f t="shared" si="28"/>
        <v>1204159</v>
      </c>
      <c r="U95" s="306">
        <v>22</v>
      </c>
      <c r="V95" s="306">
        <v>55388.154999999999</v>
      </c>
      <c r="W95" s="441">
        <f t="shared" si="29"/>
        <v>1218539.4099999999</v>
      </c>
      <c r="X95" s="442">
        <v>1</v>
      </c>
      <c r="Y95" s="443">
        <v>42021</v>
      </c>
      <c r="Z95" s="444">
        <f t="shared" si="30"/>
        <v>42021</v>
      </c>
      <c r="AA95" s="455">
        <v>1</v>
      </c>
      <c r="AB95" s="307">
        <v>42020.78</v>
      </c>
      <c r="AC95" s="445">
        <f t="shared" si="31"/>
        <v>42020.78</v>
      </c>
      <c r="AD95" s="442"/>
      <c r="AE95" s="443"/>
      <c r="AF95" s="444">
        <f t="shared" si="32"/>
        <v>0</v>
      </c>
      <c r="AG95" s="455">
        <v>0</v>
      </c>
      <c r="AH95" s="308">
        <v>0</v>
      </c>
      <c r="AI95" s="445">
        <f t="shared" si="33"/>
        <v>0</v>
      </c>
      <c r="AJ95" s="446"/>
      <c r="AK95" s="443"/>
      <c r="AL95" s="444">
        <f t="shared" si="34"/>
        <v>0</v>
      </c>
      <c r="AM95" s="307"/>
      <c r="AN95" s="307"/>
      <c r="AO95" s="447">
        <f t="shared" si="35"/>
        <v>0</v>
      </c>
      <c r="AP95" s="448"/>
      <c r="AQ95" s="443"/>
      <c r="AR95" s="444">
        <f t="shared" si="36"/>
        <v>0</v>
      </c>
      <c r="AS95" s="455"/>
      <c r="AT95" s="307"/>
      <c r="AU95" s="441">
        <f t="shared" si="37"/>
        <v>0</v>
      </c>
      <c r="AV95" s="442"/>
      <c r="AW95" s="443"/>
      <c r="AX95" s="444">
        <f t="shared" si="38"/>
        <v>0</v>
      </c>
      <c r="AY95" s="455"/>
      <c r="AZ95" s="307"/>
      <c r="BA95" s="445">
        <f t="shared" si="39"/>
        <v>0</v>
      </c>
      <c r="BB95" s="442"/>
      <c r="BC95" s="443"/>
      <c r="BD95" s="444">
        <f t="shared" si="40"/>
        <v>0</v>
      </c>
      <c r="BE95" s="307"/>
      <c r="BF95" s="307"/>
      <c r="BG95" s="445">
        <f t="shared" si="41"/>
        <v>0</v>
      </c>
      <c r="BH95" s="442"/>
      <c r="BI95" s="443"/>
      <c r="BJ95" s="444">
        <f t="shared" si="42"/>
        <v>0</v>
      </c>
      <c r="BK95" s="455"/>
      <c r="BL95" s="307"/>
      <c r="BM95" s="445">
        <f t="shared" si="43"/>
        <v>0</v>
      </c>
      <c r="BN95" s="442"/>
      <c r="BO95" s="443"/>
      <c r="BP95" s="444">
        <f t="shared" si="44"/>
        <v>0</v>
      </c>
      <c r="BQ95" s="455"/>
      <c r="BR95" s="307"/>
      <c r="BS95" s="445">
        <f t="shared" si="45"/>
        <v>0</v>
      </c>
      <c r="BT95" s="442"/>
      <c r="BU95" s="443"/>
      <c r="BV95" s="444">
        <f t="shared" si="46"/>
        <v>0</v>
      </c>
      <c r="BW95" s="307"/>
      <c r="BX95" s="307"/>
      <c r="BY95" s="449">
        <f t="shared" si="47"/>
        <v>0</v>
      </c>
    </row>
    <row r="96" spans="1:77" s="309" customFormat="1" ht="12.75" customHeight="1">
      <c r="A96" s="325" t="s">
        <v>347</v>
      </c>
      <c r="B96" s="326" t="s">
        <v>148</v>
      </c>
      <c r="C96" s="326"/>
      <c r="D96" s="325">
        <v>133021</v>
      </c>
      <c r="E96" s="327">
        <v>7</v>
      </c>
      <c r="F96" s="453"/>
      <c r="G96" s="454"/>
      <c r="H96" s="439">
        <f t="shared" si="24"/>
        <v>0</v>
      </c>
      <c r="I96" s="311"/>
      <c r="J96" s="311"/>
      <c r="K96" s="441">
        <f t="shared" si="25"/>
        <v>0</v>
      </c>
      <c r="L96" s="442"/>
      <c r="M96" s="443"/>
      <c r="N96" s="444">
        <f t="shared" si="26"/>
        <v>0</v>
      </c>
      <c r="O96" s="307"/>
      <c r="P96" s="307"/>
      <c r="Q96" s="445">
        <f t="shared" si="27"/>
        <v>0</v>
      </c>
      <c r="R96" s="442"/>
      <c r="S96" s="443"/>
      <c r="T96" s="444">
        <f t="shared" si="28"/>
        <v>0</v>
      </c>
      <c r="U96" s="306"/>
      <c r="V96" s="306"/>
      <c r="W96" s="441">
        <f t="shared" si="29"/>
        <v>0</v>
      </c>
      <c r="X96" s="442"/>
      <c r="Y96" s="443"/>
      <c r="Z96" s="444">
        <f t="shared" si="30"/>
        <v>0</v>
      </c>
      <c r="AA96" s="307"/>
      <c r="AB96" s="307"/>
      <c r="AC96" s="445">
        <f t="shared" si="31"/>
        <v>0</v>
      </c>
      <c r="AD96" s="442"/>
      <c r="AE96" s="443"/>
      <c r="AF96" s="444">
        <f t="shared" si="32"/>
        <v>0</v>
      </c>
      <c r="AG96" s="307"/>
      <c r="AH96" s="307"/>
      <c r="AI96" s="445">
        <f t="shared" si="33"/>
        <v>0</v>
      </c>
      <c r="AJ96" s="446">
        <v>43</v>
      </c>
      <c r="AK96" s="443">
        <v>44187</v>
      </c>
      <c r="AL96" s="444">
        <f t="shared" si="34"/>
        <v>1900041</v>
      </c>
      <c r="AM96" s="307">
        <v>43</v>
      </c>
      <c r="AN96" s="307">
        <v>44018</v>
      </c>
      <c r="AO96" s="447">
        <f t="shared" si="35"/>
        <v>1892774</v>
      </c>
      <c r="AP96" s="448"/>
      <c r="AQ96" s="443"/>
      <c r="AR96" s="444">
        <f t="shared" si="36"/>
        <v>0</v>
      </c>
      <c r="AS96" s="307"/>
      <c r="AT96" s="307"/>
      <c r="AU96" s="441">
        <f t="shared" si="37"/>
        <v>0</v>
      </c>
      <c r="AV96" s="442"/>
      <c r="AW96" s="443"/>
      <c r="AX96" s="444">
        <f t="shared" si="38"/>
        <v>0</v>
      </c>
      <c r="AY96" s="307"/>
      <c r="AZ96" s="307"/>
      <c r="BA96" s="445">
        <f t="shared" si="39"/>
        <v>0</v>
      </c>
      <c r="BB96" s="442"/>
      <c r="BC96" s="443"/>
      <c r="BD96" s="444">
        <f t="shared" si="40"/>
        <v>0</v>
      </c>
      <c r="BE96" s="307"/>
      <c r="BF96" s="307"/>
      <c r="BG96" s="445">
        <f t="shared" si="41"/>
        <v>0</v>
      </c>
      <c r="BH96" s="442"/>
      <c r="BI96" s="443"/>
      <c r="BJ96" s="444">
        <f t="shared" si="42"/>
        <v>0</v>
      </c>
      <c r="BK96" s="307"/>
      <c r="BL96" s="307"/>
      <c r="BM96" s="445">
        <f t="shared" si="43"/>
        <v>0</v>
      </c>
      <c r="BN96" s="442"/>
      <c r="BO96" s="443"/>
      <c r="BP96" s="444">
        <f t="shared" si="44"/>
        <v>0</v>
      </c>
      <c r="BQ96" s="307"/>
      <c r="BR96" s="307"/>
      <c r="BS96" s="445">
        <f t="shared" si="45"/>
        <v>0</v>
      </c>
      <c r="BT96" s="442"/>
      <c r="BU96" s="443"/>
      <c r="BV96" s="444">
        <f t="shared" si="46"/>
        <v>0</v>
      </c>
      <c r="BW96" s="307"/>
      <c r="BX96" s="307"/>
      <c r="BY96" s="449">
        <f t="shared" si="47"/>
        <v>0</v>
      </c>
    </row>
    <row r="97" spans="1:77" s="309" customFormat="1" ht="12.75" customHeight="1">
      <c r="A97" s="325" t="s">
        <v>347</v>
      </c>
      <c r="B97" s="405" t="s">
        <v>915</v>
      </c>
      <c r="C97" s="499" t="s">
        <v>1076</v>
      </c>
      <c r="D97" s="325">
        <v>133386</v>
      </c>
      <c r="E97" s="327">
        <v>7</v>
      </c>
      <c r="F97" s="453"/>
      <c r="G97" s="454"/>
      <c r="H97" s="439">
        <f t="shared" si="24"/>
        <v>0</v>
      </c>
      <c r="I97" s="311"/>
      <c r="J97" s="311"/>
      <c r="K97" s="441">
        <f t="shared" si="25"/>
        <v>0</v>
      </c>
      <c r="L97" s="442"/>
      <c r="M97" s="443"/>
      <c r="N97" s="444">
        <f t="shared" si="26"/>
        <v>0</v>
      </c>
      <c r="O97" s="307"/>
      <c r="P97" s="307"/>
      <c r="Q97" s="445">
        <f t="shared" si="27"/>
        <v>0</v>
      </c>
      <c r="R97" s="442"/>
      <c r="S97" s="443"/>
      <c r="T97" s="444">
        <f t="shared" si="28"/>
        <v>0</v>
      </c>
      <c r="U97" s="306"/>
      <c r="V97" s="306"/>
      <c r="W97" s="441">
        <f t="shared" si="29"/>
        <v>0</v>
      </c>
      <c r="X97" s="442"/>
      <c r="Y97" s="443"/>
      <c r="Z97" s="444">
        <f t="shared" si="30"/>
        <v>0</v>
      </c>
      <c r="AA97" s="307"/>
      <c r="AB97" s="307"/>
      <c r="AC97" s="445">
        <f t="shared" si="31"/>
        <v>0</v>
      </c>
      <c r="AD97" s="442"/>
      <c r="AE97" s="443"/>
      <c r="AF97" s="444">
        <f t="shared" si="32"/>
        <v>0</v>
      </c>
      <c r="AG97" s="307"/>
      <c r="AH97" s="307"/>
      <c r="AI97" s="445">
        <f t="shared" si="33"/>
        <v>0</v>
      </c>
      <c r="AJ97" s="446">
        <v>274</v>
      </c>
      <c r="AK97" s="443">
        <v>58280</v>
      </c>
      <c r="AL97" s="444">
        <f t="shared" si="34"/>
        <v>15968720</v>
      </c>
      <c r="AM97" s="307">
        <v>307</v>
      </c>
      <c r="AN97" s="307">
        <v>60462</v>
      </c>
      <c r="AO97" s="447">
        <f t="shared" si="35"/>
        <v>18561834</v>
      </c>
      <c r="AP97" s="448"/>
      <c r="AQ97" s="443"/>
      <c r="AR97" s="444">
        <f t="shared" si="36"/>
        <v>0</v>
      </c>
      <c r="AS97" s="307"/>
      <c r="AT97" s="307"/>
      <c r="AU97" s="441">
        <f t="shared" si="37"/>
        <v>0</v>
      </c>
      <c r="AV97" s="442"/>
      <c r="AW97" s="443"/>
      <c r="AX97" s="444">
        <f t="shared" si="38"/>
        <v>0</v>
      </c>
      <c r="AY97" s="307"/>
      <c r="AZ97" s="307"/>
      <c r="BA97" s="445">
        <f t="shared" si="39"/>
        <v>0</v>
      </c>
      <c r="BB97" s="442"/>
      <c r="BC97" s="443"/>
      <c r="BD97" s="444">
        <f t="shared" si="40"/>
        <v>0</v>
      </c>
      <c r="BE97" s="307"/>
      <c r="BF97" s="307"/>
      <c r="BG97" s="445">
        <f t="shared" si="41"/>
        <v>0</v>
      </c>
      <c r="BH97" s="442"/>
      <c r="BI97" s="443"/>
      <c r="BJ97" s="444">
        <f t="shared" si="42"/>
        <v>0</v>
      </c>
      <c r="BK97" s="307"/>
      <c r="BL97" s="307"/>
      <c r="BM97" s="445">
        <f t="shared" si="43"/>
        <v>0</v>
      </c>
      <c r="BN97" s="442"/>
      <c r="BO97" s="443"/>
      <c r="BP97" s="444">
        <f t="shared" si="44"/>
        <v>0</v>
      </c>
      <c r="BQ97" s="307"/>
      <c r="BR97" s="307"/>
      <c r="BS97" s="445">
        <f t="shared" si="45"/>
        <v>0</v>
      </c>
      <c r="BT97" s="442"/>
      <c r="BU97" s="443"/>
      <c r="BV97" s="444">
        <f t="shared" si="46"/>
        <v>0</v>
      </c>
      <c r="BW97" s="307"/>
      <c r="BX97" s="307"/>
      <c r="BY97" s="449">
        <f t="shared" si="47"/>
        <v>0</v>
      </c>
    </row>
    <row r="98" spans="1:77" s="308" customFormat="1" ht="12.75" customHeight="1">
      <c r="A98" s="329" t="s">
        <v>347</v>
      </c>
      <c r="B98" s="404" t="s">
        <v>1</v>
      </c>
      <c r="C98" s="500" t="s">
        <v>1077</v>
      </c>
      <c r="D98" s="329">
        <v>133508</v>
      </c>
      <c r="E98" s="501">
        <v>7</v>
      </c>
      <c r="F98" s="453"/>
      <c r="G98" s="454"/>
      <c r="H98" s="439">
        <f t="shared" si="24"/>
        <v>0</v>
      </c>
      <c r="I98" s="311"/>
      <c r="J98" s="311"/>
      <c r="K98" s="441">
        <f t="shared" si="25"/>
        <v>0</v>
      </c>
      <c r="L98" s="442"/>
      <c r="M98" s="443"/>
      <c r="N98" s="444">
        <f t="shared" si="26"/>
        <v>0</v>
      </c>
      <c r="O98" s="307"/>
      <c r="P98" s="307"/>
      <c r="Q98" s="445">
        <f t="shared" si="27"/>
        <v>0</v>
      </c>
      <c r="R98" s="442"/>
      <c r="S98" s="443"/>
      <c r="T98" s="444">
        <f t="shared" si="28"/>
        <v>0</v>
      </c>
      <c r="U98" s="306"/>
      <c r="V98" s="306"/>
      <c r="W98" s="441">
        <f t="shared" si="29"/>
        <v>0</v>
      </c>
      <c r="X98" s="442"/>
      <c r="Y98" s="443"/>
      <c r="Z98" s="444">
        <f t="shared" si="30"/>
        <v>0</v>
      </c>
      <c r="AA98" s="307"/>
      <c r="AB98" s="307"/>
      <c r="AC98" s="445">
        <f t="shared" si="31"/>
        <v>0</v>
      </c>
      <c r="AD98" s="442"/>
      <c r="AE98" s="443"/>
      <c r="AF98" s="444">
        <f t="shared" si="32"/>
        <v>0</v>
      </c>
      <c r="AG98" s="307"/>
      <c r="AH98" s="307"/>
      <c r="AI98" s="445">
        <f t="shared" si="33"/>
        <v>0</v>
      </c>
      <c r="AJ98" s="446">
        <v>124</v>
      </c>
      <c r="AK98" s="443">
        <v>52538</v>
      </c>
      <c r="AL98" s="444">
        <f t="shared" si="34"/>
        <v>6514712</v>
      </c>
      <c r="AM98" s="307">
        <v>140</v>
      </c>
      <c r="AN98" s="307">
        <v>55324</v>
      </c>
      <c r="AO98" s="447">
        <f t="shared" si="35"/>
        <v>7745360</v>
      </c>
      <c r="AP98" s="448"/>
      <c r="AQ98" s="443"/>
      <c r="AR98" s="444">
        <f t="shared" si="36"/>
        <v>0</v>
      </c>
      <c r="AS98" s="307"/>
      <c r="AT98" s="307"/>
      <c r="AU98" s="441">
        <f t="shared" si="37"/>
        <v>0</v>
      </c>
      <c r="AV98" s="442"/>
      <c r="AW98" s="443"/>
      <c r="AX98" s="444">
        <f t="shared" si="38"/>
        <v>0</v>
      </c>
      <c r="AY98" s="307"/>
      <c r="AZ98" s="307"/>
      <c r="BA98" s="445">
        <f t="shared" si="39"/>
        <v>0</v>
      </c>
      <c r="BB98" s="442"/>
      <c r="BC98" s="443"/>
      <c r="BD98" s="444">
        <f t="shared" si="40"/>
        <v>0</v>
      </c>
      <c r="BE98" s="307"/>
      <c r="BF98" s="307"/>
      <c r="BG98" s="445">
        <f t="shared" si="41"/>
        <v>0</v>
      </c>
      <c r="BH98" s="442"/>
      <c r="BI98" s="443"/>
      <c r="BJ98" s="444">
        <f t="shared" si="42"/>
        <v>0</v>
      </c>
      <c r="BK98" s="307"/>
      <c r="BL98" s="307"/>
      <c r="BM98" s="445">
        <f t="shared" si="43"/>
        <v>0</v>
      </c>
      <c r="BN98" s="442"/>
      <c r="BO98" s="443"/>
      <c r="BP98" s="444">
        <f t="shared" si="44"/>
        <v>0</v>
      </c>
      <c r="BQ98" s="307"/>
      <c r="BR98" s="307"/>
      <c r="BS98" s="445">
        <f t="shared" si="45"/>
        <v>0</v>
      </c>
      <c r="BT98" s="442"/>
      <c r="BU98" s="443"/>
      <c r="BV98" s="444">
        <f t="shared" si="46"/>
        <v>0</v>
      </c>
      <c r="BW98" s="307"/>
      <c r="BX98" s="307"/>
      <c r="BY98" s="449">
        <f t="shared" si="47"/>
        <v>0</v>
      </c>
    </row>
    <row r="99" spans="1:77" s="308" customFormat="1" ht="12.75" customHeight="1">
      <c r="A99" s="325" t="s">
        <v>347</v>
      </c>
      <c r="B99" s="326" t="s">
        <v>154</v>
      </c>
      <c r="C99" s="326"/>
      <c r="D99" s="325">
        <v>135717</v>
      </c>
      <c r="E99" s="327">
        <v>7</v>
      </c>
      <c r="F99" s="453"/>
      <c r="G99" s="454"/>
      <c r="H99" s="439">
        <f t="shared" si="24"/>
        <v>0</v>
      </c>
      <c r="I99" s="311"/>
      <c r="J99" s="311"/>
      <c r="K99" s="441">
        <f t="shared" si="25"/>
        <v>0</v>
      </c>
      <c r="L99" s="442"/>
      <c r="M99" s="443"/>
      <c r="N99" s="444">
        <f t="shared" si="26"/>
        <v>0</v>
      </c>
      <c r="O99" s="307"/>
      <c r="P99" s="307"/>
      <c r="Q99" s="445">
        <f t="shared" si="27"/>
        <v>0</v>
      </c>
      <c r="R99" s="442"/>
      <c r="S99" s="443"/>
      <c r="T99" s="444">
        <f t="shared" si="28"/>
        <v>0</v>
      </c>
      <c r="U99" s="306"/>
      <c r="V99" s="306"/>
      <c r="W99" s="441">
        <f t="shared" si="29"/>
        <v>0</v>
      </c>
      <c r="X99" s="442"/>
      <c r="Y99" s="443"/>
      <c r="Z99" s="444">
        <f t="shared" si="30"/>
        <v>0</v>
      </c>
      <c r="AA99" s="307"/>
      <c r="AB99" s="307"/>
      <c r="AC99" s="445">
        <f t="shared" si="31"/>
        <v>0</v>
      </c>
      <c r="AD99" s="442"/>
      <c r="AE99" s="443"/>
      <c r="AF99" s="444">
        <f t="shared" si="32"/>
        <v>0</v>
      </c>
      <c r="AG99" s="307"/>
      <c r="AH99" s="307"/>
      <c r="AI99" s="445">
        <f t="shared" si="33"/>
        <v>0</v>
      </c>
      <c r="AJ99" s="446">
        <v>663</v>
      </c>
      <c r="AK99" s="443">
        <v>59987</v>
      </c>
      <c r="AL99" s="444">
        <f t="shared" si="34"/>
        <v>39771381</v>
      </c>
      <c r="AM99" s="307">
        <v>658</v>
      </c>
      <c r="AN99" s="307">
        <v>60235</v>
      </c>
      <c r="AO99" s="447">
        <f t="shared" si="35"/>
        <v>39634630</v>
      </c>
      <c r="AP99" s="448"/>
      <c r="AQ99" s="443"/>
      <c r="AR99" s="444">
        <f t="shared" si="36"/>
        <v>0</v>
      </c>
      <c r="AS99" s="307"/>
      <c r="AT99" s="307"/>
      <c r="AU99" s="441">
        <f t="shared" si="37"/>
        <v>0</v>
      </c>
      <c r="AV99" s="442"/>
      <c r="AW99" s="443"/>
      <c r="AX99" s="444">
        <f t="shared" si="38"/>
        <v>0</v>
      </c>
      <c r="AY99" s="307"/>
      <c r="AZ99" s="307"/>
      <c r="BA99" s="445">
        <f t="shared" si="39"/>
        <v>0</v>
      </c>
      <c r="BB99" s="442"/>
      <c r="BC99" s="443"/>
      <c r="BD99" s="444">
        <f t="shared" si="40"/>
        <v>0</v>
      </c>
      <c r="BE99" s="307"/>
      <c r="BF99" s="307"/>
      <c r="BG99" s="445">
        <f t="shared" si="41"/>
        <v>0</v>
      </c>
      <c r="BH99" s="442"/>
      <c r="BI99" s="443"/>
      <c r="BJ99" s="444">
        <f t="shared" si="42"/>
        <v>0</v>
      </c>
      <c r="BK99" s="307"/>
      <c r="BL99" s="307"/>
      <c r="BM99" s="445">
        <f t="shared" si="43"/>
        <v>0</v>
      </c>
      <c r="BN99" s="442"/>
      <c r="BO99" s="443"/>
      <c r="BP99" s="444">
        <f t="shared" si="44"/>
        <v>0</v>
      </c>
      <c r="BQ99" s="307"/>
      <c r="BR99" s="307"/>
      <c r="BS99" s="445">
        <f t="shared" si="45"/>
        <v>0</v>
      </c>
      <c r="BT99" s="442"/>
      <c r="BU99" s="443"/>
      <c r="BV99" s="444">
        <f t="shared" si="46"/>
        <v>0</v>
      </c>
      <c r="BW99" s="307"/>
      <c r="BX99" s="307"/>
      <c r="BY99" s="449">
        <f t="shared" si="47"/>
        <v>0</v>
      </c>
    </row>
    <row r="100" spans="1:77" s="308" customFormat="1" ht="12.75" customHeight="1">
      <c r="A100" s="331" t="s">
        <v>347</v>
      </c>
      <c r="B100" s="326" t="s">
        <v>0</v>
      </c>
      <c r="C100" s="326"/>
      <c r="D100" s="331">
        <v>136233</v>
      </c>
      <c r="E100" s="327">
        <v>7</v>
      </c>
      <c r="F100" s="453"/>
      <c r="G100" s="454"/>
      <c r="H100" s="439">
        <f t="shared" si="24"/>
        <v>0</v>
      </c>
      <c r="I100" s="311"/>
      <c r="J100" s="311"/>
      <c r="K100" s="441">
        <f t="shared" si="25"/>
        <v>0</v>
      </c>
      <c r="L100" s="442"/>
      <c r="M100" s="443"/>
      <c r="N100" s="444">
        <f t="shared" si="26"/>
        <v>0</v>
      </c>
      <c r="O100" s="307"/>
      <c r="P100" s="307"/>
      <c r="Q100" s="445">
        <f t="shared" si="27"/>
        <v>0</v>
      </c>
      <c r="R100" s="442"/>
      <c r="S100" s="443"/>
      <c r="T100" s="444">
        <f t="shared" si="28"/>
        <v>0</v>
      </c>
      <c r="U100" s="306"/>
      <c r="V100" s="306"/>
      <c r="W100" s="441">
        <f t="shared" si="29"/>
        <v>0</v>
      </c>
      <c r="X100" s="442"/>
      <c r="Y100" s="443"/>
      <c r="Z100" s="444">
        <f t="shared" si="30"/>
        <v>0</v>
      </c>
      <c r="AA100" s="307"/>
      <c r="AB100" s="307"/>
      <c r="AC100" s="445">
        <f t="shared" si="31"/>
        <v>0</v>
      </c>
      <c r="AD100" s="442"/>
      <c r="AE100" s="443"/>
      <c r="AF100" s="444">
        <f t="shared" si="32"/>
        <v>0</v>
      </c>
      <c r="AG100" s="307"/>
      <c r="AH100" s="307"/>
      <c r="AI100" s="445">
        <f t="shared" si="33"/>
        <v>0</v>
      </c>
      <c r="AJ100" s="446">
        <v>95</v>
      </c>
      <c r="AK100" s="443">
        <v>55024</v>
      </c>
      <c r="AL100" s="444">
        <f t="shared" si="34"/>
        <v>5227280</v>
      </c>
      <c r="AM100" s="307">
        <v>94</v>
      </c>
      <c r="AN100" s="307">
        <v>54723</v>
      </c>
      <c r="AO100" s="447">
        <f t="shared" si="35"/>
        <v>5143962</v>
      </c>
      <c r="AP100" s="448"/>
      <c r="AQ100" s="443"/>
      <c r="AR100" s="444">
        <f t="shared" si="36"/>
        <v>0</v>
      </c>
      <c r="AS100" s="307"/>
      <c r="AT100" s="307"/>
      <c r="AU100" s="441">
        <f t="shared" si="37"/>
        <v>0</v>
      </c>
      <c r="AV100" s="442"/>
      <c r="AW100" s="443"/>
      <c r="AX100" s="444">
        <f t="shared" si="38"/>
        <v>0</v>
      </c>
      <c r="AY100" s="307"/>
      <c r="AZ100" s="307"/>
      <c r="BA100" s="445">
        <f t="shared" si="39"/>
        <v>0</v>
      </c>
      <c r="BB100" s="442"/>
      <c r="BC100" s="443"/>
      <c r="BD100" s="444">
        <f t="shared" si="40"/>
        <v>0</v>
      </c>
      <c r="BE100" s="307"/>
      <c r="BF100" s="307"/>
      <c r="BG100" s="445">
        <f t="shared" si="41"/>
        <v>0</v>
      </c>
      <c r="BH100" s="442"/>
      <c r="BI100" s="443"/>
      <c r="BJ100" s="444">
        <f t="shared" si="42"/>
        <v>0</v>
      </c>
      <c r="BK100" s="307"/>
      <c r="BL100" s="307"/>
      <c r="BM100" s="445">
        <f t="shared" si="43"/>
        <v>0</v>
      </c>
      <c r="BN100" s="442"/>
      <c r="BO100" s="443"/>
      <c r="BP100" s="444">
        <f t="shared" si="44"/>
        <v>0</v>
      </c>
      <c r="BQ100" s="307"/>
      <c r="BR100" s="307"/>
      <c r="BS100" s="445">
        <f t="shared" si="45"/>
        <v>0</v>
      </c>
      <c r="BT100" s="442"/>
      <c r="BU100" s="443"/>
      <c r="BV100" s="444">
        <f t="shared" si="46"/>
        <v>0</v>
      </c>
      <c r="BW100" s="307"/>
      <c r="BX100" s="307"/>
      <c r="BY100" s="449">
        <f t="shared" si="47"/>
        <v>0</v>
      </c>
    </row>
    <row r="101" spans="1:77" s="308" customFormat="1" ht="12.75" customHeight="1">
      <c r="A101" s="325" t="s">
        <v>347</v>
      </c>
      <c r="B101" s="326" t="s">
        <v>158</v>
      </c>
      <c r="C101" s="326"/>
      <c r="D101" s="325">
        <v>137078</v>
      </c>
      <c r="E101" s="327">
        <v>7</v>
      </c>
      <c r="F101" s="453"/>
      <c r="G101" s="454"/>
      <c r="H101" s="439">
        <f t="shared" si="24"/>
        <v>0</v>
      </c>
      <c r="I101" s="311"/>
      <c r="J101" s="311"/>
      <c r="K101" s="441">
        <f t="shared" si="25"/>
        <v>0</v>
      </c>
      <c r="L101" s="442"/>
      <c r="M101" s="443"/>
      <c r="N101" s="444">
        <f t="shared" si="26"/>
        <v>0</v>
      </c>
      <c r="O101" s="307"/>
      <c r="P101" s="307"/>
      <c r="Q101" s="445">
        <f t="shared" si="27"/>
        <v>0</v>
      </c>
      <c r="R101" s="442"/>
      <c r="S101" s="443"/>
      <c r="T101" s="444">
        <f t="shared" si="28"/>
        <v>0</v>
      </c>
      <c r="U101" s="306"/>
      <c r="V101" s="306"/>
      <c r="W101" s="441">
        <f t="shared" si="29"/>
        <v>0</v>
      </c>
      <c r="X101" s="442"/>
      <c r="Y101" s="443"/>
      <c r="Z101" s="444">
        <f t="shared" si="30"/>
        <v>0</v>
      </c>
      <c r="AA101" s="307"/>
      <c r="AB101" s="307"/>
      <c r="AC101" s="445">
        <f t="shared" si="31"/>
        <v>0</v>
      </c>
      <c r="AD101" s="442"/>
      <c r="AE101" s="443"/>
      <c r="AF101" s="444">
        <f t="shared" si="32"/>
        <v>0</v>
      </c>
      <c r="AG101" s="307"/>
      <c r="AH101" s="307"/>
      <c r="AI101" s="445">
        <f t="shared" si="33"/>
        <v>0</v>
      </c>
      <c r="AJ101" s="446">
        <v>309</v>
      </c>
      <c r="AK101" s="443">
        <v>56617</v>
      </c>
      <c r="AL101" s="444">
        <f t="shared" si="34"/>
        <v>17494653</v>
      </c>
      <c r="AM101" s="307">
        <v>325</v>
      </c>
      <c r="AN101" s="307">
        <v>58860</v>
      </c>
      <c r="AO101" s="447">
        <f t="shared" si="35"/>
        <v>19129500</v>
      </c>
      <c r="AP101" s="448"/>
      <c r="AQ101" s="443"/>
      <c r="AR101" s="444">
        <f t="shared" si="36"/>
        <v>0</v>
      </c>
      <c r="AS101" s="307"/>
      <c r="AT101" s="307"/>
      <c r="AU101" s="441">
        <f t="shared" si="37"/>
        <v>0</v>
      </c>
      <c r="AV101" s="442"/>
      <c r="AW101" s="443"/>
      <c r="AX101" s="444">
        <f t="shared" si="38"/>
        <v>0</v>
      </c>
      <c r="AY101" s="307"/>
      <c r="AZ101" s="307"/>
      <c r="BA101" s="445">
        <f t="shared" si="39"/>
        <v>0</v>
      </c>
      <c r="BB101" s="442"/>
      <c r="BC101" s="443"/>
      <c r="BD101" s="444">
        <f t="shared" si="40"/>
        <v>0</v>
      </c>
      <c r="BE101" s="307"/>
      <c r="BF101" s="307"/>
      <c r="BG101" s="445">
        <f t="shared" si="41"/>
        <v>0</v>
      </c>
      <c r="BH101" s="442"/>
      <c r="BI101" s="443"/>
      <c r="BJ101" s="444">
        <f t="shared" si="42"/>
        <v>0</v>
      </c>
      <c r="BK101" s="307"/>
      <c r="BL101" s="307"/>
      <c r="BM101" s="445">
        <f t="shared" si="43"/>
        <v>0</v>
      </c>
      <c r="BN101" s="442"/>
      <c r="BO101" s="443"/>
      <c r="BP101" s="444">
        <f t="shared" si="44"/>
        <v>0</v>
      </c>
      <c r="BQ101" s="307"/>
      <c r="BR101" s="307"/>
      <c r="BS101" s="445">
        <f t="shared" si="45"/>
        <v>0</v>
      </c>
      <c r="BT101" s="442"/>
      <c r="BU101" s="443"/>
      <c r="BV101" s="444">
        <f t="shared" si="46"/>
        <v>0</v>
      </c>
      <c r="BW101" s="307"/>
      <c r="BX101" s="307"/>
      <c r="BY101" s="449">
        <f t="shared" si="47"/>
        <v>0</v>
      </c>
    </row>
    <row r="102" spans="1:77" s="308" customFormat="1" ht="12.75" customHeight="1">
      <c r="A102" s="325" t="s">
        <v>347</v>
      </c>
      <c r="B102" s="326" t="s">
        <v>147</v>
      </c>
      <c r="C102" s="326"/>
      <c r="D102" s="325">
        <v>132693</v>
      </c>
      <c r="E102" s="327">
        <v>8</v>
      </c>
      <c r="F102" s="453"/>
      <c r="G102" s="454"/>
      <c r="H102" s="439">
        <f t="shared" si="24"/>
        <v>0</v>
      </c>
      <c r="I102" s="311"/>
      <c r="J102" s="311"/>
      <c r="K102" s="441">
        <f t="shared" si="25"/>
        <v>0</v>
      </c>
      <c r="L102" s="442"/>
      <c r="M102" s="443"/>
      <c r="N102" s="444">
        <f t="shared" si="26"/>
        <v>0</v>
      </c>
      <c r="O102" s="307"/>
      <c r="P102" s="307"/>
      <c r="Q102" s="445">
        <f t="shared" si="27"/>
        <v>0</v>
      </c>
      <c r="R102" s="442"/>
      <c r="S102" s="443"/>
      <c r="T102" s="444">
        <f t="shared" si="28"/>
        <v>0</v>
      </c>
      <c r="U102" s="306"/>
      <c r="V102" s="306"/>
      <c r="W102" s="441">
        <f t="shared" si="29"/>
        <v>0</v>
      </c>
      <c r="X102" s="442"/>
      <c r="Y102" s="443"/>
      <c r="Z102" s="444">
        <f t="shared" si="30"/>
        <v>0</v>
      </c>
      <c r="AA102" s="307"/>
      <c r="AB102" s="307"/>
      <c r="AC102" s="445">
        <f t="shared" si="31"/>
        <v>0</v>
      </c>
      <c r="AD102" s="442"/>
      <c r="AE102" s="443"/>
      <c r="AF102" s="444">
        <f t="shared" si="32"/>
        <v>0</v>
      </c>
      <c r="AG102" s="307"/>
      <c r="AH102" s="307"/>
      <c r="AI102" s="445">
        <f t="shared" si="33"/>
        <v>0</v>
      </c>
      <c r="AJ102" s="446">
        <v>219</v>
      </c>
      <c r="AK102" s="443">
        <v>52544</v>
      </c>
      <c r="AL102" s="444">
        <f t="shared" si="34"/>
        <v>11507136</v>
      </c>
      <c r="AM102" s="307">
        <v>243</v>
      </c>
      <c r="AN102" s="307">
        <v>53659</v>
      </c>
      <c r="AO102" s="447">
        <f t="shared" si="35"/>
        <v>13039137</v>
      </c>
      <c r="AP102" s="448"/>
      <c r="AQ102" s="443"/>
      <c r="AR102" s="444">
        <f t="shared" si="36"/>
        <v>0</v>
      </c>
      <c r="AS102" s="307"/>
      <c r="AT102" s="307"/>
      <c r="AU102" s="441">
        <f t="shared" si="37"/>
        <v>0</v>
      </c>
      <c r="AV102" s="442"/>
      <c r="AW102" s="443"/>
      <c r="AX102" s="444">
        <f t="shared" si="38"/>
        <v>0</v>
      </c>
      <c r="AY102" s="307"/>
      <c r="AZ102" s="307"/>
      <c r="BA102" s="445">
        <f t="shared" si="39"/>
        <v>0</v>
      </c>
      <c r="BB102" s="442"/>
      <c r="BC102" s="443"/>
      <c r="BD102" s="444">
        <f t="shared" si="40"/>
        <v>0</v>
      </c>
      <c r="BE102" s="307"/>
      <c r="BF102" s="307"/>
      <c r="BG102" s="445">
        <f t="shared" si="41"/>
        <v>0</v>
      </c>
      <c r="BH102" s="442"/>
      <c r="BI102" s="443"/>
      <c r="BJ102" s="444">
        <f t="shared" si="42"/>
        <v>0</v>
      </c>
      <c r="BK102" s="307"/>
      <c r="BL102" s="307"/>
      <c r="BM102" s="445">
        <f t="shared" si="43"/>
        <v>0</v>
      </c>
      <c r="BN102" s="442"/>
      <c r="BO102" s="443"/>
      <c r="BP102" s="444">
        <f t="shared" si="44"/>
        <v>0</v>
      </c>
      <c r="BQ102" s="307"/>
      <c r="BR102" s="307"/>
      <c r="BS102" s="445">
        <f t="shared" si="45"/>
        <v>0</v>
      </c>
      <c r="BT102" s="442"/>
      <c r="BU102" s="443"/>
      <c r="BV102" s="444">
        <f t="shared" si="46"/>
        <v>0</v>
      </c>
      <c r="BW102" s="307"/>
      <c r="BX102" s="307"/>
      <c r="BY102" s="449">
        <f t="shared" si="47"/>
        <v>0</v>
      </c>
    </row>
    <row r="103" spans="1:77" s="308" customFormat="1" ht="12.75" customHeight="1">
      <c r="A103" s="325" t="s">
        <v>347</v>
      </c>
      <c r="B103" s="405" t="s">
        <v>916</v>
      </c>
      <c r="C103" s="499" t="s">
        <v>1078</v>
      </c>
      <c r="D103" s="325">
        <v>132709</v>
      </c>
      <c r="E103" s="327">
        <v>8</v>
      </c>
      <c r="F103" s="453"/>
      <c r="G103" s="454"/>
      <c r="H103" s="439">
        <f t="shared" si="24"/>
        <v>0</v>
      </c>
      <c r="I103" s="311"/>
      <c r="J103" s="311"/>
      <c r="K103" s="441">
        <f t="shared" si="25"/>
        <v>0</v>
      </c>
      <c r="L103" s="442"/>
      <c r="M103" s="443"/>
      <c r="N103" s="444">
        <f t="shared" si="26"/>
        <v>0</v>
      </c>
      <c r="O103" s="307"/>
      <c r="P103" s="307"/>
      <c r="Q103" s="445">
        <f t="shared" si="27"/>
        <v>0</v>
      </c>
      <c r="R103" s="442"/>
      <c r="S103" s="443"/>
      <c r="T103" s="444">
        <f t="shared" si="28"/>
        <v>0</v>
      </c>
      <c r="U103" s="306"/>
      <c r="V103" s="306"/>
      <c r="W103" s="441">
        <f t="shared" si="29"/>
        <v>0</v>
      </c>
      <c r="X103" s="442"/>
      <c r="Y103" s="443"/>
      <c r="Z103" s="444">
        <f t="shared" si="30"/>
        <v>0</v>
      </c>
      <c r="AA103" s="307"/>
      <c r="AB103" s="307"/>
      <c r="AC103" s="445">
        <f t="shared" si="31"/>
        <v>0</v>
      </c>
      <c r="AD103" s="442"/>
      <c r="AE103" s="443"/>
      <c r="AF103" s="444">
        <f t="shared" si="32"/>
        <v>0</v>
      </c>
      <c r="AG103" s="307"/>
      <c r="AH103" s="307"/>
      <c r="AI103" s="445">
        <f t="shared" si="33"/>
        <v>0</v>
      </c>
      <c r="AJ103" s="446">
        <v>367</v>
      </c>
      <c r="AK103" s="443">
        <v>56485</v>
      </c>
      <c r="AL103" s="444">
        <f t="shared" si="34"/>
        <v>20729995</v>
      </c>
      <c r="AM103" s="307">
        <v>382</v>
      </c>
      <c r="AN103" s="307">
        <v>56134</v>
      </c>
      <c r="AO103" s="447">
        <f t="shared" si="35"/>
        <v>21443188</v>
      </c>
      <c r="AP103" s="448"/>
      <c r="AQ103" s="443"/>
      <c r="AR103" s="444">
        <f t="shared" si="36"/>
        <v>0</v>
      </c>
      <c r="AS103" s="307"/>
      <c r="AT103" s="307"/>
      <c r="AU103" s="441">
        <f t="shared" si="37"/>
        <v>0</v>
      </c>
      <c r="AV103" s="442"/>
      <c r="AW103" s="443"/>
      <c r="AX103" s="444">
        <f t="shared" si="38"/>
        <v>0</v>
      </c>
      <c r="AY103" s="307"/>
      <c r="AZ103" s="307"/>
      <c r="BA103" s="445">
        <f t="shared" si="39"/>
        <v>0</v>
      </c>
      <c r="BB103" s="442"/>
      <c r="BC103" s="443"/>
      <c r="BD103" s="444">
        <f t="shared" si="40"/>
        <v>0</v>
      </c>
      <c r="BE103" s="307"/>
      <c r="BF103" s="307"/>
      <c r="BG103" s="445">
        <f t="shared" si="41"/>
        <v>0</v>
      </c>
      <c r="BH103" s="442"/>
      <c r="BI103" s="443"/>
      <c r="BJ103" s="444">
        <f t="shared" si="42"/>
        <v>0</v>
      </c>
      <c r="BK103" s="307"/>
      <c r="BL103" s="307"/>
      <c r="BM103" s="445">
        <f t="shared" si="43"/>
        <v>0</v>
      </c>
      <c r="BN103" s="442"/>
      <c r="BO103" s="443"/>
      <c r="BP103" s="444">
        <f t="shared" si="44"/>
        <v>0</v>
      </c>
      <c r="BQ103" s="307"/>
      <c r="BR103" s="307"/>
      <c r="BS103" s="445">
        <f t="shared" si="45"/>
        <v>0</v>
      </c>
      <c r="BT103" s="442"/>
      <c r="BU103" s="443"/>
      <c r="BV103" s="444">
        <f t="shared" si="46"/>
        <v>0</v>
      </c>
      <c r="BW103" s="307"/>
      <c r="BX103" s="307"/>
      <c r="BY103" s="449">
        <f t="shared" si="47"/>
        <v>0</v>
      </c>
    </row>
    <row r="104" spans="1:77" s="308" customFormat="1" ht="12.75" customHeight="1">
      <c r="A104" s="325" t="s">
        <v>347</v>
      </c>
      <c r="B104" s="404" t="s">
        <v>924</v>
      </c>
      <c r="C104" s="500" t="s">
        <v>1079</v>
      </c>
      <c r="D104" s="325">
        <v>132851</v>
      </c>
      <c r="E104" s="501">
        <v>8</v>
      </c>
      <c r="F104" s="453"/>
      <c r="G104" s="454"/>
      <c r="H104" s="439">
        <f t="shared" si="24"/>
        <v>0</v>
      </c>
      <c r="I104" s="311"/>
      <c r="J104" s="311"/>
      <c r="K104" s="441">
        <f t="shared" si="25"/>
        <v>0</v>
      </c>
      <c r="L104" s="442"/>
      <c r="M104" s="443"/>
      <c r="N104" s="444">
        <f t="shared" si="26"/>
        <v>0</v>
      </c>
      <c r="O104" s="307"/>
      <c r="P104" s="307"/>
      <c r="Q104" s="445">
        <f t="shared" si="27"/>
        <v>0</v>
      </c>
      <c r="R104" s="442"/>
      <c r="S104" s="443"/>
      <c r="T104" s="444">
        <f t="shared" si="28"/>
        <v>0</v>
      </c>
      <c r="U104" s="306"/>
      <c r="V104" s="306"/>
      <c r="W104" s="441">
        <f t="shared" si="29"/>
        <v>0</v>
      </c>
      <c r="X104" s="442"/>
      <c r="Y104" s="443"/>
      <c r="Z104" s="444">
        <f t="shared" si="30"/>
        <v>0</v>
      </c>
      <c r="AA104" s="307"/>
      <c r="AB104" s="307"/>
      <c r="AC104" s="445">
        <f t="shared" si="31"/>
        <v>0</v>
      </c>
      <c r="AD104" s="442"/>
      <c r="AE104" s="443"/>
      <c r="AF104" s="444">
        <f t="shared" si="32"/>
        <v>0</v>
      </c>
      <c r="AG104" s="307"/>
      <c r="AH104" s="307"/>
      <c r="AI104" s="445">
        <f t="shared" si="33"/>
        <v>0</v>
      </c>
      <c r="AJ104" s="446">
        <v>116</v>
      </c>
      <c r="AK104" s="443">
        <v>56210</v>
      </c>
      <c r="AL104" s="444">
        <f t="shared" si="34"/>
        <v>6520360</v>
      </c>
      <c r="AM104" s="307">
        <v>127</v>
      </c>
      <c r="AN104" s="307">
        <v>47512</v>
      </c>
      <c r="AO104" s="447">
        <f t="shared" si="35"/>
        <v>6034024</v>
      </c>
      <c r="AP104" s="448"/>
      <c r="AQ104" s="443"/>
      <c r="AR104" s="444">
        <f t="shared" si="36"/>
        <v>0</v>
      </c>
      <c r="AS104" s="307"/>
      <c r="AT104" s="307"/>
      <c r="AU104" s="441">
        <f t="shared" si="37"/>
        <v>0</v>
      </c>
      <c r="AV104" s="442"/>
      <c r="AW104" s="443"/>
      <c r="AX104" s="444">
        <f t="shared" si="38"/>
        <v>0</v>
      </c>
      <c r="AY104" s="307"/>
      <c r="AZ104" s="307"/>
      <c r="BA104" s="445">
        <f t="shared" si="39"/>
        <v>0</v>
      </c>
      <c r="BB104" s="442"/>
      <c r="BC104" s="443"/>
      <c r="BD104" s="444">
        <f t="shared" si="40"/>
        <v>0</v>
      </c>
      <c r="BE104" s="307"/>
      <c r="BF104" s="307"/>
      <c r="BG104" s="445">
        <f t="shared" si="41"/>
        <v>0</v>
      </c>
      <c r="BH104" s="442"/>
      <c r="BI104" s="443"/>
      <c r="BJ104" s="444">
        <f t="shared" si="42"/>
        <v>0</v>
      </c>
      <c r="BK104" s="307"/>
      <c r="BL104" s="307"/>
      <c r="BM104" s="445">
        <f t="shared" si="43"/>
        <v>0</v>
      </c>
      <c r="BN104" s="442"/>
      <c r="BO104" s="443"/>
      <c r="BP104" s="444">
        <f t="shared" si="44"/>
        <v>0</v>
      </c>
      <c r="BQ104" s="307"/>
      <c r="BR104" s="307"/>
      <c r="BS104" s="445">
        <f t="shared" si="45"/>
        <v>0</v>
      </c>
      <c r="BT104" s="442"/>
      <c r="BU104" s="443"/>
      <c r="BV104" s="444">
        <f t="shared" si="46"/>
        <v>0</v>
      </c>
      <c r="BW104" s="307"/>
      <c r="BX104" s="307"/>
      <c r="BY104" s="449">
        <f t="shared" si="47"/>
        <v>0</v>
      </c>
    </row>
    <row r="105" spans="1:77" s="308" customFormat="1" ht="12.75" customHeight="1">
      <c r="A105" s="329" t="s">
        <v>347</v>
      </c>
      <c r="B105" s="405" t="s">
        <v>917</v>
      </c>
      <c r="C105" s="499" t="s">
        <v>1080</v>
      </c>
      <c r="D105" s="329">
        <v>133702</v>
      </c>
      <c r="E105" s="456">
        <v>8</v>
      </c>
      <c r="F105" s="453"/>
      <c r="G105" s="454"/>
      <c r="H105" s="439">
        <f t="shared" si="24"/>
        <v>0</v>
      </c>
      <c r="I105" s="311"/>
      <c r="J105" s="311"/>
      <c r="K105" s="441">
        <f t="shared" si="25"/>
        <v>0</v>
      </c>
      <c r="L105" s="442"/>
      <c r="M105" s="443"/>
      <c r="N105" s="444">
        <f t="shared" si="26"/>
        <v>0</v>
      </c>
      <c r="O105" s="307"/>
      <c r="P105" s="307"/>
      <c r="Q105" s="445">
        <f t="shared" si="27"/>
        <v>0</v>
      </c>
      <c r="R105" s="442"/>
      <c r="S105" s="443"/>
      <c r="T105" s="444">
        <f t="shared" si="28"/>
        <v>0</v>
      </c>
      <c r="U105" s="306"/>
      <c r="V105" s="306"/>
      <c r="W105" s="441">
        <f t="shared" si="29"/>
        <v>0</v>
      </c>
      <c r="X105" s="442"/>
      <c r="Y105" s="443"/>
      <c r="Z105" s="444">
        <f t="shared" si="30"/>
        <v>0</v>
      </c>
      <c r="AA105" s="307"/>
      <c r="AB105" s="307"/>
      <c r="AC105" s="445">
        <f t="shared" si="31"/>
        <v>0</v>
      </c>
      <c r="AD105" s="442"/>
      <c r="AE105" s="443"/>
      <c r="AF105" s="444">
        <f t="shared" si="32"/>
        <v>0</v>
      </c>
      <c r="AG105" s="307"/>
      <c r="AH105" s="307"/>
      <c r="AI105" s="445">
        <f t="shared" si="33"/>
        <v>0</v>
      </c>
      <c r="AJ105" s="446">
        <v>384</v>
      </c>
      <c r="AK105" s="443">
        <v>47236</v>
      </c>
      <c r="AL105" s="444">
        <f t="shared" si="34"/>
        <v>18138624</v>
      </c>
      <c r="AM105" s="307">
        <v>395</v>
      </c>
      <c r="AN105" s="307">
        <v>48371</v>
      </c>
      <c r="AO105" s="447">
        <f t="shared" si="35"/>
        <v>19106545</v>
      </c>
      <c r="AP105" s="448"/>
      <c r="AQ105" s="443"/>
      <c r="AR105" s="444">
        <f t="shared" si="36"/>
        <v>0</v>
      </c>
      <c r="AS105" s="307"/>
      <c r="AT105" s="307"/>
      <c r="AU105" s="441">
        <f t="shared" si="37"/>
        <v>0</v>
      </c>
      <c r="AV105" s="442"/>
      <c r="AW105" s="443"/>
      <c r="AX105" s="444">
        <f t="shared" si="38"/>
        <v>0</v>
      </c>
      <c r="AY105" s="307"/>
      <c r="AZ105" s="307"/>
      <c r="BA105" s="445">
        <f t="shared" si="39"/>
        <v>0</v>
      </c>
      <c r="BB105" s="442"/>
      <c r="BC105" s="443"/>
      <c r="BD105" s="444">
        <f t="shared" si="40"/>
        <v>0</v>
      </c>
      <c r="BE105" s="307"/>
      <c r="BF105" s="307"/>
      <c r="BG105" s="445">
        <f t="shared" si="41"/>
        <v>0</v>
      </c>
      <c r="BH105" s="442"/>
      <c r="BI105" s="443"/>
      <c r="BJ105" s="444">
        <f t="shared" si="42"/>
        <v>0</v>
      </c>
      <c r="BK105" s="307"/>
      <c r="BL105" s="307"/>
      <c r="BM105" s="445">
        <f t="shared" si="43"/>
        <v>0</v>
      </c>
      <c r="BN105" s="442"/>
      <c r="BO105" s="443"/>
      <c r="BP105" s="444">
        <f t="shared" si="44"/>
        <v>0</v>
      </c>
      <c r="BQ105" s="307"/>
      <c r="BR105" s="307"/>
      <c r="BS105" s="445">
        <f t="shared" si="45"/>
        <v>0</v>
      </c>
      <c r="BT105" s="442"/>
      <c r="BU105" s="443"/>
      <c r="BV105" s="444">
        <f t="shared" si="46"/>
        <v>0</v>
      </c>
      <c r="BW105" s="307"/>
      <c r="BX105" s="307"/>
      <c r="BY105" s="449">
        <f t="shared" si="47"/>
        <v>0</v>
      </c>
    </row>
    <row r="106" spans="1:77" s="308" customFormat="1" ht="12.75" customHeight="1">
      <c r="A106" s="329" t="s">
        <v>347</v>
      </c>
      <c r="B106" s="330" t="s">
        <v>151</v>
      </c>
      <c r="C106" s="330"/>
      <c r="D106" s="329">
        <v>134495</v>
      </c>
      <c r="E106" s="456">
        <v>8</v>
      </c>
      <c r="F106" s="453"/>
      <c r="G106" s="454"/>
      <c r="H106" s="439">
        <f t="shared" si="24"/>
        <v>0</v>
      </c>
      <c r="I106" s="311"/>
      <c r="J106" s="311"/>
      <c r="K106" s="441">
        <f t="shared" si="25"/>
        <v>0</v>
      </c>
      <c r="L106" s="442"/>
      <c r="M106" s="443"/>
      <c r="N106" s="444">
        <f t="shared" si="26"/>
        <v>0</v>
      </c>
      <c r="O106" s="307"/>
      <c r="P106" s="307"/>
      <c r="Q106" s="445">
        <f t="shared" si="27"/>
        <v>0</v>
      </c>
      <c r="R106" s="442"/>
      <c r="S106" s="443"/>
      <c r="T106" s="444">
        <f t="shared" si="28"/>
        <v>0</v>
      </c>
      <c r="U106" s="306"/>
      <c r="V106" s="306"/>
      <c r="W106" s="441">
        <f t="shared" si="29"/>
        <v>0</v>
      </c>
      <c r="X106" s="442"/>
      <c r="Y106" s="443"/>
      <c r="Z106" s="444">
        <f t="shared" si="30"/>
        <v>0</v>
      </c>
      <c r="AA106" s="307"/>
      <c r="AB106" s="307"/>
      <c r="AC106" s="445">
        <f t="shared" si="31"/>
        <v>0</v>
      </c>
      <c r="AD106" s="442"/>
      <c r="AE106" s="443"/>
      <c r="AF106" s="444">
        <f t="shared" si="32"/>
        <v>0</v>
      </c>
      <c r="AG106" s="307"/>
      <c r="AH106" s="307"/>
      <c r="AI106" s="445">
        <f t="shared" si="33"/>
        <v>0</v>
      </c>
      <c r="AJ106" s="446">
        <v>282</v>
      </c>
      <c r="AK106" s="443">
        <v>51933</v>
      </c>
      <c r="AL106" s="444">
        <f t="shared" si="34"/>
        <v>14645106</v>
      </c>
      <c r="AM106" s="307">
        <v>292</v>
      </c>
      <c r="AN106" s="307">
        <v>52000</v>
      </c>
      <c r="AO106" s="447">
        <f t="shared" si="35"/>
        <v>15184000</v>
      </c>
      <c r="AP106" s="448"/>
      <c r="AQ106" s="443"/>
      <c r="AR106" s="444">
        <f t="shared" si="36"/>
        <v>0</v>
      </c>
      <c r="AS106" s="307"/>
      <c r="AT106" s="307"/>
      <c r="AU106" s="441">
        <f t="shared" si="37"/>
        <v>0</v>
      </c>
      <c r="AV106" s="442"/>
      <c r="AW106" s="443"/>
      <c r="AX106" s="444">
        <f t="shared" si="38"/>
        <v>0</v>
      </c>
      <c r="AY106" s="307"/>
      <c r="AZ106" s="307"/>
      <c r="BA106" s="445">
        <f t="shared" si="39"/>
        <v>0</v>
      </c>
      <c r="BB106" s="442"/>
      <c r="BC106" s="443"/>
      <c r="BD106" s="444">
        <f t="shared" si="40"/>
        <v>0</v>
      </c>
      <c r="BE106" s="307"/>
      <c r="BF106" s="307"/>
      <c r="BG106" s="445">
        <f t="shared" si="41"/>
        <v>0</v>
      </c>
      <c r="BH106" s="442"/>
      <c r="BI106" s="443"/>
      <c r="BJ106" s="444">
        <f t="shared" si="42"/>
        <v>0</v>
      </c>
      <c r="BK106" s="307"/>
      <c r="BL106" s="307"/>
      <c r="BM106" s="445">
        <f t="shared" si="43"/>
        <v>0</v>
      </c>
      <c r="BN106" s="442"/>
      <c r="BO106" s="443"/>
      <c r="BP106" s="444">
        <f t="shared" si="44"/>
        <v>0</v>
      </c>
      <c r="BQ106" s="307"/>
      <c r="BR106" s="307"/>
      <c r="BS106" s="445">
        <f t="shared" si="45"/>
        <v>0</v>
      </c>
      <c r="BT106" s="442"/>
      <c r="BU106" s="443"/>
      <c r="BV106" s="444">
        <f t="shared" si="46"/>
        <v>0</v>
      </c>
      <c r="BW106" s="307"/>
      <c r="BX106" s="307"/>
      <c r="BY106" s="449">
        <f t="shared" si="47"/>
        <v>0</v>
      </c>
    </row>
    <row r="107" spans="1:77" s="308" customFormat="1" ht="12.75" customHeight="1">
      <c r="A107" s="329" t="s">
        <v>347</v>
      </c>
      <c r="B107" s="405" t="s">
        <v>918</v>
      </c>
      <c r="C107" s="502" t="s">
        <v>1081</v>
      </c>
      <c r="D107" s="329">
        <v>134608</v>
      </c>
      <c r="E107" s="456">
        <v>8</v>
      </c>
      <c r="F107" s="453"/>
      <c r="G107" s="454"/>
      <c r="H107" s="439">
        <f t="shared" si="24"/>
        <v>0</v>
      </c>
      <c r="I107" s="311"/>
      <c r="J107" s="311"/>
      <c r="K107" s="441">
        <f t="shared" si="25"/>
        <v>0</v>
      </c>
      <c r="L107" s="442"/>
      <c r="M107" s="443"/>
      <c r="N107" s="444">
        <f t="shared" si="26"/>
        <v>0</v>
      </c>
      <c r="O107" s="307"/>
      <c r="P107" s="307"/>
      <c r="Q107" s="445">
        <f t="shared" si="27"/>
        <v>0</v>
      </c>
      <c r="R107" s="442"/>
      <c r="S107" s="443"/>
      <c r="T107" s="444">
        <f t="shared" si="28"/>
        <v>0</v>
      </c>
      <c r="U107" s="306"/>
      <c r="V107" s="306"/>
      <c r="W107" s="441">
        <f t="shared" si="29"/>
        <v>0</v>
      </c>
      <c r="X107" s="442"/>
      <c r="Y107" s="443"/>
      <c r="Z107" s="444">
        <f t="shared" si="30"/>
        <v>0</v>
      </c>
      <c r="AA107" s="307"/>
      <c r="AB107" s="307"/>
      <c r="AC107" s="445">
        <f t="shared" si="31"/>
        <v>0</v>
      </c>
      <c r="AD107" s="442"/>
      <c r="AE107" s="443"/>
      <c r="AF107" s="444">
        <f t="shared" si="32"/>
        <v>0</v>
      </c>
      <c r="AG107" s="307"/>
      <c r="AH107" s="307"/>
      <c r="AI107" s="445">
        <f t="shared" si="33"/>
        <v>0</v>
      </c>
      <c r="AJ107" s="446">
        <v>179</v>
      </c>
      <c r="AK107" s="443">
        <v>64633</v>
      </c>
      <c r="AL107" s="444">
        <f t="shared" si="34"/>
        <v>11569307</v>
      </c>
      <c r="AM107" s="307">
        <v>185</v>
      </c>
      <c r="AN107" s="307">
        <v>66822</v>
      </c>
      <c r="AO107" s="447">
        <f t="shared" si="35"/>
        <v>12362070</v>
      </c>
      <c r="AP107" s="448"/>
      <c r="AQ107" s="443"/>
      <c r="AR107" s="444">
        <f t="shared" si="36"/>
        <v>0</v>
      </c>
      <c r="AS107" s="307"/>
      <c r="AT107" s="307"/>
      <c r="AU107" s="441">
        <f t="shared" si="37"/>
        <v>0</v>
      </c>
      <c r="AV107" s="442"/>
      <c r="AW107" s="443"/>
      <c r="AX107" s="444">
        <f t="shared" si="38"/>
        <v>0</v>
      </c>
      <c r="AY107" s="307"/>
      <c r="AZ107" s="307"/>
      <c r="BA107" s="445">
        <f t="shared" si="39"/>
        <v>0</v>
      </c>
      <c r="BB107" s="442"/>
      <c r="BC107" s="443"/>
      <c r="BD107" s="444">
        <f t="shared" si="40"/>
        <v>0</v>
      </c>
      <c r="BE107" s="307"/>
      <c r="BF107" s="307"/>
      <c r="BG107" s="445">
        <f t="shared" si="41"/>
        <v>0</v>
      </c>
      <c r="BH107" s="442"/>
      <c r="BI107" s="443"/>
      <c r="BJ107" s="444">
        <f t="shared" si="42"/>
        <v>0</v>
      </c>
      <c r="BK107" s="307"/>
      <c r="BL107" s="307"/>
      <c r="BM107" s="445">
        <f t="shared" si="43"/>
        <v>0</v>
      </c>
      <c r="BN107" s="442"/>
      <c r="BO107" s="443"/>
      <c r="BP107" s="444">
        <f t="shared" si="44"/>
        <v>0</v>
      </c>
      <c r="BQ107" s="307"/>
      <c r="BR107" s="307"/>
      <c r="BS107" s="445">
        <f t="shared" si="45"/>
        <v>0</v>
      </c>
      <c r="BT107" s="442"/>
      <c r="BU107" s="443"/>
      <c r="BV107" s="444">
        <f t="shared" si="46"/>
        <v>0</v>
      </c>
      <c r="BW107" s="307"/>
      <c r="BX107" s="307"/>
      <c r="BY107" s="449">
        <f t="shared" si="47"/>
        <v>0</v>
      </c>
    </row>
    <row r="108" spans="1:77" s="308" customFormat="1" ht="12.75" customHeight="1">
      <c r="A108" s="329" t="s">
        <v>347</v>
      </c>
      <c r="B108" s="405" t="s">
        <v>919</v>
      </c>
      <c r="C108" s="499" t="s">
        <v>1082</v>
      </c>
      <c r="D108" s="329">
        <v>136358</v>
      </c>
      <c r="E108" s="329">
        <v>8</v>
      </c>
      <c r="F108" s="453"/>
      <c r="G108" s="454"/>
      <c r="H108" s="439">
        <f t="shared" si="24"/>
        <v>0</v>
      </c>
      <c r="I108" s="311"/>
      <c r="J108" s="311"/>
      <c r="K108" s="441">
        <f t="shared" si="25"/>
        <v>0</v>
      </c>
      <c r="L108" s="442"/>
      <c r="M108" s="443"/>
      <c r="N108" s="444">
        <f t="shared" si="26"/>
        <v>0</v>
      </c>
      <c r="O108" s="307"/>
      <c r="P108" s="307"/>
      <c r="Q108" s="445">
        <f t="shared" si="27"/>
        <v>0</v>
      </c>
      <c r="R108" s="442"/>
      <c r="S108" s="443"/>
      <c r="T108" s="444">
        <f t="shared" si="28"/>
        <v>0</v>
      </c>
      <c r="U108" s="306"/>
      <c r="V108" s="306"/>
      <c r="W108" s="441">
        <f t="shared" si="29"/>
        <v>0</v>
      </c>
      <c r="X108" s="442"/>
      <c r="Y108" s="443"/>
      <c r="Z108" s="444">
        <f t="shared" si="30"/>
        <v>0</v>
      </c>
      <c r="AA108" s="307"/>
      <c r="AB108" s="307"/>
      <c r="AC108" s="445">
        <f t="shared" si="31"/>
        <v>0</v>
      </c>
      <c r="AD108" s="442"/>
      <c r="AE108" s="443"/>
      <c r="AF108" s="444">
        <f t="shared" si="32"/>
        <v>0</v>
      </c>
      <c r="AG108" s="307"/>
      <c r="AH108" s="307"/>
      <c r="AI108" s="445">
        <f t="shared" si="33"/>
        <v>0</v>
      </c>
      <c r="AJ108" s="446">
        <v>250</v>
      </c>
      <c r="AK108" s="443">
        <v>55491</v>
      </c>
      <c r="AL108" s="444">
        <f t="shared" si="34"/>
        <v>13872750</v>
      </c>
      <c r="AM108" s="307">
        <v>283</v>
      </c>
      <c r="AN108" s="307">
        <v>54910</v>
      </c>
      <c r="AO108" s="447">
        <f t="shared" si="35"/>
        <v>15539530</v>
      </c>
      <c r="AP108" s="448"/>
      <c r="AQ108" s="443"/>
      <c r="AR108" s="444">
        <f t="shared" si="36"/>
        <v>0</v>
      </c>
      <c r="AS108" s="307"/>
      <c r="AT108" s="307"/>
      <c r="AU108" s="441">
        <f t="shared" si="37"/>
        <v>0</v>
      </c>
      <c r="AV108" s="442"/>
      <c r="AW108" s="443"/>
      <c r="AX108" s="444">
        <f t="shared" si="38"/>
        <v>0</v>
      </c>
      <c r="AY108" s="307"/>
      <c r="AZ108" s="307"/>
      <c r="BA108" s="445">
        <f t="shared" si="39"/>
        <v>0</v>
      </c>
      <c r="BB108" s="442"/>
      <c r="BC108" s="443"/>
      <c r="BD108" s="444">
        <f t="shared" si="40"/>
        <v>0</v>
      </c>
      <c r="BE108" s="307"/>
      <c r="BF108" s="307"/>
      <c r="BG108" s="445">
        <f t="shared" si="41"/>
        <v>0</v>
      </c>
      <c r="BH108" s="442"/>
      <c r="BI108" s="443"/>
      <c r="BJ108" s="444">
        <f t="shared" si="42"/>
        <v>0</v>
      </c>
      <c r="BK108" s="307"/>
      <c r="BL108" s="307"/>
      <c r="BM108" s="445">
        <f t="shared" si="43"/>
        <v>0</v>
      </c>
      <c r="BN108" s="442"/>
      <c r="BO108" s="443"/>
      <c r="BP108" s="444">
        <f t="shared" si="44"/>
        <v>0</v>
      </c>
      <c r="BQ108" s="307"/>
      <c r="BR108" s="307"/>
      <c r="BS108" s="445">
        <f t="shared" si="45"/>
        <v>0</v>
      </c>
      <c r="BT108" s="442"/>
      <c r="BU108" s="443"/>
      <c r="BV108" s="444">
        <f t="shared" si="46"/>
        <v>0</v>
      </c>
      <c r="BW108" s="307"/>
      <c r="BX108" s="307"/>
      <c r="BY108" s="449">
        <f t="shared" si="47"/>
        <v>0</v>
      </c>
    </row>
    <row r="109" spans="1:77" s="308" customFormat="1" ht="12.75" customHeight="1">
      <c r="A109" s="329" t="s">
        <v>347</v>
      </c>
      <c r="B109" s="328" t="s">
        <v>156</v>
      </c>
      <c r="C109" s="328"/>
      <c r="D109" s="331">
        <v>136400</v>
      </c>
      <c r="E109" s="457">
        <v>8</v>
      </c>
      <c r="F109" s="453"/>
      <c r="G109" s="454"/>
      <c r="H109" s="439">
        <f t="shared" si="24"/>
        <v>0</v>
      </c>
      <c r="I109" s="311"/>
      <c r="J109" s="311"/>
      <c r="K109" s="441">
        <f t="shared" si="25"/>
        <v>0</v>
      </c>
      <c r="L109" s="442"/>
      <c r="M109" s="443"/>
      <c r="N109" s="444">
        <f t="shared" si="26"/>
        <v>0</v>
      </c>
      <c r="O109" s="307"/>
      <c r="P109" s="307"/>
      <c r="Q109" s="445">
        <f t="shared" si="27"/>
        <v>0</v>
      </c>
      <c r="R109" s="442"/>
      <c r="S109" s="443"/>
      <c r="T109" s="444">
        <f t="shared" si="28"/>
        <v>0</v>
      </c>
      <c r="U109" s="306"/>
      <c r="V109" s="306"/>
      <c r="W109" s="441">
        <f t="shared" si="29"/>
        <v>0</v>
      </c>
      <c r="X109" s="442"/>
      <c r="Y109" s="443"/>
      <c r="Z109" s="444">
        <f t="shared" si="30"/>
        <v>0</v>
      </c>
      <c r="AA109" s="307"/>
      <c r="AB109" s="307"/>
      <c r="AC109" s="445">
        <f t="shared" si="31"/>
        <v>0</v>
      </c>
      <c r="AD109" s="442"/>
      <c r="AE109" s="443"/>
      <c r="AF109" s="444">
        <f t="shared" si="32"/>
        <v>0</v>
      </c>
      <c r="AG109" s="307"/>
      <c r="AH109" s="307"/>
      <c r="AI109" s="445">
        <f t="shared" si="33"/>
        <v>0</v>
      </c>
      <c r="AJ109" s="446">
        <v>109</v>
      </c>
      <c r="AK109" s="443">
        <v>50611</v>
      </c>
      <c r="AL109" s="444">
        <f t="shared" si="34"/>
        <v>5516599</v>
      </c>
      <c r="AM109" s="307">
        <v>118</v>
      </c>
      <c r="AN109" s="307">
        <v>51207</v>
      </c>
      <c r="AO109" s="447">
        <f t="shared" si="35"/>
        <v>6042426</v>
      </c>
      <c r="AP109" s="448"/>
      <c r="AQ109" s="443"/>
      <c r="AR109" s="444">
        <f t="shared" si="36"/>
        <v>0</v>
      </c>
      <c r="AS109" s="307"/>
      <c r="AT109" s="307"/>
      <c r="AU109" s="441">
        <f t="shared" si="37"/>
        <v>0</v>
      </c>
      <c r="AV109" s="442"/>
      <c r="AW109" s="443"/>
      <c r="AX109" s="444">
        <f t="shared" si="38"/>
        <v>0</v>
      </c>
      <c r="AY109" s="307"/>
      <c r="AZ109" s="307"/>
      <c r="BA109" s="445">
        <f t="shared" si="39"/>
        <v>0</v>
      </c>
      <c r="BB109" s="442"/>
      <c r="BC109" s="443"/>
      <c r="BD109" s="444">
        <f t="shared" si="40"/>
        <v>0</v>
      </c>
      <c r="BE109" s="307"/>
      <c r="BF109" s="307"/>
      <c r="BG109" s="445">
        <f t="shared" si="41"/>
        <v>0</v>
      </c>
      <c r="BH109" s="442"/>
      <c r="BI109" s="443"/>
      <c r="BJ109" s="444">
        <f t="shared" si="42"/>
        <v>0</v>
      </c>
      <c r="BK109" s="307"/>
      <c r="BL109" s="307"/>
      <c r="BM109" s="445">
        <f t="shared" si="43"/>
        <v>0</v>
      </c>
      <c r="BN109" s="442"/>
      <c r="BO109" s="443"/>
      <c r="BP109" s="444">
        <f t="shared" si="44"/>
        <v>0</v>
      </c>
      <c r="BQ109" s="307"/>
      <c r="BR109" s="307"/>
      <c r="BS109" s="445">
        <f t="shared" si="45"/>
        <v>0</v>
      </c>
      <c r="BT109" s="442"/>
      <c r="BU109" s="443"/>
      <c r="BV109" s="444">
        <f t="shared" si="46"/>
        <v>0</v>
      </c>
      <c r="BW109" s="307"/>
      <c r="BX109" s="307"/>
      <c r="BY109" s="449">
        <f t="shared" si="47"/>
        <v>0</v>
      </c>
    </row>
    <row r="110" spans="1:77" s="308" customFormat="1" ht="12.75" customHeight="1">
      <c r="A110" s="329" t="s">
        <v>347</v>
      </c>
      <c r="B110" s="405" t="s">
        <v>920</v>
      </c>
      <c r="C110" s="499" t="s">
        <v>1083</v>
      </c>
      <c r="D110" s="329">
        <v>136473</v>
      </c>
      <c r="E110" s="456">
        <v>8</v>
      </c>
      <c r="F110" s="453"/>
      <c r="G110" s="454"/>
      <c r="H110" s="439">
        <f t="shared" si="24"/>
        <v>0</v>
      </c>
      <c r="I110" s="311"/>
      <c r="J110" s="311"/>
      <c r="K110" s="441">
        <f t="shared" si="25"/>
        <v>0</v>
      </c>
      <c r="L110" s="442"/>
      <c r="M110" s="443"/>
      <c r="N110" s="444">
        <f t="shared" si="26"/>
        <v>0</v>
      </c>
      <c r="O110" s="307"/>
      <c r="P110" s="307"/>
      <c r="Q110" s="445">
        <f t="shared" si="27"/>
        <v>0</v>
      </c>
      <c r="R110" s="442"/>
      <c r="S110" s="443"/>
      <c r="T110" s="444">
        <f t="shared" si="28"/>
        <v>0</v>
      </c>
      <c r="U110" s="306"/>
      <c r="V110" s="306"/>
      <c r="W110" s="441">
        <f t="shared" si="29"/>
        <v>0</v>
      </c>
      <c r="X110" s="442"/>
      <c r="Y110" s="443"/>
      <c r="Z110" s="444">
        <f t="shared" si="30"/>
        <v>0</v>
      </c>
      <c r="AA110" s="307"/>
      <c r="AB110" s="307"/>
      <c r="AC110" s="445">
        <f t="shared" si="31"/>
        <v>0</v>
      </c>
      <c r="AD110" s="442"/>
      <c r="AE110" s="443"/>
      <c r="AF110" s="444">
        <f t="shared" si="32"/>
        <v>0</v>
      </c>
      <c r="AG110" s="307"/>
      <c r="AH110" s="307"/>
      <c r="AI110" s="445">
        <f t="shared" si="33"/>
        <v>0</v>
      </c>
      <c r="AJ110" s="446">
        <v>196</v>
      </c>
      <c r="AK110" s="443">
        <v>48017</v>
      </c>
      <c r="AL110" s="444">
        <f t="shared" si="34"/>
        <v>9411332</v>
      </c>
      <c r="AM110" s="307">
        <v>192</v>
      </c>
      <c r="AN110" s="307">
        <v>49024</v>
      </c>
      <c r="AO110" s="447">
        <f t="shared" si="35"/>
        <v>9412608</v>
      </c>
      <c r="AP110" s="448"/>
      <c r="AQ110" s="443"/>
      <c r="AR110" s="444">
        <f t="shared" si="36"/>
        <v>0</v>
      </c>
      <c r="AS110" s="307"/>
      <c r="AT110" s="307"/>
      <c r="AU110" s="441">
        <f t="shared" si="37"/>
        <v>0</v>
      </c>
      <c r="AV110" s="442"/>
      <c r="AW110" s="443"/>
      <c r="AX110" s="444">
        <f t="shared" si="38"/>
        <v>0</v>
      </c>
      <c r="AY110" s="307"/>
      <c r="AZ110" s="307"/>
      <c r="BA110" s="445">
        <f t="shared" si="39"/>
        <v>0</v>
      </c>
      <c r="BB110" s="442"/>
      <c r="BC110" s="443"/>
      <c r="BD110" s="444">
        <f t="shared" si="40"/>
        <v>0</v>
      </c>
      <c r="BE110" s="307"/>
      <c r="BF110" s="307"/>
      <c r="BG110" s="445">
        <f t="shared" si="41"/>
        <v>0</v>
      </c>
      <c r="BH110" s="442"/>
      <c r="BI110" s="443"/>
      <c r="BJ110" s="444">
        <f t="shared" si="42"/>
        <v>0</v>
      </c>
      <c r="BK110" s="307"/>
      <c r="BL110" s="307"/>
      <c r="BM110" s="445">
        <f t="shared" si="43"/>
        <v>0</v>
      </c>
      <c r="BN110" s="442"/>
      <c r="BO110" s="443"/>
      <c r="BP110" s="444">
        <f t="shared" si="44"/>
        <v>0</v>
      </c>
      <c r="BQ110" s="307"/>
      <c r="BR110" s="307"/>
      <c r="BS110" s="445">
        <f t="shared" si="45"/>
        <v>0</v>
      </c>
      <c r="BT110" s="442"/>
      <c r="BU110" s="443"/>
      <c r="BV110" s="444">
        <f t="shared" si="46"/>
        <v>0</v>
      </c>
      <c r="BW110" s="307"/>
      <c r="BX110" s="307"/>
      <c r="BY110" s="449">
        <f t="shared" si="47"/>
        <v>0</v>
      </c>
    </row>
    <row r="111" spans="1:77" s="308" customFormat="1" ht="12.75" customHeight="1">
      <c r="A111" s="325" t="s">
        <v>347</v>
      </c>
      <c r="B111" s="405" t="s">
        <v>921</v>
      </c>
      <c r="C111" s="499" t="s">
        <v>1084</v>
      </c>
      <c r="D111" s="325">
        <v>136516</v>
      </c>
      <c r="E111" s="327">
        <v>8</v>
      </c>
      <c r="F111" s="453"/>
      <c r="G111" s="454"/>
      <c r="H111" s="439">
        <f t="shared" si="24"/>
        <v>0</v>
      </c>
      <c r="I111" s="311"/>
      <c r="J111" s="311"/>
      <c r="K111" s="441">
        <f t="shared" si="25"/>
        <v>0</v>
      </c>
      <c r="L111" s="442"/>
      <c r="M111" s="443"/>
      <c r="N111" s="444">
        <f t="shared" si="26"/>
        <v>0</v>
      </c>
      <c r="O111" s="307"/>
      <c r="P111" s="307"/>
      <c r="Q111" s="445">
        <f t="shared" si="27"/>
        <v>0</v>
      </c>
      <c r="R111" s="442"/>
      <c r="S111" s="443"/>
      <c r="T111" s="444">
        <f t="shared" si="28"/>
        <v>0</v>
      </c>
      <c r="U111" s="306"/>
      <c r="V111" s="306"/>
      <c r="W111" s="441">
        <f t="shared" si="29"/>
        <v>0</v>
      </c>
      <c r="X111" s="442"/>
      <c r="Y111" s="443"/>
      <c r="Z111" s="444">
        <f t="shared" si="30"/>
        <v>0</v>
      </c>
      <c r="AA111" s="307"/>
      <c r="AB111" s="307"/>
      <c r="AC111" s="445">
        <f t="shared" si="31"/>
        <v>0</v>
      </c>
      <c r="AD111" s="442"/>
      <c r="AE111" s="443"/>
      <c r="AF111" s="444">
        <f t="shared" si="32"/>
        <v>0</v>
      </c>
      <c r="AG111" s="307"/>
      <c r="AH111" s="307"/>
      <c r="AI111" s="445">
        <f t="shared" si="33"/>
        <v>0</v>
      </c>
      <c r="AJ111" s="446">
        <v>125</v>
      </c>
      <c r="AK111" s="443">
        <v>46684</v>
      </c>
      <c r="AL111" s="444">
        <f t="shared" si="34"/>
        <v>5835500</v>
      </c>
      <c r="AM111" s="307">
        <v>125</v>
      </c>
      <c r="AN111" s="307">
        <v>47942</v>
      </c>
      <c r="AO111" s="447">
        <f t="shared" si="35"/>
        <v>5992750</v>
      </c>
      <c r="AP111" s="448"/>
      <c r="AQ111" s="443"/>
      <c r="AR111" s="444">
        <f t="shared" si="36"/>
        <v>0</v>
      </c>
      <c r="AS111" s="307"/>
      <c r="AT111" s="307"/>
      <c r="AU111" s="441">
        <f t="shared" si="37"/>
        <v>0</v>
      </c>
      <c r="AV111" s="442"/>
      <c r="AW111" s="443"/>
      <c r="AX111" s="444">
        <f t="shared" si="38"/>
        <v>0</v>
      </c>
      <c r="AY111" s="307"/>
      <c r="AZ111" s="307"/>
      <c r="BA111" s="445">
        <f t="shared" si="39"/>
        <v>0</v>
      </c>
      <c r="BB111" s="442"/>
      <c r="BC111" s="443"/>
      <c r="BD111" s="444">
        <f t="shared" si="40"/>
        <v>0</v>
      </c>
      <c r="BE111" s="307"/>
      <c r="BF111" s="307"/>
      <c r="BG111" s="445">
        <f t="shared" si="41"/>
        <v>0</v>
      </c>
      <c r="BH111" s="442"/>
      <c r="BI111" s="443"/>
      <c r="BJ111" s="444">
        <f t="shared" si="42"/>
        <v>0</v>
      </c>
      <c r="BK111" s="307"/>
      <c r="BL111" s="307"/>
      <c r="BM111" s="445">
        <f t="shared" si="43"/>
        <v>0</v>
      </c>
      <c r="BN111" s="442"/>
      <c r="BO111" s="443"/>
      <c r="BP111" s="444">
        <f t="shared" si="44"/>
        <v>0</v>
      </c>
      <c r="BQ111" s="307"/>
      <c r="BR111" s="307"/>
      <c r="BS111" s="445">
        <f t="shared" si="45"/>
        <v>0</v>
      </c>
      <c r="BT111" s="442"/>
      <c r="BU111" s="443"/>
      <c r="BV111" s="444">
        <f t="shared" si="46"/>
        <v>0</v>
      </c>
      <c r="BW111" s="307"/>
      <c r="BX111" s="307"/>
      <c r="BY111" s="449">
        <f t="shared" si="47"/>
        <v>0</v>
      </c>
    </row>
    <row r="112" spans="1:77" s="308" customFormat="1" ht="12.75" customHeight="1">
      <c r="A112" s="325" t="s">
        <v>347</v>
      </c>
      <c r="B112" s="405" t="s">
        <v>922</v>
      </c>
      <c r="C112" s="499" t="s">
        <v>1085</v>
      </c>
      <c r="D112" s="325">
        <v>137096</v>
      </c>
      <c r="E112" s="327">
        <v>8</v>
      </c>
      <c r="F112" s="453"/>
      <c r="G112" s="454"/>
      <c r="H112" s="439">
        <f t="shared" si="24"/>
        <v>0</v>
      </c>
      <c r="I112" s="311"/>
      <c r="J112" s="311"/>
      <c r="K112" s="441">
        <f t="shared" si="25"/>
        <v>0</v>
      </c>
      <c r="L112" s="442"/>
      <c r="M112" s="443"/>
      <c r="N112" s="444">
        <f t="shared" si="26"/>
        <v>0</v>
      </c>
      <c r="O112" s="307"/>
      <c r="P112" s="307"/>
      <c r="Q112" s="445">
        <f t="shared" si="27"/>
        <v>0</v>
      </c>
      <c r="R112" s="442"/>
      <c r="S112" s="443"/>
      <c r="T112" s="444">
        <f t="shared" si="28"/>
        <v>0</v>
      </c>
      <c r="U112" s="306"/>
      <c r="V112" s="306"/>
      <c r="W112" s="441">
        <f t="shared" si="29"/>
        <v>0</v>
      </c>
      <c r="X112" s="442"/>
      <c r="Y112" s="443"/>
      <c r="Z112" s="444">
        <f t="shared" si="30"/>
        <v>0</v>
      </c>
      <c r="AA112" s="307"/>
      <c r="AB112" s="307"/>
      <c r="AC112" s="445">
        <f t="shared" si="31"/>
        <v>0</v>
      </c>
      <c r="AD112" s="442"/>
      <c r="AE112" s="443"/>
      <c r="AF112" s="444">
        <f t="shared" si="32"/>
        <v>0</v>
      </c>
      <c r="AG112" s="307"/>
      <c r="AH112" s="307"/>
      <c r="AI112" s="445">
        <f t="shared" si="33"/>
        <v>0</v>
      </c>
      <c r="AJ112" s="446">
        <v>234</v>
      </c>
      <c r="AK112" s="443">
        <v>45682</v>
      </c>
      <c r="AL112" s="444">
        <f t="shared" si="34"/>
        <v>10689588</v>
      </c>
      <c r="AM112" s="307">
        <v>230</v>
      </c>
      <c r="AN112" s="307">
        <v>48531</v>
      </c>
      <c r="AO112" s="447">
        <f t="shared" si="35"/>
        <v>11162130</v>
      </c>
      <c r="AP112" s="448"/>
      <c r="AQ112" s="443"/>
      <c r="AR112" s="444">
        <f t="shared" si="36"/>
        <v>0</v>
      </c>
      <c r="AS112" s="307"/>
      <c r="AT112" s="307"/>
      <c r="AU112" s="441">
        <f t="shared" si="37"/>
        <v>0</v>
      </c>
      <c r="AV112" s="442"/>
      <c r="AW112" s="443"/>
      <c r="AX112" s="444">
        <f t="shared" si="38"/>
        <v>0</v>
      </c>
      <c r="AY112" s="307"/>
      <c r="AZ112" s="307"/>
      <c r="BA112" s="445">
        <f t="shared" si="39"/>
        <v>0</v>
      </c>
      <c r="BB112" s="442"/>
      <c r="BC112" s="443"/>
      <c r="BD112" s="444">
        <f t="shared" si="40"/>
        <v>0</v>
      </c>
      <c r="BE112" s="307"/>
      <c r="BF112" s="307"/>
      <c r="BG112" s="445">
        <f t="shared" si="41"/>
        <v>0</v>
      </c>
      <c r="BH112" s="442"/>
      <c r="BI112" s="443"/>
      <c r="BJ112" s="444">
        <f t="shared" si="42"/>
        <v>0</v>
      </c>
      <c r="BK112" s="307"/>
      <c r="BL112" s="307"/>
      <c r="BM112" s="445">
        <f t="shared" si="43"/>
        <v>0</v>
      </c>
      <c r="BN112" s="442"/>
      <c r="BO112" s="443"/>
      <c r="BP112" s="444">
        <f t="shared" si="44"/>
        <v>0</v>
      </c>
      <c r="BQ112" s="307"/>
      <c r="BR112" s="307"/>
      <c r="BS112" s="445">
        <f t="shared" si="45"/>
        <v>0</v>
      </c>
      <c r="BT112" s="442"/>
      <c r="BU112" s="443"/>
      <c r="BV112" s="444">
        <f t="shared" si="46"/>
        <v>0</v>
      </c>
      <c r="BW112" s="307"/>
      <c r="BX112" s="307"/>
      <c r="BY112" s="449">
        <f t="shared" si="47"/>
        <v>0</v>
      </c>
    </row>
    <row r="113" spans="1:77" s="308" customFormat="1" ht="12.75" customHeight="1">
      <c r="A113" s="325" t="s">
        <v>347</v>
      </c>
      <c r="B113" s="405" t="s">
        <v>923</v>
      </c>
      <c r="C113" s="499" t="s">
        <v>1086</v>
      </c>
      <c r="D113" s="325">
        <v>137209</v>
      </c>
      <c r="E113" s="327">
        <v>8</v>
      </c>
      <c r="F113" s="453"/>
      <c r="G113" s="454"/>
      <c r="H113" s="439">
        <f t="shared" si="24"/>
        <v>0</v>
      </c>
      <c r="I113" s="311"/>
      <c r="J113" s="311"/>
      <c r="K113" s="441">
        <f t="shared" si="25"/>
        <v>0</v>
      </c>
      <c r="L113" s="442"/>
      <c r="M113" s="443"/>
      <c r="N113" s="444">
        <f t="shared" si="26"/>
        <v>0</v>
      </c>
      <c r="O113" s="307"/>
      <c r="P113" s="307"/>
      <c r="Q113" s="445">
        <f t="shared" si="27"/>
        <v>0</v>
      </c>
      <c r="R113" s="442"/>
      <c r="S113" s="443"/>
      <c r="T113" s="444">
        <f t="shared" si="28"/>
        <v>0</v>
      </c>
      <c r="U113" s="306"/>
      <c r="V113" s="306"/>
      <c r="W113" s="441">
        <f t="shared" si="29"/>
        <v>0</v>
      </c>
      <c r="X113" s="442"/>
      <c r="Y113" s="443"/>
      <c r="Z113" s="444">
        <f t="shared" si="30"/>
        <v>0</v>
      </c>
      <c r="AA113" s="307"/>
      <c r="AB113" s="307"/>
      <c r="AC113" s="445">
        <f t="shared" si="31"/>
        <v>0</v>
      </c>
      <c r="AD113" s="442"/>
      <c r="AE113" s="443"/>
      <c r="AF113" s="444">
        <f t="shared" si="32"/>
        <v>0</v>
      </c>
      <c r="AG113" s="307"/>
      <c r="AH113" s="307"/>
      <c r="AI113" s="445">
        <f t="shared" si="33"/>
        <v>0</v>
      </c>
      <c r="AJ113" s="446">
        <v>189</v>
      </c>
      <c r="AK113" s="443">
        <v>53985</v>
      </c>
      <c r="AL113" s="444">
        <f t="shared" si="34"/>
        <v>10203165</v>
      </c>
      <c r="AM113" s="307">
        <v>196</v>
      </c>
      <c r="AN113" s="307">
        <v>56525</v>
      </c>
      <c r="AO113" s="447">
        <f t="shared" si="35"/>
        <v>11078900</v>
      </c>
      <c r="AP113" s="448"/>
      <c r="AQ113" s="443"/>
      <c r="AR113" s="444">
        <f t="shared" si="36"/>
        <v>0</v>
      </c>
      <c r="AS113" s="307"/>
      <c r="AT113" s="307"/>
      <c r="AU113" s="441">
        <f t="shared" si="37"/>
        <v>0</v>
      </c>
      <c r="AV113" s="442"/>
      <c r="AW113" s="443"/>
      <c r="AX113" s="444">
        <f t="shared" si="38"/>
        <v>0</v>
      </c>
      <c r="AY113" s="307"/>
      <c r="AZ113" s="307"/>
      <c r="BA113" s="445">
        <f t="shared" si="39"/>
        <v>0</v>
      </c>
      <c r="BB113" s="442"/>
      <c r="BC113" s="443"/>
      <c r="BD113" s="444">
        <f t="shared" si="40"/>
        <v>0</v>
      </c>
      <c r="BE113" s="307"/>
      <c r="BF113" s="307"/>
      <c r="BG113" s="445">
        <f t="shared" si="41"/>
        <v>0</v>
      </c>
      <c r="BH113" s="442"/>
      <c r="BI113" s="443"/>
      <c r="BJ113" s="444">
        <f t="shared" si="42"/>
        <v>0</v>
      </c>
      <c r="BK113" s="307"/>
      <c r="BL113" s="307"/>
      <c r="BM113" s="445">
        <f t="shared" si="43"/>
        <v>0</v>
      </c>
      <c r="BN113" s="442"/>
      <c r="BO113" s="443"/>
      <c r="BP113" s="444">
        <f t="shared" si="44"/>
        <v>0</v>
      </c>
      <c r="BQ113" s="307"/>
      <c r="BR113" s="307"/>
      <c r="BS113" s="445">
        <f t="shared" si="45"/>
        <v>0</v>
      </c>
      <c r="BT113" s="442"/>
      <c r="BU113" s="443"/>
      <c r="BV113" s="444">
        <f t="shared" si="46"/>
        <v>0</v>
      </c>
      <c r="BW113" s="307"/>
      <c r="BX113" s="307"/>
      <c r="BY113" s="449">
        <f t="shared" si="47"/>
        <v>0</v>
      </c>
    </row>
    <row r="114" spans="1:77" s="308" customFormat="1" ht="12.75" customHeight="1">
      <c r="A114" s="325" t="s">
        <v>347</v>
      </c>
      <c r="B114" s="326" t="s">
        <v>682</v>
      </c>
      <c r="C114" s="326"/>
      <c r="D114" s="325">
        <v>135391</v>
      </c>
      <c r="E114" s="327">
        <v>8</v>
      </c>
      <c r="F114" s="453"/>
      <c r="G114" s="454"/>
      <c r="H114" s="439">
        <f t="shared" si="24"/>
        <v>0</v>
      </c>
      <c r="I114" s="311"/>
      <c r="J114" s="311"/>
      <c r="K114" s="441">
        <f t="shared" si="25"/>
        <v>0</v>
      </c>
      <c r="L114" s="442"/>
      <c r="M114" s="443"/>
      <c r="N114" s="444">
        <f t="shared" si="26"/>
        <v>0</v>
      </c>
      <c r="O114" s="307"/>
      <c r="P114" s="307"/>
      <c r="Q114" s="445">
        <f t="shared" si="27"/>
        <v>0</v>
      </c>
      <c r="R114" s="442"/>
      <c r="S114" s="443"/>
      <c r="T114" s="444">
        <f t="shared" si="28"/>
        <v>0</v>
      </c>
      <c r="U114" s="306"/>
      <c r="V114" s="306"/>
      <c r="W114" s="441">
        <f t="shared" si="29"/>
        <v>0</v>
      </c>
      <c r="X114" s="442"/>
      <c r="Y114" s="443"/>
      <c r="Z114" s="444">
        <f t="shared" si="30"/>
        <v>0</v>
      </c>
      <c r="AA114" s="307"/>
      <c r="AB114" s="307"/>
      <c r="AC114" s="445">
        <f t="shared" si="31"/>
        <v>0</v>
      </c>
      <c r="AD114" s="442"/>
      <c r="AE114" s="443"/>
      <c r="AF114" s="444">
        <f t="shared" si="32"/>
        <v>0</v>
      </c>
      <c r="AG114" s="307"/>
      <c r="AH114" s="307"/>
      <c r="AI114" s="445">
        <f t="shared" si="33"/>
        <v>0</v>
      </c>
      <c r="AJ114" s="446">
        <v>130</v>
      </c>
      <c r="AK114" s="443">
        <v>51859</v>
      </c>
      <c r="AL114" s="444">
        <f t="shared" si="34"/>
        <v>6741670</v>
      </c>
      <c r="AM114" s="307">
        <v>133</v>
      </c>
      <c r="AN114" s="307">
        <v>52853</v>
      </c>
      <c r="AO114" s="447">
        <f t="shared" si="35"/>
        <v>7029449</v>
      </c>
      <c r="AP114" s="448"/>
      <c r="AQ114" s="443"/>
      <c r="AR114" s="444">
        <f t="shared" si="36"/>
        <v>0</v>
      </c>
      <c r="AS114" s="307"/>
      <c r="AT114" s="307"/>
      <c r="AU114" s="441">
        <f t="shared" si="37"/>
        <v>0</v>
      </c>
      <c r="AV114" s="442"/>
      <c r="AW114" s="443"/>
      <c r="AX114" s="444">
        <f t="shared" si="38"/>
        <v>0</v>
      </c>
      <c r="AY114" s="307"/>
      <c r="AZ114" s="307"/>
      <c r="BA114" s="445">
        <f t="shared" si="39"/>
        <v>0</v>
      </c>
      <c r="BB114" s="442"/>
      <c r="BC114" s="443"/>
      <c r="BD114" s="444">
        <f t="shared" si="40"/>
        <v>0</v>
      </c>
      <c r="BE114" s="307"/>
      <c r="BF114" s="307"/>
      <c r="BG114" s="445">
        <f t="shared" si="41"/>
        <v>0</v>
      </c>
      <c r="BH114" s="442"/>
      <c r="BI114" s="443"/>
      <c r="BJ114" s="444">
        <f t="shared" si="42"/>
        <v>0</v>
      </c>
      <c r="BK114" s="307"/>
      <c r="BL114" s="307"/>
      <c r="BM114" s="445">
        <f t="shared" si="43"/>
        <v>0</v>
      </c>
      <c r="BN114" s="442"/>
      <c r="BO114" s="443"/>
      <c r="BP114" s="444">
        <f t="shared" si="44"/>
        <v>0</v>
      </c>
      <c r="BQ114" s="307"/>
      <c r="BR114" s="307"/>
      <c r="BS114" s="445">
        <f t="shared" si="45"/>
        <v>0</v>
      </c>
      <c r="BT114" s="442"/>
      <c r="BU114" s="443"/>
      <c r="BV114" s="444">
        <f t="shared" si="46"/>
        <v>0</v>
      </c>
      <c r="BW114" s="307"/>
      <c r="BX114" s="307"/>
      <c r="BY114" s="449">
        <f t="shared" si="47"/>
        <v>0</v>
      </c>
    </row>
    <row r="115" spans="1:77" s="308" customFormat="1" ht="12.75" customHeight="1">
      <c r="A115" s="325" t="s">
        <v>347</v>
      </c>
      <c r="B115" s="326" t="s">
        <v>160</v>
      </c>
      <c r="C115" s="326"/>
      <c r="D115" s="325">
        <v>137759</v>
      </c>
      <c r="E115" s="327">
        <v>8</v>
      </c>
      <c r="F115" s="453"/>
      <c r="G115" s="454"/>
      <c r="H115" s="439">
        <f t="shared" si="24"/>
        <v>0</v>
      </c>
      <c r="I115" s="311"/>
      <c r="J115" s="311"/>
      <c r="K115" s="441">
        <f t="shared" si="25"/>
        <v>0</v>
      </c>
      <c r="L115" s="442"/>
      <c r="M115" s="443"/>
      <c r="N115" s="444">
        <f t="shared" si="26"/>
        <v>0</v>
      </c>
      <c r="O115" s="307"/>
      <c r="P115" s="307"/>
      <c r="Q115" s="445">
        <f t="shared" si="27"/>
        <v>0</v>
      </c>
      <c r="R115" s="442"/>
      <c r="S115" s="443"/>
      <c r="T115" s="444">
        <f t="shared" si="28"/>
        <v>0</v>
      </c>
      <c r="U115" s="306"/>
      <c r="V115" s="306"/>
      <c r="W115" s="441">
        <f t="shared" si="29"/>
        <v>0</v>
      </c>
      <c r="X115" s="442"/>
      <c r="Y115" s="443"/>
      <c r="Z115" s="444">
        <f t="shared" si="30"/>
        <v>0</v>
      </c>
      <c r="AA115" s="307"/>
      <c r="AB115" s="307"/>
      <c r="AC115" s="445">
        <f t="shared" si="31"/>
        <v>0</v>
      </c>
      <c r="AD115" s="442"/>
      <c r="AE115" s="443"/>
      <c r="AF115" s="444">
        <f t="shared" si="32"/>
        <v>0</v>
      </c>
      <c r="AG115" s="307"/>
      <c r="AH115" s="307"/>
      <c r="AI115" s="445">
        <f t="shared" si="33"/>
        <v>0</v>
      </c>
      <c r="AJ115" s="446">
        <v>184</v>
      </c>
      <c r="AK115" s="443">
        <v>60324</v>
      </c>
      <c r="AL115" s="444">
        <f t="shared" si="34"/>
        <v>11099616</v>
      </c>
      <c r="AM115" s="307">
        <v>175</v>
      </c>
      <c r="AN115" s="307">
        <v>57951</v>
      </c>
      <c r="AO115" s="447">
        <f t="shared" si="35"/>
        <v>10141425</v>
      </c>
      <c r="AP115" s="448"/>
      <c r="AQ115" s="443"/>
      <c r="AR115" s="444">
        <f t="shared" si="36"/>
        <v>0</v>
      </c>
      <c r="AS115" s="307"/>
      <c r="AT115" s="307"/>
      <c r="AU115" s="441">
        <f t="shared" si="37"/>
        <v>0</v>
      </c>
      <c r="AV115" s="442"/>
      <c r="AW115" s="443"/>
      <c r="AX115" s="444">
        <f t="shared" si="38"/>
        <v>0</v>
      </c>
      <c r="AY115" s="307"/>
      <c r="AZ115" s="307"/>
      <c r="BA115" s="445">
        <f t="shared" si="39"/>
        <v>0</v>
      </c>
      <c r="BB115" s="442"/>
      <c r="BC115" s="443"/>
      <c r="BD115" s="444">
        <f t="shared" si="40"/>
        <v>0</v>
      </c>
      <c r="BE115" s="307"/>
      <c r="BF115" s="307"/>
      <c r="BG115" s="445">
        <f t="shared" si="41"/>
        <v>0</v>
      </c>
      <c r="BH115" s="442"/>
      <c r="BI115" s="443"/>
      <c r="BJ115" s="444">
        <f t="shared" si="42"/>
        <v>0</v>
      </c>
      <c r="BK115" s="307"/>
      <c r="BL115" s="307"/>
      <c r="BM115" s="445">
        <f t="shared" si="43"/>
        <v>0</v>
      </c>
      <c r="BN115" s="442"/>
      <c r="BO115" s="443"/>
      <c r="BP115" s="444">
        <f t="shared" si="44"/>
        <v>0</v>
      </c>
      <c r="BQ115" s="307"/>
      <c r="BR115" s="307"/>
      <c r="BS115" s="445">
        <f t="shared" si="45"/>
        <v>0</v>
      </c>
      <c r="BT115" s="442"/>
      <c r="BU115" s="443"/>
      <c r="BV115" s="444">
        <f t="shared" si="46"/>
        <v>0</v>
      </c>
      <c r="BW115" s="307"/>
      <c r="BX115" s="307"/>
      <c r="BY115" s="449">
        <f t="shared" si="47"/>
        <v>0</v>
      </c>
    </row>
    <row r="116" spans="1:77" s="308" customFormat="1" ht="12.75" customHeight="1">
      <c r="A116" s="325" t="s">
        <v>347</v>
      </c>
      <c r="B116" s="326" t="s">
        <v>161</v>
      </c>
      <c r="C116" s="326"/>
      <c r="D116" s="325">
        <v>138187</v>
      </c>
      <c r="E116" s="327">
        <v>8</v>
      </c>
      <c r="F116" s="453"/>
      <c r="G116" s="454"/>
      <c r="H116" s="439">
        <f t="shared" si="24"/>
        <v>0</v>
      </c>
      <c r="I116" s="311"/>
      <c r="J116" s="311"/>
      <c r="K116" s="441">
        <f t="shared" si="25"/>
        <v>0</v>
      </c>
      <c r="L116" s="442"/>
      <c r="M116" s="443"/>
      <c r="N116" s="444">
        <f t="shared" si="26"/>
        <v>0</v>
      </c>
      <c r="O116" s="307"/>
      <c r="P116" s="307"/>
      <c r="Q116" s="445">
        <f t="shared" si="27"/>
        <v>0</v>
      </c>
      <c r="R116" s="442"/>
      <c r="S116" s="443"/>
      <c r="T116" s="444">
        <f t="shared" si="28"/>
        <v>0</v>
      </c>
      <c r="U116" s="306"/>
      <c r="V116" s="306"/>
      <c r="W116" s="441">
        <f t="shared" si="29"/>
        <v>0</v>
      </c>
      <c r="X116" s="442"/>
      <c r="Y116" s="443"/>
      <c r="Z116" s="444">
        <f t="shared" si="30"/>
        <v>0</v>
      </c>
      <c r="AA116" s="307"/>
      <c r="AB116" s="307"/>
      <c r="AC116" s="445">
        <f t="shared" si="31"/>
        <v>0</v>
      </c>
      <c r="AD116" s="442"/>
      <c r="AE116" s="443"/>
      <c r="AF116" s="444">
        <f t="shared" si="32"/>
        <v>0</v>
      </c>
      <c r="AG116" s="307"/>
      <c r="AH116" s="307"/>
      <c r="AI116" s="445">
        <f t="shared" si="33"/>
        <v>0</v>
      </c>
      <c r="AJ116" s="446">
        <v>353</v>
      </c>
      <c r="AK116" s="443">
        <v>53335</v>
      </c>
      <c r="AL116" s="444">
        <f t="shared" si="34"/>
        <v>18827255</v>
      </c>
      <c r="AM116" s="307">
        <v>360</v>
      </c>
      <c r="AN116" s="307">
        <v>54005</v>
      </c>
      <c r="AO116" s="447">
        <f t="shared" si="35"/>
        <v>19441800</v>
      </c>
      <c r="AP116" s="448"/>
      <c r="AQ116" s="443"/>
      <c r="AR116" s="444">
        <f t="shared" si="36"/>
        <v>0</v>
      </c>
      <c r="AS116" s="307"/>
      <c r="AT116" s="307"/>
      <c r="AU116" s="441">
        <f t="shared" si="37"/>
        <v>0</v>
      </c>
      <c r="AV116" s="442"/>
      <c r="AW116" s="443"/>
      <c r="AX116" s="444">
        <f t="shared" si="38"/>
        <v>0</v>
      </c>
      <c r="AY116" s="307"/>
      <c r="AZ116" s="307"/>
      <c r="BA116" s="445">
        <f t="shared" si="39"/>
        <v>0</v>
      </c>
      <c r="BB116" s="442"/>
      <c r="BC116" s="443"/>
      <c r="BD116" s="444">
        <f t="shared" si="40"/>
        <v>0</v>
      </c>
      <c r="BE116" s="307"/>
      <c r="BF116" s="307"/>
      <c r="BG116" s="445">
        <f t="shared" si="41"/>
        <v>0</v>
      </c>
      <c r="BH116" s="442"/>
      <c r="BI116" s="443"/>
      <c r="BJ116" s="444">
        <f t="shared" si="42"/>
        <v>0</v>
      </c>
      <c r="BK116" s="307"/>
      <c r="BL116" s="307"/>
      <c r="BM116" s="445">
        <f t="shared" si="43"/>
        <v>0</v>
      </c>
      <c r="BN116" s="442"/>
      <c r="BO116" s="443"/>
      <c r="BP116" s="444">
        <f t="shared" si="44"/>
        <v>0</v>
      </c>
      <c r="BQ116" s="307"/>
      <c r="BR116" s="307"/>
      <c r="BS116" s="445">
        <f t="shared" si="45"/>
        <v>0</v>
      </c>
      <c r="BT116" s="442"/>
      <c r="BU116" s="443"/>
      <c r="BV116" s="444">
        <f t="shared" si="46"/>
        <v>0</v>
      </c>
      <c r="BW116" s="307"/>
      <c r="BX116" s="307"/>
      <c r="BY116" s="449">
        <f t="shared" si="47"/>
        <v>0</v>
      </c>
    </row>
    <row r="117" spans="1:77" s="308" customFormat="1" ht="12.75" customHeight="1">
      <c r="A117" s="325" t="s">
        <v>347</v>
      </c>
      <c r="B117" s="328" t="s">
        <v>150</v>
      </c>
      <c r="C117" s="503" t="s">
        <v>1074</v>
      </c>
      <c r="D117" s="325">
        <v>134343</v>
      </c>
      <c r="E117" s="327">
        <v>9</v>
      </c>
      <c r="F117" s="453"/>
      <c r="G117" s="454"/>
      <c r="H117" s="439">
        <f t="shared" si="24"/>
        <v>0</v>
      </c>
      <c r="I117" s="311"/>
      <c r="J117" s="311"/>
      <c r="K117" s="441">
        <f t="shared" si="25"/>
        <v>0</v>
      </c>
      <c r="L117" s="442"/>
      <c r="M117" s="443"/>
      <c r="N117" s="444">
        <f t="shared" si="26"/>
        <v>0</v>
      </c>
      <c r="O117" s="307"/>
      <c r="P117" s="307"/>
      <c r="Q117" s="445">
        <f t="shared" si="27"/>
        <v>0</v>
      </c>
      <c r="R117" s="442"/>
      <c r="S117" s="443"/>
      <c r="T117" s="444">
        <f t="shared" si="28"/>
        <v>0</v>
      </c>
      <c r="U117" s="306"/>
      <c r="V117" s="306"/>
      <c r="W117" s="441">
        <f t="shared" si="29"/>
        <v>0</v>
      </c>
      <c r="X117" s="442"/>
      <c r="Y117" s="443"/>
      <c r="Z117" s="444">
        <f t="shared" si="30"/>
        <v>0</v>
      </c>
      <c r="AA117" s="307"/>
      <c r="AB117" s="307"/>
      <c r="AC117" s="445">
        <f t="shared" si="31"/>
        <v>0</v>
      </c>
      <c r="AD117" s="442"/>
      <c r="AE117" s="443"/>
      <c r="AF117" s="444">
        <f t="shared" si="32"/>
        <v>0</v>
      </c>
      <c r="AG117" s="307"/>
      <c r="AH117" s="307"/>
      <c r="AI117" s="445">
        <f t="shared" si="33"/>
        <v>0</v>
      </c>
      <c r="AJ117" s="446">
        <v>114</v>
      </c>
      <c r="AK117" s="443">
        <v>49226</v>
      </c>
      <c r="AL117" s="444">
        <f t="shared" si="34"/>
        <v>5611764</v>
      </c>
      <c r="AM117" s="307">
        <v>111</v>
      </c>
      <c r="AN117" s="307">
        <v>48551</v>
      </c>
      <c r="AO117" s="447">
        <f t="shared" si="35"/>
        <v>5389161</v>
      </c>
      <c r="AP117" s="448"/>
      <c r="AQ117" s="443"/>
      <c r="AR117" s="444">
        <f t="shared" si="36"/>
        <v>0</v>
      </c>
      <c r="AS117" s="307"/>
      <c r="AT117" s="307"/>
      <c r="AU117" s="441">
        <f t="shared" si="37"/>
        <v>0</v>
      </c>
      <c r="AV117" s="442"/>
      <c r="AW117" s="443"/>
      <c r="AX117" s="444">
        <f t="shared" si="38"/>
        <v>0</v>
      </c>
      <c r="AY117" s="307"/>
      <c r="AZ117" s="307"/>
      <c r="BA117" s="445">
        <f t="shared" si="39"/>
        <v>0</v>
      </c>
      <c r="BB117" s="442"/>
      <c r="BC117" s="443"/>
      <c r="BD117" s="444">
        <f t="shared" si="40"/>
        <v>0</v>
      </c>
      <c r="BE117" s="307"/>
      <c r="BF117" s="307"/>
      <c r="BG117" s="445">
        <f t="shared" si="41"/>
        <v>0</v>
      </c>
      <c r="BH117" s="442"/>
      <c r="BI117" s="443"/>
      <c r="BJ117" s="444">
        <f t="shared" si="42"/>
        <v>0</v>
      </c>
      <c r="BK117" s="307"/>
      <c r="BL117" s="307"/>
      <c r="BM117" s="445">
        <f t="shared" si="43"/>
        <v>0</v>
      </c>
      <c r="BN117" s="442"/>
      <c r="BO117" s="443"/>
      <c r="BP117" s="444">
        <f t="shared" si="44"/>
        <v>0</v>
      </c>
      <c r="BQ117" s="307"/>
      <c r="BR117" s="307"/>
      <c r="BS117" s="445">
        <f t="shared" si="45"/>
        <v>0</v>
      </c>
      <c r="BT117" s="442"/>
      <c r="BU117" s="443"/>
      <c r="BV117" s="444">
        <f t="shared" si="46"/>
        <v>0</v>
      </c>
      <c r="BW117" s="307"/>
      <c r="BX117" s="307"/>
      <c r="BY117" s="449">
        <f t="shared" si="47"/>
        <v>0</v>
      </c>
    </row>
    <row r="118" spans="1:77" s="308" customFormat="1" ht="12.75" customHeight="1">
      <c r="A118" s="325" t="s">
        <v>347</v>
      </c>
      <c r="B118" s="326" t="s">
        <v>152</v>
      </c>
      <c r="C118" s="326"/>
      <c r="D118" s="325">
        <v>135160</v>
      </c>
      <c r="E118" s="327">
        <v>9</v>
      </c>
      <c r="F118" s="453"/>
      <c r="G118" s="454"/>
      <c r="H118" s="439">
        <f t="shared" si="24"/>
        <v>0</v>
      </c>
      <c r="I118" s="311"/>
      <c r="J118" s="311"/>
      <c r="K118" s="441">
        <f t="shared" si="25"/>
        <v>0</v>
      </c>
      <c r="L118" s="442"/>
      <c r="M118" s="443"/>
      <c r="N118" s="444">
        <f t="shared" si="26"/>
        <v>0</v>
      </c>
      <c r="O118" s="307"/>
      <c r="P118" s="307"/>
      <c r="Q118" s="445">
        <f t="shared" si="27"/>
        <v>0</v>
      </c>
      <c r="R118" s="442"/>
      <c r="S118" s="443"/>
      <c r="T118" s="444">
        <f t="shared" si="28"/>
        <v>0</v>
      </c>
      <c r="U118" s="306"/>
      <c r="V118" s="306"/>
      <c r="W118" s="441">
        <f t="shared" si="29"/>
        <v>0</v>
      </c>
      <c r="X118" s="442"/>
      <c r="Y118" s="443"/>
      <c r="Z118" s="444">
        <f t="shared" si="30"/>
        <v>0</v>
      </c>
      <c r="AA118" s="307"/>
      <c r="AB118" s="307"/>
      <c r="AC118" s="445">
        <f t="shared" si="31"/>
        <v>0</v>
      </c>
      <c r="AD118" s="442"/>
      <c r="AE118" s="443"/>
      <c r="AF118" s="444">
        <f t="shared" si="32"/>
        <v>0</v>
      </c>
      <c r="AG118" s="307"/>
      <c r="AH118" s="307"/>
      <c r="AI118" s="445">
        <f t="shared" si="33"/>
        <v>0</v>
      </c>
      <c r="AJ118" s="446">
        <v>63</v>
      </c>
      <c r="AK118" s="443">
        <v>43432</v>
      </c>
      <c r="AL118" s="444">
        <f t="shared" si="34"/>
        <v>2736216</v>
      </c>
      <c r="AM118" s="307">
        <v>61</v>
      </c>
      <c r="AN118" s="307">
        <v>45105</v>
      </c>
      <c r="AO118" s="447">
        <f t="shared" si="35"/>
        <v>2751405</v>
      </c>
      <c r="AP118" s="448"/>
      <c r="AQ118" s="443"/>
      <c r="AR118" s="444">
        <f t="shared" si="36"/>
        <v>0</v>
      </c>
      <c r="AS118" s="307"/>
      <c r="AT118" s="307"/>
      <c r="AU118" s="441">
        <f t="shared" si="37"/>
        <v>0</v>
      </c>
      <c r="AV118" s="442"/>
      <c r="AW118" s="443"/>
      <c r="AX118" s="444">
        <f t="shared" si="38"/>
        <v>0</v>
      </c>
      <c r="AY118" s="307"/>
      <c r="AZ118" s="307"/>
      <c r="BA118" s="445">
        <f t="shared" si="39"/>
        <v>0</v>
      </c>
      <c r="BB118" s="442"/>
      <c r="BC118" s="443"/>
      <c r="BD118" s="444">
        <f t="shared" si="40"/>
        <v>0</v>
      </c>
      <c r="BE118" s="307"/>
      <c r="BF118" s="307"/>
      <c r="BG118" s="445">
        <f t="shared" si="41"/>
        <v>0</v>
      </c>
      <c r="BH118" s="442"/>
      <c r="BI118" s="443"/>
      <c r="BJ118" s="444">
        <f t="shared" si="42"/>
        <v>0</v>
      </c>
      <c r="BK118" s="307"/>
      <c r="BL118" s="307"/>
      <c r="BM118" s="445">
        <f t="shared" si="43"/>
        <v>0</v>
      </c>
      <c r="BN118" s="442"/>
      <c r="BO118" s="443"/>
      <c r="BP118" s="444">
        <f t="shared" si="44"/>
        <v>0</v>
      </c>
      <c r="BQ118" s="307"/>
      <c r="BR118" s="307"/>
      <c r="BS118" s="445">
        <f t="shared" si="45"/>
        <v>0</v>
      </c>
      <c r="BT118" s="442"/>
      <c r="BU118" s="443"/>
      <c r="BV118" s="444">
        <f t="shared" si="46"/>
        <v>0</v>
      </c>
      <c r="BW118" s="307"/>
      <c r="BX118" s="307"/>
      <c r="BY118" s="449">
        <f t="shared" si="47"/>
        <v>0</v>
      </c>
    </row>
    <row r="119" spans="1:77" s="308" customFormat="1" ht="12.75" customHeight="1">
      <c r="A119" s="325" t="s">
        <v>347</v>
      </c>
      <c r="B119" s="326" t="s">
        <v>153</v>
      </c>
      <c r="C119" s="326"/>
      <c r="D119" s="325">
        <v>135188</v>
      </c>
      <c r="E119" s="327">
        <v>9</v>
      </c>
      <c r="F119" s="453"/>
      <c r="G119" s="454"/>
      <c r="H119" s="439">
        <f t="shared" si="24"/>
        <v>0</v>
      </c>
      <c r="I119" s="311"/>
      <c r="J119" s="311"/>
      <c r="K119" s="441">
        <f t="shared" si="25"/>
        <v>0</v>
      </c>
      <c r="L119" s="442"/>
      <c r="M119" s="443"/>
      <c r="N119" s="444">
        <f t="shared" si="26"/>
        <v>0</v>
      </c>
      <c r="O119" s="307"/>
      <c r="P119" s="307"/>
      <c r="Q119" s="445">
        <f t="shared" si="27"/>
        <v>0</v>
      </c>
      <c r="R119" s="442"/>
      <c r="S119" s="443"/>
      <c r="T119" s="444">
        <f t="shared" si="28"/>
        <v>0</v>
      </c>
      <c r="U119" s="306"/>
      <c r="V119" s="306"/>
      <c r="W119" s="441">
        <f t="shared" si="29"/>
        <v>0</v>
      </c>
      <c r="X119" s="442"/>
      <c r="Y119" s="443"/>
      <c r="Z119" s="444">
        <f t="shared" si="30"/>
        <v>0</v>
      </c>
      <c r="AA119" s="307"/>
      <c r="AB119" s="307"/>
      <c r="AC119" s="445">
        <f t="shared" si="31"/>
        <v>0</v>
      </c>
      <c r="AD119" s="442"/>
      <c r="AE119" s="443"/>
      <c r="AF119" s="444">
        <f t="shared" si="32"/>
        <v>0</v>
      </c>
      <c r="AG119" s="307"/>
      <c r="AH119" s="307"/>
      <c r="AI119" s="445">
        <f t="shared" si="33"/>
        <v>0</v>
      </c>
      <c r="AJ119" s="446">
        <v>74</v>
      </c>
      <c r="AK119" s="443">
        <v>43463</v>
      </c>
      <c r="AL119" s="444">
        <f t="shared" si="34"/>
        <v>3216262</v>
      </c>
      <c r="AM119" s="307">
        <v>84</v>
      </c>
      <c r="AN119" s="307">
        <v>43669</v>
      </c>
      <c r="AO119" s="447">
        <f t="shared" si="35"/>
        <v>3668196</v>
      </c>
      <c r="AP119" s="448"/>
      <c r="AQ119" s="443"/>
      <c r="AR119" s="444">
        <f t="shared" si="36"/>
        <v>0</v>
      </c>
      <c r="AS119" s="307"/>
      <c r="AT119" s="307"/>
      <c r="AU119" s="441">
        <f t="shared" si="37"/>
        <v>0</v>
      </c>
      <c r="AV119" s="442"/>
      <c r="AW119" s="443"/>
      <c r="AX119" s="444">
        <f t="shared" si="38"/>
        <v>0</v>
      </c>
      <c r="AY119" s="307"/>
      <c r="AZ119" s="307"/>
      <c r="BA119" s="445">
        <f t="shared" si="39"/>
        <v>0</v>
      </c>
      <c r="BB119" s="442"/>
      <c r="BC119" s="443"/>
      <c r="BD119" s="444">
        <f t="shared" si="40"/>
        <v>0</v>
      </c>
      <c r="BE119" s="307"/>
      <c r="BF119" s="307"/>
      <c r="BG119" s="445">
        <f t="shared" si="41"/>
        <v>0</v>
      </c>
      <c r="BH119" s="442"/>
      <c r="BI119" s="443"/>
      <c r="BJ119" s="444">
        <f t="shared" si="42"/>
        <v>0</v>
      </c>
      <c r="BK119" s="307"/>
      <c r="BL119" s="307"/>
      <c r="BM119" s="445">
        <f t="shared" si="43"/>
        <v>0</v>
      </c>
      <c r="BN119" s="442"/>
      <c r="BO119" s="443"/>
      <c r="BP119" s="444">
        <f t="shared" si="44"/>
        <v>0</v>
      </c>
      <c r="BQ119" s="307"/>
      <c r="BR119" s="307"/>
      <c r="BS119" s="445">
        <f t="shared" si="45"/>
        <v>0</v>
      </c>
      <c r="BT119" s="442"/>
      <c r="BU119" s="443"/>
      <c r="BV119" s="444">
        <f t="shared" si="46"/>
        <v>0</v>
      </c>
      <c r="BW119" s="307"/>
      <c r="BX119" s="307"/>
      <c r="BY119" s="449">
        <f t="shared" si="47"/>
        <v>0</v>
      </c>
    </row>
    <row r="120" spans="1:77" s="308" customFormat="1" ht="12.75" customHeight="1">
      <c r="A120" s="329" t="s">
        <v>347</v>
      </c>
      <c r="B120" s="330" t="s">
        <v>159</v>
      </c>
      <c r="C120" s="330"/>
      <c r="D120" s="329">
        <v>137315</v>
      </c>
      <c r="E120" s="456">
        <v>9</v>
      </c>
      <c r="F120" s="453"/>
      <c r="G120" s="454"/>
      <c r="H120" s="439">
        <f t="shared" si="24"/>
        <v>0</v>
      </c>
      <c r="I120" s="311"/>
      <c r="J120" s="311"/>
      <c r="K120" s="441">
        <f t="shared" si="25"/>
        <v>0</v>
      </c>
      <c r="L120" s="442"/>
      <c r="M120" s="443"/>
      <c r="N120" s="444">
        <f t="shared" si="26"/>
        <v>0</v>
      </c>
      <c r="O120" s="307"/>
      <c r="P120" s="307"/>
      <c r="Q120" s="445">
        <f t="shared" si="27"/>
        <v>0</v>
      </c>
      <c r="R120" s="442"/>
      <c r="S120" s="443"/>
      <c r="T120" s="444">
        <f t="shared" si="28"/>
        <v>0</v>
      </c>
      <c r="U120" s="306"/>
      <c r="V120" s="306"/>
      <c r="W120" s="441">
        <f t="shared" si="29"/>
        <v>0</v>
      </c>
      <c r="X120" s="442"/>
      <c r="Y120" s="443"/>
      <c r="Z120" s="444">
        <f t="shared" si="30"/>
        <v>0</v>
      </c>
      <c r="AA120" s="307"/>
      <c r="AB120" s="307"/>
      <c r="AC120" s="445">
        <f t="shared" si="31"/>
        <v>0</v>
      </c>
      <c r="AD120" s="442"/>
      <c r="AE120" s="443"/>
      <c r="AF120" s="444">
        <f t="shared" si="32"/>
        <v>0</v>
      </c>
      <c r="AG120" s="307"/>
      <c r="AH120" s="307"/>
      <c r="AI120" s="445">
        <f t="shared" si="33"/>
        <v>0</v>
      </c>
      <c r="AJ120" s="446">
        <v>63</v>
      </c>
      <c r="AK120" s="443">
        <v>46378</v>
      </c>
      <c r="AL120" s="444">
        <f t="shared" si="34"/>
        <v>2921814</v>
      </c>
      <c r="AM120" s="307">
        <v>64</v>
      </c>
      <c r="AN120" s="307">
        <v>47419</v>
      </c>
      <c r="AO120" s="447">
        <f t="shared" si="35"/>
        <v>3034816</v>
      </c>
      <c r="AP120" s="448"/>
      <c r="AQ120" s="443"/>
      <c r="AR120" s="444">
        <f t="shared" si="36"/>
        <v>0</v>
      </c>
      <c r="AS120" s="307"/>
      <c r="AT120" s="307"/>
      <c r="AU120" s="441">
        <f t="shared" si="37"/>
        <v>0</v>
      </c>
      <c r="AV120" s="442"/>
      <c r="AW120" s="443"/>
      <c r="AX120" s="444">
        <f t="shared" si="38"/>
        <v>0</v>
      </c>
      <c r="AY120" s="307"/>
      <c r="AZ120" s="307"/>
      <c r="BA120" s="445">
        <f t="shared" si="39"/>
        <v>0</v>
      </c>
      <c r="BB120" s="442"/>
      <c r="BC120" s="443"/>
      <c r="BD120" s="444">
        <f t="shared" si="40"/>
        <v>0</v>
      </c>
      <c r="BE120" s="307"/>
      <c r="BF120" s="307"/>
      <c r="BG120" s="445">
        <f t="shared" si="41"/>
        <v>0</v>
      </c>
      <c r="BH120" s="442"/>
      <c r="BI120" s="443"/>
      <c r="BJ120" s="444">
        <f t="shared" si="42"/>
        <v>0</v>
      </c>
      <c r="BK120" s="307"/>
      <c r="BL120" s="307"/>
      <c r="BM120" s="445">
        <f t="shared" si="43"/>
        <v>0</v>
      </c>
      <c r="BN120" s="442"/>
      <c r="BO120" s="443"/>
      <c r="BP120" s="444">
        <f t="shared" si="44"/>
        <v>0</v>
      </c>
      <c r="BQ120" s="307"/>
      <c r="BR120" s="307"/>
      <c r="BS120" s="445">
        <f t="shared" si="45"/>
        <v>0</v>
      </c>
      <c r="BT120" s="442"/>
      <c r="BU120" s="443"/>
      <c r="BV120" s="444">
        <f t="shared" si="46"/>
        <v>0</v>
      </c>
      <c r="BW120" s="307"/>
      <c r="BX120" s="307"/>
      <c r="BY120" s="449">
        <f t="shared" si="47"/>
        <v>0</v>
      </c>
    </row>
    <row r="121" spans="1:77" s="308" customFormat="1" ht="12.75" customHeight="1">
      <c r="A121" s="329" t="s">
        <v>347</v>
      </c>
      <c r="B121" s="405" t="s">
        <v>157</v>
      </c>
      <c r="C121" s="499" t="s">
        <v>1087</v>
      </c>
      <c r="D121" s="329">
        <v>137281</v>
      </c>
      <c r="E121" s="456">
        <v>9</v>
      </c>
      <c r="F121" s="453"/>
      <c r="G121" s="454"/>
      <c r="H121" s="439">
        <f t="shared" si="24"/>
        <v>0</v>
      </c>
      <c r="I121" s="311"/>
      <c r="J121" s="311"/>
      <c r="K121" s="441">
        <f t="shared" si="25"/>
        <v>0</v>
      </c>
      <c r="L121" s="442"/>
      <c r="M121" s="443"/>
      <c r="N121" s="444">
        <f t="shared" si="26"/>
        <v>0</v>
      </c>
      <c r="O121" s="307"/>
      <c r="P121" s="307"/>
      <c r="Q121" s="445">
        <f t="shared" si="27"/>
        <v>0</v>
      </c>
      <c r="R121" s="442"/>
      <c r="S121" s="443"/>
      <c r="T121" s="444">
        <f t="shared" si="28"/>
        <v>0</v>
      </c>
      <c r="U121" s="306"/>
      <c r="V121" s="306"/>
      <c r="W121" s="441">
        <f t="shared" si="29"/>
        <v>0</v>
      </c>
      <c r="X121" s="442"/>
      <c r="Y121" s="443"/>
      <c r="Z121" s="444">
        <f t="shared" si="30"/>
        <v>0</v>
      </c>
      <c r="AA121" s="307"/>
      <c r="AB121" s="307"/>
      <c r="AC121" s="445">
        <f t="shared" si="31"/>
        <v>0</v>
      </c>
      <c r="AD121" s="442"/>
      <c r="AE121" s="443"/>
      <c r="AF121" s="444">
        <f t="shared" si="32"/>
        <v>0</v>
      </c>
      <c r="AG121" s="307"/>
      <c r="AH121" s="307"/>
      <c r="AI121" s="445">
        <f t="shared" si="33"/>
        <v>0</v>
      </c>
      <c r="AJ121" s="446">
        <v>109</v>
      </c>
      <c r="AK121" s="443">
        <v>46597</v>
      </c>
      <c r="AL121" s="444">
        <f t="shared" si="34"/>
        <v>5079073</v>
      </c>
      <c r="AM121" s="307">
        <v>113</v>
      </c>
      <c r="AN121" s="307">
        <v>45526</v>
      </c>
      <c r="AO121" s="447">
        <f t="shared" si="35"/>
        <v>5144438</v>
      </c>
      <c r="AP121" s="448"/>
      <c r="AQ121" s="443"/>
      <c r="AR121" s="444">
        <f t="shared" si="36"/>
        <v>0</v>
      </c>
      <c r="AS121" s="307"/>
      <c r="AT121" s="307"/>
      <c r="AU121" s="441">
        <f t="shared" si="37"/>
        <v>0</v>
      </c>
      <c r="AV121" s="442"/>
      <c r="AW121" s="443"/>
      <c r="AX121" s="444">
        <f t="shared" si="38"/>
        <v>0</v>
      </c>
      <c r="AY121" s="307"/>
      <c r="AZ121" s="307"/>
      <c r="BA121" s="445">
        <f t="shared" si="39"/>
        <v>0</v>
      </c>
      <c r="BB121" s="442"/>
      <c r="BC121" s="443"/>
      <c r="BD121" s="444">
        <f t="shared" si="40"/>
        <v>0</v>
      </c>
      <c r="BE121" s="307"/>
      <c r="BF121" s="307"/>
      <c r="BG121" s="445">
        <f t="shared" si="41"/>
        <v>0</v>
      </c>
      <c r="BH121" s="442"/>
      <c r="BI121" s="443"/>
      <c r="BJ121" s="444">
        <f t="shared" si="42"/>
        <v>0</v>
      </c>
      <c r="BK121" s="307"/>
      <c r="BL121" s="307"/>
      <c r="BM121" s="445">
        <f t="shared" si="43"/>
        <v>0</v>
      </c>
      <c r="BN121" s="442"/>
      <c r="BO121" s="443"/>
      <c r="BP121" s="444">
        <f t="shared" si="44"/>
        <v>0</v>
      </c>
      <c r="BQ121" s="307"/>
      <c r="BR121" s="307"/>
      <c r="BS121" s="445">
        <f t="shared" si="45"/>
        <v>0</v>
      </c>
      <c r="BT121" s="442"/>
      <c r="BU121" s="443"/>
      <c r="BV121" s="444">
        <f t="shared" si="46"/>
        <v>0</v>
      </c>
      <c r="BW121" s="307"/>
      <c r="BX121" s="307"/>
      <c r="BY121" s="449">
        <f t="shared" si="47"/>
        <v>0</v>
      </c>
    </row>
    <row r="122" spans="1:77" s="308" customFormat="1" ht="12.75" customHeight="1">
      <c r="A122" s="329" t="s">
        <v>347</v>
      </c>
      <c r="B122" s="330" t="s">
        <v>149</v>
      </c>
      <c r="C122" s="330"/>
      <c r="D122" s="329">
        <v>133960</v>
      </c>
      <c r="E122" s="456">
        <v>10</v>
      </c>
      <c r="F122" s="453"/>
      <c r="G122" s="454"/>
      <c r="H122" s="439">
        <f t="shared" si="24"/>
        <v>0</v>
      </c>
      <c r="I122" s="311"/>
      <c r="J122" s="311"/>
      <c r="K122" s="441">
        <f t="shared" si="25"/>
        <v>0</v>
      </c>
      <c r="L122" s="442"/>
      <c r="M122" s="443"/>
      <c r="N122" s="444">
        <f t="shared" si="26"/>
        <v>0</v>
      </c>
      <c r="O122" s="307"/>
      <c r="P122" s="307"/>
      <c r="Q122" s="445">
        <f t="shared" si="27"/>
        <v>0</v>
      </c>
      <c r="R122" s="442"/>
      <c r="S122" s="443"/>
      <c r="T122" s="444">
        <f t="shared" si="28"/>
        <v>0</v>
      </c>
      <c r="U122" s="306"/>
      <c r="V122" s="306"/>
      <c r="W122" s="441">
        <f t="shared" si="29"/>
        <v>0</v>
      </c>
      <c r="X122" s="442"/>
      <c r="Y122" s="443"/>
      <c r="Z122" s="444">
        <f t="shared" si="30"/>
        <v>0</v>
      </c>
      <c r="AA122" s="307"/>
      <c r="AB122" s="307"/>
      <c r="AC122" s="445">
        <f t="shared" si="31"/>
        <v>0</v>
      </c>
      <c r="AD122" s="442"/>
      <c r="AE122" s="443"/>
      <c r="AF122" s="444">
        <f t="shared" si="32"/>
        <v>0</v>
      </c>
      <c r="AG122" s="307"/>
      <c r="AH122" s="307"/>
      <c r="AI122" s="445">
        <f t="shared" si="33"/>
        <v>0</v>
      </c>
      <c r="AJ122" s="446">
        <v>22</v>
      </c>
      <c r="AK122" s="443">
        <v>52765</v>
      </c>
      <c r="AL122" s="444">
        <f t="shared" si="34"/>
        <v>1160830</v>
      </c>
      <c r="AM122" s="307">
        <v>28</v>
      </c>
      <c r="AN122" s="307">
        <v>57592</v>
      </c>
      <c r="AO122" s="447">
        <f t="shared" si="35"/>
        <v>1612576</v>
      </c>
      <c r="AP122" s="448"/>
      <c r="AQ122" s="443"/>
      <c r="AR122" s="444">
        <f t="shared" si="36"/>
        <v>0</v>
      </c>
      <c r="AS122" s="307"/>
      <c r="AT122" s="307"/>
      <c r="AU122" s="441">
        <f t="shared" si="37"/>
        <v>0</v>
      </c>
      <c r="AV122" s="442"/>
      <c r="AW122" s="443"/>
      <c r="AX122" s="444">
        <f t="shared" si="38"/>
        <v>0</v>
      </c>
      <c r="AY122" s="307"/>
      <c r="AZ122" s="307"/>
      <c r="BA122" s="445">
        <f t="shared" si="39"/>
        <v>0</v>
      </c>
      <c r="BB122" s="442"/>
      <c r="BC122" s="443"/>
      <c r="BD122" s="444">
        <f t="shared" si="40"/>
        <v>0</v>
      </c>
      <c r="BE122" s="307"/>
      <c r="BF122" s="307"/>
      <c r="BG122" s="445">
        <f t="shared" si="41"/>
        <v>0</v>
      </c>
      <c r="BH122" s="442"/>
      <c r="BI122" s="443"/>
      <c r="BJ122" s="444">
        <f t="shared" si="42"/>
        <v>0</v>
      </c>
      <c r="BK122" s="307"/>
      <c r="BL122" s="307"/>
      <c r="BM122" s="445">
        <f t="shared" si="43"/>
        <v>0</v>
      </c>
      <c r="BN122" s="442"/>
      <c r="BO122" s="443"/>
      <c r="BP122" s="444">
        <f t="shared" si="44"/>
        <v>0</v>
      </c>
      <c r="BQ122" s="307"/>
      <c r="BR122" s="307"/>
      <c r="BS122" s="445">
        <f t="shared" si="45"/>
        <v>0</v>
      </c>
      <c r="BT122" s="442"/>
      <c r="BU122" s="443"/>
      <c r="BV122" s="444">
        <f t="shared" si="46"/>
        <v>0</v>
      </c>
      <c r="BW122" s="307"/>
      <c r="BX122" s="307"/>
      <c r="BY122" s="449">
        <f t="shared" si="47"/>
        <v>0</v>
      </c>
    </row>
    <row r="123" spans="1:77" s="308" customFormat="1" ht="12.75" customHeight="1">
      <c r="A123" s="329" t="s">
        <v>347</v>
      </c>
      <c r="B123" s="330" t="s">
        <v>155</v>
      </c>
      <c r="C123" s="330"/>
      <c r="D123" s="329">
        <v>136145</v>
      </c>
      <c r="E123" s="456">
        <v>10</v>
      </c>
      <c r="F123" s="453"/>
      <c r="G123" s="454"/>
      <c r="H123" s="439">
        <f t="shared" si="24"/>
        <v>0</v>
      </c>
      <c r="I123" s="311"/>
      <c r="J123" s="311"/>
      <c r="K123" s="441">
        <f t="shared" si="25"/>
        <v>0</v>
      </c>
      <c r="L123" s="442"/>
      <c r="M123" s="443"/>
      <c r="N123" s="444">
        <f t="shared" si="26"/>
        <v>0</v>
      </c>
      <c r="O123" s="307"/>
      <c r="P123" s="307"/>
      <c r="Q123" s="445">
        <f t="shared" si="27"/>
        <v>0</v>
      </c>
      <c r="R123" s="442"/>
      <c r="S123" s="443"/>
      <c r="T123" s="444">
        <f t="shared" si="28"/>
        <v>0</v>
      </c>
      <c r="U123" s="306"/>
      <c r="V123" s="306"/>
      <c r="W123" s="441">
        <f t="shared" si="29"/>
        <v>0</v>
      </c>
      <c r="X123" s="442"/>
      <c r="Y123" s="443"/>
      <c r="Z123" s="444">
        <f t="shared" si="30"/>
        <v>0</v>
      </c>
      <c r="AA123" s="307"/>
      <c r="AB123" s="307"/>
      <c r="AC123" s="445">
        <f t="shared" si="31"/>
        <v>0</v>
      </c>
      <c r="AD123" s="442"/>
      <c r="AE123" s="443"/>
      <c r="AF123" s="444">
        <f t="shared" si="32"/>
        <v>0</v>
      </c>
      <c r="AG123" s="307"/>
      <c r="AH123" s="307"/>
      <c r="AI123" s="445">
        <f t="shared" si="33"/>
        <v>0</v>
      </c>
      <c r="AJ123" s="446">
        <v>27</v>
      </c>
      <c r="AK123" s="443">
        <v>42356</v>
      </c>
      <c r="AL123" s="444">
        <f t="shared" si="34"/>
        <v>1143612</v>
      </c>
      <c r="AM123" s="307">
        <v>29</v>
      </c>
      <c r="AN123" s="307">
        <v>42870</v>
      </c>
      <c r="AO123" s="447">
        <f t="shared" si="35"/>
        <v>1243230</v>
      </c>
      <c r="AP123" s="448"/>
      <c r="AQ123" s="443"/>
      <c r="AR123" s="444">
        <f t="shared" si="36"/>
        <v>0</v>
      </c>
      <c r="AS123" s="307"/>
      <c r="AT123" s="307"/>
      <c r="AU123" s="441">
        <f t="shared" si="37"/>
        <v>0</v>
      </c>
      <c r="AV123" s="442"/>
      <c r="AW123" s="443"/>
      <c r="AX123" s="444">
        <f t="shared" si="38"/>
        <v>0</v>
      </c>
      <c r="AY123" s="307"/>
      <c r="AZ123" s="307"/>
      <c r="BA123" s="445">
        <f t="shared" si="39"/>
        <v>0</v>
      </c>
      <c r="BB123" s="442"/>
      <c r="BC123" s="443"/>
      <c r="BD123" s="444">
        <f t="shared" si="40"/>
        <v>0</v>
      </c>
      <c r="BE123" s="307"/>
      <c r="BF123" s="307"/>
      <c r="BG123" s="445">
        <f t="shared" si="41"/>
        <v>0</v>
      </c>
      <c r="BH123" s="442"/>
      <c r="BI123" s="443"/>
      <c r="BJ123" s="444">
        <f t="shared" si="42"/>
        <v>0</v>
      </c>
      <c r="BK123" s="307"/>
      <c r="BL123" s="307"/>
      <c r="BM123" s="445">
        <f t="shared" si="43"/>
        <v>0</v>
      </c>
      <c r="BN123" s="442"/>
      <c r="BO123" s="443"/>
      <c r="BP123" s="444">
        <f t="shared" si="44"/>
        <v>0</v>
      </c>
      <c r="BQ123" s="307"/>
      <c r="BR123" s="307"/>
      <c r="BS123" s="445">
        <f t="shared" si="45"/>
        <v>0</v>
      </c>
      <c r="BT123" s="442"/>
      <c r="BU123" s="443"/>
      <c r="BV123" s="444">
        <f t="shared" si="46"/>
        <v>0</v>
      </c>
      <c r="BW123" s="307"/>
      <c r="BX123" s="307"/>
      <c r="BY123" s="449">
        <f t="shared" si="47"/>
        <v>0</v>
      </c>
    </row>
    <row r="124" spans="1:77" s="308" customFormat="1" ht="12.75" customHeight="1">
      <c r="A124" s="336" t="s">
        <v>345</v>
      </c>
      <c r="B124" s="337" t="s">
        <v>490</v>
      </c>
      <c r="C124" s="337"/>
      <c r="D124" s="336">
        <v>139940</v>
      </c>
      <c r="E124" s="458">
        <v>1</v>
      </c>
      <c r="F124" s="453">
        <v>199</v>
      </c>
      <c r="G124" s="454">
        <v>120070</v>
      </c>
      <c r="H124" s="439">
        <f t="shared" si="24"/>
        <v>23893930</v>
      </c>
      <c r="I124" s="311">
        <v>197</v>
      </c>
      <c r="J124" s="311">
        <v>119788.21</v>
      </c>
      <c r="K124" s="441">
        <f t="shared" si="25"/>
        <v>23598277.370000001</v>
      </c>
      <c r="L124" s="442">
        <v>286</v>
      </c>
      <c r="M124" s="443">
        <v>78104</v>
      </c>
      <c r="N124" s="444">
        <f t="shared" si="26"/>
        <v>22337744</v>
      </c>
      <c r="O124" s="307">
        <v>299</v>
      </c>
      <c r="P124" s="307">
        <v>78252.649999999994</v>
      </c>
      <c r="Q124" s="445">
        <f t="shared" si="27"/>
        <v>23397542.349999998</v>
      </c>
      <c r="R124" s="442">
        <v>338</v>
      </c>
      <c r="S124" s="443">
        <v>66753</v>
      </c>
      <c r="T124" s="444">
        <f t="shared" si="28"/>
        <v>22562514</v>
      </c>
      <c r="U124" s="306">
        <v>349</v>
      </c>
      <c r="V124" s="306">
        <v>67459.56</v>
      </c>
      <c r="W124" s="441">
        <f t="shared" si="29"/>
        <v>23543386.439999998</v>
      </c>
      <c r="X124" s="442">
        <v>63</v>
      </c>
      <c r="Y124" s="443">
        <v>50426</v>
      </c>
      <c r="Z124" s="444">
        <f t="shared" si="30"/>
        <v>3176838</v>
      </c>
      <c r="AA124" s="307">
        <v>55</v>
      </c>
      <c r="AB124" s="307">
        <v>53801.1</v>
      </c>
      <c r="AC124" s="445">
        <f t="shared" si="31"/>
        <v>2959060.5</v>
      </c>
      <c r="AD124" s="442">
        <v>149</v>
      </c>
      <c r="AE124" s="443">
        <v>44027</v>
      </c>
      <c r="AF124" s="444">
        <f t="shared" si="32"/>
        <v>6560023</v>
      </c>
      <c r="AG124" s="307">
        <v>149</v>
      </c>
      <c r="AH124" s="307">
        <v>44747.08</v>
      </c>
      <c r="AI124" s="445">
        <f t="shared" si="33"/>
        <v>6667314.9199999999</v>
      </c>
      <c r="AJ124" s="446"/>
      <c r="AK124" s="443"/>
      <c r="AL124" s="444">
        <f t="shared" si="34"/>
        <v>0</v>
      </c>
      <c r="AM124" s="307"/>
      <c r="AN124" s="307"/>
      <c r="AO124" s="447">
        <f t="shared" si="35"/>
        <v>0</v>
      </c>
      <c r="AP124" s="448">
        <v>6</v>
      </c>
      <c r="AQ124" s="443">
        <v>147742</v>
      </c>
      <c r="AR124" s="444">
        <f t="shared" si="36"/>
        <v>725295.02640000009</v>
      </c>
      <c r="AS124" s="307">
        <v>6</v>
      </c>
      <c r="AT124" s="307">
        <v>139895</v>
      </c>
      <c r="AU124" s="441">
        <f t="shared" si="37"/>
        <v>686772.53399999999</v>
      </c>
      <c r="AV124" s="442">
        <v>2</v>
      </c>
      <c r="AW124" s="443">
        <v>100050</v>
      </c>
      <c r="AX124" s="444">
        <f t="shared" si="38"/>
        <v>163721.82</v>
      </c>
      <c r="AY124" s="307"/>
      <c r="AZ124" s="307"/>
      <c r="BA124" s="445">
        <f t="shared" si="39"/>
        <v>0</v>
      </c>
      <c r="BB124" s="442">
        <v>2</v>
      </c>
      <c r="BC124" s="443">
        <v>97382</v>
      </c>
      <c r="BD124" s="444">
        <f t="shared" si="40"/>
        <v>159355.90480000002</v>
      </c>
      <c r="BE124" s="307"/>
      <c r="BF124" s="307"/>
      <c r="BG124" s="445">
        <f t="shared" si="41"/>
        <v>0</v>
      </c>
      <c r="BH124" s="442">
        <v>3</v>
      </c>
      <c r="BI124" s="443">
        <v>57298</v>
      </c>
      <c r="BJ124" s="444">
        <f t="shared" si="42"/>
        <v>140643.67079999999</v>
      </c>
      <c r="BK124" s="307"/>
      <c r="BL124" s="307"/>
      <c r="BM124" s="445">
        <f t="shared" si="43"/>
        <v>0</v>
      </c>
      <c r="BN124" s="442">
        <v>4</v>
      </c>
      <c r="BO124" s="443">
        <v>66964</v>
      </c>
      <c r="BP124" s="444">
        <f t="shared" si="44"/>
        <v>219159.77920000002</v>
      </c>
      <c r="BQ124" s="307">
        <v>4</v>
      </c>
      <c r="BR124" s="307">
        <v>66964</v>
      </c>
      <c r="BS124" s="445">
        <f t="shared" si="45"/>
        <v>219159.77920000002</v>
      </c>
      <c r="BT124" s="442"/>
      <c r="BU124" s="443"/>
      <c r="BV124" s="444">
        <f t="shared" si="46"/>
        <v>0</v>
      </c>
      <c r="BW124" s="307"/>
      <c r="BX124" s="307"/>
      <c r="BY124" s="449">
        <f t="shared" si="47"/>
        <v>0</v>
      </c>
    </row>
    <row r="125" spans="1:77" s="308" customFormat="1" ht="12.75" customHeight="1">
      <c r="A125" s="336" t="s">
        <v>345</v>
      </c>
      <c r="B125" s="337" t="s">
        <v>491</v>
      </c>
      <c r="C125" s="337"/>
      <c r="D125" s="336">
        <v>139959</v>
      </c>
      <c r="E125" s="458">
        <v>1</v>
      </c>
      <c r="F125" s="453">
        <v>465</v>
      </c>
      <c r="G125" s="454">
        <v>110510</v>
      </c>
      <c r="H125" s="439">
        <f t="shared" si="24"/>
        <v>51387150</v>
      </c>
      <c r="I125" s="311">
        <v>459</v>
      </c>
      <c r="J125" s="311">
        <v>110339.2</v>
      </c>
      <c r="K125" s="441">
        <f t="shared" si="25"/>
        <v>50645692.799999997</v>
      </c>
      <c r="L125" s="442">
        <v>361</v>
      </c>
      <c r="M125" s="443">
        <v>78937</v>
      </c>
      <c r="N125" s="444">
        <f t="shared" si="26"/>
        <v>28496257</v>
      </c>
      <c r="O125" s="307">
        <v>367</v>
      </c>
      <c r="P125" s="307">
        <v>78575.05</v>
      </c>
      <c r="Q125" s="445">
        <f t="shared" si="27"/>
        <v>28837043.350000001</v>
      </c>
      <c r="R125" s="442">
        <v>325</v>
      </c>
      <c r="S125" s="443">
        <v>73080</v>
      </c>
      <c r="T125" s="444">
        <f t="shared" si="28"/>
        <v>23751000</v>
      </c>
      <c r="U125" s="306">
        <v>321</v>
      </c>
      <c r="V125" s="306">
        <v>76061.37</v>
      </c>
      <c r="W125" s="441">
        <f t="shared" si="29"/>
        <v>24415699.77</v>
      </c>
      <c r="X125" s="442">
        <v>31</v>
      </c>
      <c r="Y125" s="443">
        <v>52240</v>
      </c>
      <c r="Z125" s="444">
        <f t="shared" si="30"/>
        <v>1619440</v>
      </c>
      <c r="AA125" s="307">
        <v>41</v>
      </c>
      <c r="AB125" s="307">
        <v>50128.61</v>
      </c>
      <c r="AC125" s="445">
        <f t="shared" si="31"/>
        <v>2055273.01</v>
      </c>
      <c r="AD125" s="442">
        <v>102</v>
      </c>
      <c r="AE125" s="443">
        <v>59057</v>
      </c>
      <c r="AF125" s="444">
        <f t="shared" si="32"/>
        <v>6023814</v>
      </c>
      <c r="AG125" s="307">
        <v>100</v>
      </c>
      <c r="AH125" s="307">
        <v>60755.16</v>
      </c>
      <c r="AI125" s="445">
        <f t="shared" si="33"/>
        <v>6075516</v>
      </c>
      <c r="AJ125" s="446"/>
      <c r="AK125" s="443"/>
      <c r="AL125" s="444">
        <f t="shared" si="34"/>
        <v>0</v>
      </c>
      <c r="AM125" s="307"/>
      <c r="AN125" s="307"/>
      <c r="AO125" s="447">
        <f t="shared" si="35"/>
        <v>0</v>
      </c>
      <c r="AP125" s="448">
        <v>235</v>
      </c>
      <c r="AQ125" s="443">
        <v>124164</v>
      </c>
      <c r="AR125" s="444">
        <f t="shared" si="36"/>
        <v>23873881.427999999</v>
      </c>
      <c r="AS125" s="307">
        <v>225</v>
      </c>
      <c r="AT125" s="307">
        <v>122650</v>
      </c>
      <c r="AU125" s="441">
        <f t="shared" si="37"/>
        <v>22579251.75</v>
      </c>
      <c r="AV125" s="442">
        <v>127</v>
      </c>
      <c r="AW125" s="443">
        <v>94356</v>
      </c>
      <c r="AX125" s="444">
        <f t="shared" si="38"/>
        <v>9804664.0584000014</v>
      </c>
      <c r="AY125" s="307">
        <v>122</v>
      </c>
      <c r="AZ125" s="307">
        <v>93869.9</v>
      </c>
      <c r="BA125" s="445">
        <f t="shared" si="39"/>
        <v>9370130.9659599997</v>
      </c>
      <c r="BB125" s="442">
        <v>111</v>
      </c>
      <c r="BC125" s="443">
        <v>83829</v>
      </c>
      <c r="BD125" s="444">
        <f t="shared" si="40"/>
        <v>7613366.5458000004</v>
      </c>
      <c r="BE125" s="307">
        <v>97</v>
      </c>
      <c r="BF125" s="307">
        <v>83934.3</v>
      </c>
      <c r="BG125" s="445">
        <f t="shared" si="41"/>
        <v>6661479.2932200003</v>
      </c>
      <c r="BH125" s="442">
        <v>10</v>
      </c>
      <c r="BI125" s="443">
        <v>62003</v>
      </c>
      <c r="BJ125" s="444">
        <f t="shared" si="42"/>
        <v>507308.54600000003</v>
      </c>
      <c r="BK125" s="307">
        <v>10</v>
      </c>
      <c r="BL125" s="307">
        <v>61947.4</v>
      </c>
      <c r="BM125" s="445">
        <f t="shared" si="43"/>
        <v>506853.62680000003</v>
      </c>
      <c r="BN125" s="442">
        <v>8</v>
      </c>
      <c r="BO125" s="443">
        <v>79113</v>
      </c>
      <c r="BP125" s="444">
        <f t="shared" si="44"/>
        <v>517842.0528</v>
      </c>
      <c r="BQ125" s="307">
        <v>7</v>
      </c>
      <c r="BR125" s="307">
        <v>66366.600000000006</v>
      </c>
      <c r="BS125" s="445">
        <f t="shared" si="45"/>
        <v>380108.06484000006</v>
      </c>
      <c r="BT125" s="442"/>
      <c r="BU125" s="443"/>
      <c r="BV125" s="444">
        <f t="shared" si="46"/>
        <v>0</v>
      </c>
      <c r="BW125" s="307"/>
      <c r="BX125" s="307"/>
      <c r="BY125" s="449">
        <f t="shared" si="47"/>
        <v>0</v>
      </c>
    </row>
    <row r="126" spans="1:77" s="308" customFormat="1" ht="12.75" customHeight="1">
      <c r="A126" s="336" t="s">
        <v>345</v>
      </c>
      <c r="B126" s="337" t="s">
        <v>492</v>
      </c>
      <c r="C126" s="337"/>
      <c r="D126" s="336">
        <v>139755</v>
      </c>
      <c r="E126" s="458">
        <v>2</v>
      </c>
      <c r="F126" s="453">
        <v>339</v>
      </c>
      <c r="G126" s="454">
        <v>132819</v>
      </c>
      <c r="H126" s="439">
        <f t="shared" si="24"/>
        <v>45025641</v>
      </c>
      <c r="I126" s="311">
        <v>361</v>
      </c>
      <c r="J126" s="311">
        <v>131917.4</v>
      </c>
      <c r="K126" s="441">
        <f t="shared" si="25"/>
        <v>47622181.399999999</v>
      </c>
      <c r="L126" s="442">
        <v>236</v>
      </c>
      <c r="M126" s="443">
        <v>95090</v>
      </c>
      <c r="N126" s="444">
        <f t="shared" si="26"/>
        <v>22441240</v>
      </c>
      <c r="O126" s="307">
        <v>237</v>
      </c>
      <c r="P126" s="307">
        <v>93978.86</v>
      </c>
      <c r="Q126" s="445">
        <f t="shared" si="27"/>
        <v>22272989.82</v>
      </c>
      <c r="R126" s="442">
        <v>245</v>
      </c>
      <c r="S126" s="443">
        <v>85264</v>
      </c>
      <c r="T126" s="444">
        <f t="shared" si="28"/>
        <v>20889680</v>
      </c>
      <c r="U126" s="306">
        <v>223</v>
      </c>
      <c r="V126" s="306">
        <v>85603.49</v>
      </c>
      <c r="W126" s="441">
        <f t="shared" si="29"/>
        <v>19089578.27</v>
      </c>
      <c r="X126" s="442">
        <v>42</v>
      </c>
      <c r="Y126" s="443">
        <v>33398</v>
      </c>
      <c r="Z126" s="444">
        <f t="shared" si="30"/>
        <v>1402716</v>
      </c>
      <c r="AA126" s="307">
        <v>26</v>
      </c>
      <c r="AB126" s="307">
        <v>49219.85</v>
      </c>
      <c r="AC126" s="445">
        <f t="shared" si="31"/>
        <v>1279716.0999999999</v>
      </c>
      <c r="AD126" s="442">
        <v>41</v>
      </c>
      <c r="AE126" s="443">
        <v>60139</v>
      </c>
      <c r="AF126" s="444">
        <f t="shared" si="32"/>
        <v>2465699</v>
      </c>
      <c r="AG126" s="307">
        <v>58</v>
      </c>
      <c r="AH126" s="307">
        <v>61122.14</v>
      </c>
      <c r="AI126" s="445">
        <f t="shared" si="33"/>
        <v>3545084.12</v>
      </c>
      <c r="AJ126" s="446"/>
      <c r="AK126" s="443"/>
      <c r="AL126" s="444">
        <f t="shared" si="34"/>
        <v>0</v>
      </c>
      <c r="AM126" s="307"/>
      <c r="AN126" s="307"/>
      <c r="AO126" s="447">
        <f t="shared" si="35"/>
        <v>0</v>
      </c>
      <c r="AP126" s="448">
        <v>59</v>
      </c>
      <c r="AQ126" s="443">
        <v>226118</v>
      </c>
      <c r="AR126" s="444">
        <f t="shared" si="36"/>
        <v>10915575.1084</v>
      </c>
      <c r="AS126" s="307">
        <v>50</v>
      </c>
      <c r="AT126" s="307">
        <v>226432</v>
      </c>
      <c r="AU126" s="441">
        <f t="shared" si="37"/>
        <v>9263333.120000001</v>
      </c>
      <c r="AV126" s="442">
        <v>5</v>
      </c>
      <c r="AW126" s="443">
        <v>128327</v>
      </c>
      <c r="AX126" s="444">
        <f t="shared" si="38"/>
        <v>524985.75699999998</v>
      </c>
      <c r="AY126" s="307">
        <v>4</v>
      </c>
      <c r="AZ126" s="307">
        <v>133696</v>
      </c>
      <c r="BA126" s="445">
        <f t="shared" si="39"/>
        <v>437560.26880000002</v>
      </c>
      <c r="BB126" s="442"/>
      <c r="BC126" s="443"/>
      <c r="BD126" s="444">
        <f t="shared" si="40"/>
        <v>0</v>
      </c>
      <c r="BE126" s="307"/>
      <c r="BF126" s="307"/>
      <c r="BG126" s="445">
        <f t="shared" si="41"/>
        <v>0</v>
      </c>
      <c r="BH126" s="442">
        <v>1</v>
      </c>
      <c r="BI126" s="443">
        <v>60000</v>
      </c>
      <c r="BJ126" s="444">
        <f t="shared" si="42"/>
        <v>49092</v>
      </c>
      <c r="BK126" s="307"/>
      <c r="BL126" s="307"/>
      <c r="BM126" s="445">
        <f t="shared" si="43"/>
        <v>0</v>
      </c>
      <c r="BN126" s="442">
        <v>10</v>
      </c>
      <c r="BO126" s="443">
        <v>121319</v>
      </c>
      <c r="BP126" s="444">
        <f t="shared" si="44"/>
        <v>992632.05800000008</v>
      </c>
      <c r="BQ126" s="307">
        <v>16</v>
      </c>
      <c r="BR126" s="307">
        <v>83440.75</v>
      </c>
      <c r="BS126" s="445">
        <f t="shared" si="45"/>
        <v>1092339.5464000001</v>
      </c>
      <c r="BT126" s="442"/>
      <c r="BU126" s="443"/>
      <c r="BV126" s="444">
        <f t="shared" si="46"/>
        <v>0</v>
      </c>
      <c r="BW126" s="307"/>
      <c r="BX126" s="307"/>
      <c r="BY126" s="449">
        <f t="shared" si="47"/>
        <v>0</v>
      </c>
    </row>
    <row r="127" spans="1:77" s="308" customFormat="1" ht="12.75" customHeight="1">
      <c r="A127" s="336" t="s">
        <v>345</v>
      </c>
      <c r="B127" s="337" t="s">
        <v>493</v>
      </c>
      <c r="C127" s="337"/>
      <c r="D127" s="336">
        <v>139931</v>
      </c>
      <c r="E127" s="458">
        <v>3</v>
      </c>
      <c r="F127" s="453">
        <v>130</v>
      </c>
      <c r="G127" s="454">
        <v>80389</v>
      </c>
      <c r="H127" s="439">
        <f t="shared" si="24"/>
        <v>10450570</v>
      </c>
      <c r="I127" s="311">
        <v>144</v>
      </c>
      <c r="J127" s="311">
        <v>79994.179999999993</v>
      </c>
      <c r="K127" s="441">
        <f t="shared" si="25"/>
        <v>11519161.919999998</v>
      </c>
      <c r="L127" s="442">
        <v>176</v>
      </c>
      <c r="M127" s="443">
        <v>68306</v>
      </c>
      <c r="N127" s="444">
        <f t="shared" si="26"/>
        <v>12021856</v>
      </c>
      <c r="O127" s="307">
        <v>174</v>
      </c>
      <c r="P127" s="307">
        <v>68059.97</v>
      </c>
      <c r="Q127" s="445">
        <f t="shared" si="27"/>
        <v>11842434.779999999</v>
      </c>
      <c r="R127" s="442">
        <v>252</v>
      </c>
      <c r="S127" s="443">
        <v>58353</v>
      </c>
      <c r="T127" s="444">
        <f t="shared" si="28"/>
        <v>14704956</v>
      </c>
      <c r="U127" s="306">
        <v>252</v>
      </c>
      <c r="V127" s="306">
        <v>58699.78</v>
      </c>
      <c r="W127" s="441">
        <f t="shared" si="29"/>
        <v>14792344.560000001</v>
      </c>
      <c r="X127" s="442">
        <v>112</v>
      </c>
      <c r="Y127" s="443">
        <v>38129</v>
      </c>
      <c r="Z127" s="444">
        <f t="shared" si="30"/>
        <v>4270448</v>
      </c>
      <c r="AA127" s="307">
        <v>108</v>
      </c>
      <c r="AB127" s="307">
        <v>38680.44</v>
      </c>
      <c r="AC127" s="445">
        <f t="shared" si="31"/>
        <v>4177487.5200000005</v>
      </c>
      <c r="AD127" s="442">
        <v>16</v>
      </c>
      <c r="AE127" s="443">
        <v>44033</v>
      </c>
      <c r="AF127" s="444">
        <f t="shared" si="32"/>
        <v>704528</v>
      </c>
      <c r="AG127" s="307">
        <v>23</v>
      </c>
      <c r="AH127" s="307">
        <v>43153</v>
      </c>
      <c r="AI127" s="445">
        <f t="shared" si="33"/>
        <v>992519</v>
      </c>
      <c r="AJ127" s="446"/>
      <c r="AK127" s="443"/>
      <c r="AL127" s="444">
        <f t="shared" si="34"/>
        <v>0</v>
      </c>
      <c r="AM127" s="307"/>
      <c r="AN127" s="307"/>
      <c r="AO127" s="447">
        <f t="shared" si="35"/>
        <v>0</v>
      </c>
      <c r="AP127" s="448">
        <v>29</v>
      </c>
      <c r="AQ127" s="443">
        <v>111503</v>
      </c>
      <c r="AR127" s="444">
        <f t="shared" si="36"/>
        <v>2645720.8834000002</v>
      </c>
      <c r="AS127" s="307">
        <v>27</v>
      </c>
      <c r="AT127" s="307">
        <v>117038</v>
      </c>
      <c r="AU127" s="441">
        <f t="shared" si="37"/>
        <v>2585533.2732000002</v>
      </c>
      <c r="AV127" s="442">
        <v>21</v>
      </c>
      <c r="AW127" s="443">
        <v>84487</v>
      </c>
      <c r="AX127" s="444">
        <f t="shared" si="38"/>
        <v>1451672.5314</v>
      </c>
      <c r="AY127" s="307">
        <v>19</v>
      </c>
      <c r="AZ127" s="307">
        <v>84068.1</v>
      </c>
      <c r="BA127" s="445">
        <f t="shared" si="39"/>
        <v>1306905.8689800003</v>
      </c>
      <c r="BB127" s="442">
        <v>9</v>
      </c>
      <c r="BC127" s="443">
        <v>57780</v>
      </c>
      <c r="BD127" s="444">
        <f t="shared" si="40"/>
        <v>425480.364</v>
      </c>
      <c r="BE127" s="307">
        <v>10</v>
      </c>
      <c r="BF127" s="307">
        <v>56252</v>
      </c>
      <c r="BG127" s="445">
        <f t="shared" si="41"/>
        <v>460253.864</v>
      </c>
      <c r="BH127" s="442">
        <v>3</v>
      </c>
      <c r="BI127" s="443">
        <v>53215</v>
      </c>
      <c r="BJ127" s="444">
        <f t="shared" si="42"/>
        <v>130621.539</v>
      </c>
      <c r="BK127" s="307">
        <v>1</v>
      </c>
      <c r="BL127" s="307">
        <v>63000</v>
      </c>
      <c r="BM127" s="445">
        <f t="shared" si="43"/>
        <v>51546.600000000006</v>
      </c>
      <c r="BN127" s="442">
        <v>3</v>
      </c>
      <c r="BO127" s="443">
        <v>73627</v>
      </c>
      <c r="BP127" s="444">
        <f t="shared" si="44"/>
        <v>180724.83420000001</v>
      </c>
      <c r="BQ127" s="307">
        <v>3</v>
      </c>
      <c r="BR127" s="307">
        <v>73627</v>
      </c>
      <c r="BS127" s="445">
        <f t="shared" si="45"/>
        <v>180724.83420000001</v>
      </c>
      <c r="BT127" s="442"/>
      <c r="BU127" s="443"/>
      <c r="BV127" s="444">
        <f t="shared" si="46"/>
        <v>0</v>
      </c>
      <c r="BW127" s="307"/>
      <c r="BX127" s="307"/>
      <c r="BY127" s="449">
        <f t="shared" si="47"/>
        <v>0</v>
      </c>
    </row>
    <row r="128" spans="1:77" s="308" customFormat="1" ht="12.75" customHeight="1">
      <c r="A128" s="336" t="s">
        <v>345</v>
      </c>
      <c r="B128" s="337" t="s">
        <v>494</v>
      </c>
      <c r="C128" s="337"/>
      <c r="D128" s="336">
        <v>141334</v>
      </c>
      <c r="E128" s="458">
        <v>3</v>
      </c>
      <c r="F128" s="453">
        <v>71</v>
      </c>
      <c r="G128" s="454">
        <v>77183</v>
      </c>
      <c r="H128" s="439">
        <f t="shared" si="24"/>
        <v>5479993</v>
      </c>
      <c r="I128" s="311">
        <v>81</v>
      </c>
      <c r="J128" s="311">
        <v>80572.44</v>
      </c>
      <c r="K128" s="441">
        <f t="shared" si="25"/>
        <v>6526367.6400000006</v>
      </c>
      <c r="L128" s="442">
        <v>92</v>
      </c>
      <c r="M128" s="443">
        <v>59753</v>
      </c>
      <c r="N128" s="444">
        <f t="shared" si="26"/>
        <v>5497276</v>
      </c>
      <c r="O128" s="307">
        <v>90</v>
      </c>
      <c r="P128" s="307">
        <v>60511.87</v>
      </c>
      <c r="Q128" s="445">
        <f t="shared" si="27"/>
        <v>5446068.2999999998</v>
      </c>
      <c r="R128" s="442">
        <v>134</v>
      </c>
      <c r="S128" s="443">
        <v>51537</v>
      </c>
      <c r="T128" s="444">
        <f t="shared" si="28"/>
        <v>6905958</v>
      </c>
      <c r="U128" s="306">
        <v>138</v>
      </c>
      <c r="V128" s="306">
        <v>51408.74</v>
      </c>
      <c r="W128" s="441">
        <f t="shared" si="29"/>
        <v>7094406.1200000001</v>
      </c>
      <c r="X128" s="442">
        <v>84</v>
      </c>
      <c r="Y128" s="443">
        <v>38754</v>
      </c>
      <c r="Z128" s="444">
        <f t="shared" si="30"/>
        <v>3255336</v>
      </c>
      <c r="AA128" s="307">
        <v>63</v>
      </c>
      <c r="AB128" s="307">
        <v>37263.19</v>
      </c>
      <c r="AC128" s="445">
        <f t="shared" si="31"/>
        <v>2347580.9700000002</v>
      </c>
      <c r="AD128" s="442">
        <v>23</v>
      </c>
      <c r="AE128" s="443">
        <v>47129</v>
      </c>
      <c r="AF128" s="444">
        <f t="shared" si="32"/>
        <v>1083967</v>
      </c>
      <c r="AG128" s="307">
        <v>39</v>
      </c>
      <c r="AH128" s="307">
        <v>42749.279999999999</v>
      </c>
      <c r="AI128" s="445">
        <f t="shared" si="33"/>
        <v>1667221.92</v>
      </c>
      <c r="AJ128" s="446"/>
      <c r="AK128" s="443"/>
      <c r="AL128" s="444">
        <f t="shared" si="34"/>
        <v>0</v>
      </c>
      <c r="AM128" s="307"/>
      <c r="AN128" s="307"/>
      <c r="AO128" s="447">
        <f t="shared" si="35"/>
        <v>0</v>
      </c>
      <c r="AP128" s="448">
        <v>13</v>
      </c>
      <c r="AQ128" s="443">
        <v>108706</v>
      </c>
      <c r="AR128" s="444">
        <f t="shared" si="36"/>
        <v>1156262.2396</v>
      </c>
      <c r="AS128" s="307">
        <v>18</v>
      </c>
      <c r="AT128" s="307">
        <v>110526</v>
      </c>
      <c r="AU128" s="441">
        <f t="shared" si="37"/>
        <v>1627782.7176000001</v>
      </c>
      <c r="AV128" s="442">
        <v>4</v>
      </c>
      <c r="AW128" s="443">
        <v>93200</v>
      </c>
      <c r="AX128" s="444">
        <f t="shared" si="38"/>
        <v>305024.96000000002</v>
      </c>
      <c r="AY128" s="307">
        <v>8</v>
      </c>
      <c r="AZ128" s="307">
        <v>95757</v>
      </c>
      <c r="BA128" s="445">
        <f t="shared" si="39"/>
        <v>626787.01919999998</v>
      </c>
      <c r="BB128" s="442">
        <v>5</v>
      </c>
      <c r="BC128" s="443">
        <v>51317</v>
      </c>
      <c r="BD128" s="444">
        <f t="shared" si="40"/>
        <v>209937.84700000001</v>
      </c>
      <c r="BE128" s="307">
        <v>6</v>
      </c>
      <c r="BF128" s="307">
        <v>64660</v>
      </c>
      <c r="BG128" s="445">
        <f t="shared" si="41"/>
        <v>317428.87200000003</v>
      </c>
      <c r="BH128" s="442">
        <v>3</v>
      </c>
      <c r="BI128" s="443">
        <v>55667</v>
      </c>
      <c r="BJ128" s="444">
        <f t="shared" si="42"/>
        <v>136640.2182</v>
      </c>
      <c r="BK128" s="307">
        <v>5</v>
      </c>
      <c r="BL128" s="307">
        <v>51600</v>
      </c>
      <c r="BM128" s="445">
        <f t="shared" si="43"/>
        <v>211095.6</v>
      </c>
      <c r="BN128" s="442">
        <v>1</v>
      </c>
      <c r="BO128" s="443">
        <v>74000</v>
      </c>
      <c r="BP128" s="444">
        <f t="shared" si="44"/>
        <v>60546.8</v>
      </c>
      <c r="BQ128" s="307"/>
      <c r="BR128" s="307"/>
      <c r="BS128" s="445">
        <f t="shared" si="45"/>
        <v>0</v>
      </c>
      <c r="BT128" s="442"/>
      <c r="BU128" s="443"/>
      <c r="BV128" s="444">
        <f t="shared" si="46"/>
        <v>0</v>
      </c>
      <c r="BW128" s="307"/>
      <c r="BX128" s="307"/>
      <c r="BY128" s="449">
        <f t="shared" si="47"/>
        <v>0</v>
      </c>
    </row>
    <row r="129" spans="1:77" s="308" customFormat="1" ht="12.75" customHeight="1">
      <c r="A129" s="336" t="s">
        <v>345</v>
      </c>
      <c r="B129" s="337" t="s">
        <v>495</v>
      </c>
      <c r="C129" s="337"/>
      <c r="D129" s="336">
        <v>141264</v>
      </c>
      <c r="E129" s="458">
        <v>3</v>
      </c>
      <c r="F129" s="453">
        <v>120</v>
      </c>
      <c r="G129" s="454">
        <v>75660</v>
      </c>
      <c r="H129" s="439">
        <f t="shared" si="24"/>
        <v>9079200</v>
      </c>
      <c r="I129" s="311">
        <v>124</v>
      </c>
      <c r="J129" s="311">
        <v>74843.98</v>
      </c>
      <c r="K129" s="441">
        <f t="shared" si="25"/>
        <v>9280653.5199999996</v>
      </c>
      <c r="L129" s="442">
        <v>99</v>
      </c>
      <c r="M129" s="443">
        <v>60366</v>
      </c>
      <c r="N129" s="444">
        <f t="shared" si="26"/>
        <v>5976234</v>
      </c>
      <c r="O129" s="307">
        <v>99</v>
      </c>
      <c r="P129" s="307">
        <v>60337.04</v>
      </c>
      <c r="Q129" s="445">
        <f t="shared" si="27"/>
        <v>5973366.96</v>
      </c>
      <c r="R129" s="442">
        <v>119</v>
      </c>
      <c r="S129" s="443">
        <v>54237</v>
      </c>
      <c r="T129" s="444">
        <f t="shared" si="28"/>
        <v>6454203</v>
      </c>
      <c r="U129" s="306">
        <v>129</v>
      </c>
      <c r="V129" s="306">
        <v>53271.93</v>
      </c>
      <c r="W129" s="441">
        <f t="shared" si="29"/>
        <v>6872078.9699999997</v>
      </c>
      <c r="X129" s="442">
        <v>60</v>
      </c>
      <c r="Y129" s="443">
        <v>42331</v>
      </c>
      <c r="Z129" s="444">
        <f t="shared" si="30"/>
        <v>2539860</v>
      </c>
      <c r="AA129" s="307">
        <v>25</v>
      </c>
      <c r="AB129" s="307">
        <v>40047</v>
      </c>
      <c r="AC129" s="445">
        <f t="shared" si="31"/>
        <v>1001175</v>
      </c>
      <c r="AD129" s="442">
        <v>26</v>
      </c>
      <c r="AE129" s="443">
        <v>40334</v>
      </c>
      <c r="AF129" s="444">
        <f t="shared" si="32"/>
        <v>1048684</v>
      </c>
      <c r="AG129" s="307">
        <v>0</v>
      </c>
      <c r="AH129" s="307">
        <v>0</v>
      </c>
      <c r="AI129" s="445">
        <f t="shared" si="33"/>
        <v>0</v>
      </c>
      <c r="AJ129" s="446"/>
      <c r="AK129" s="443"/>
      <c r="AL129" s="444">
        <f t="shared" si="34"/>
        <v>0</v>
      </c>
      <c r="AM129" s="307"/>
      <c r="AN129" s="307"/>
      <c r="AO129" s="447">
        <f t="shared" si="35"/>
        <v>0</v>
      </c>
      <c r="AP129" s="448">
        <v>3</v>
      </c>
      <c r="AQ129" s="443">
        <v>78466</v>
      </c>
      <c r="AR129" s="444">
        <f t="shared" si="36"/>
        <v>192602.64360000001</v>
      </c>
      <c r="AS129" s="307">
        <v>5</v>
      </c>
      <c r="AT129" s="307">
        <v>78913.8</v>
      </c>
      <c r="AU129" s="441">
        <f t="shared" si="37"/>
        <v>322836.35580000002</v>
      </c>
      <c r="AV129" s="442">
        <v>12</v>
      </c>
      <c r="AW129" s="443">
        <v>65857</v>
      </c>
      <c r="AX129" s="444">
        <f t="shared" si="38"/>
        <v>646610.36880000005</v>
      </c>
      <c r="AY129" s="307">
        <v>10</v>
      </c>
      <c r="AZ129" s="307">
        <v>64111.5</v>
      </c>
      <c r="BA129" s="445">
        <f t="shared" si="39"/>
        <v>524560.29300000006</v>
      </c>
      <c r="BB129" s="442">
        <v>17</v>
      </c>
      <c r="BC129" s="443">
        <v>59379</v>
      </c>
      <c r="BD129" s="444">
        <f t="shared" si="40"/>
        <v>825926.26260000002</v>
      </c>
      <c r="BE129" s="307">
        <v>17</v>
      </c>
      <c r="BF129" s="307">
        <v>60877.5</v>
      </c>
      <c r="BG129" s="445">
        <f t="shared" si="41"/>
        <v>846769.49849999999</v>
      </c>
      <c r="BH129" s="442">
        <v>15</v>
      </c>
      <c r="BI129" s="443">
        <v>54011</v>
      </c>
      <c r="BJ129" s="444">
        <f t="shared" si="42"/>
        <v>662877.00300000003</v>
      </c>
      <c r="BK129" s="307">
        <v>19</v>
      </c>
      <c r="BL129" s="307">
        <v>54855.5</v>
      </c>
      <c r="BM129" s="445">
        <f t="shared" si="43"/>
        <v>852772.63190000004</v>
      </c>
      <c r="BN129" s="442">
        <v>1</v>
      </c>
      <c r="BO129" s="443">
        <v>39795</v>
      </c>
      <c r="BP129" s="444">
        <f t="shared" si="44"/>
        <v>32560.269</v>
      </c>
      <c r="BQ129" s="307"/>
      <c r="BR129" s="307"/>
      <c r="BS129" s="445">
        <f t="shared" si="45"/>
        <v>0</v>
      </c>
      <c r="BT129" s="442"/>
      <c r="BU129" s="443"/>
      <c r="BV129" s="444">
        <f t="shared" si="46"/>
        <v>0</v>
      </c>
      <c r="BW129" s="307"/>
      <c r="BX129" s="307"/>
      <c r="BY129" s="449">
        <f t="shared" si="47"/>
        <v>0</v>
      </c>
    </row>
    <row r="130" spans="1:77" s="308" customFormat="1" ht="12.75" customHeight="1">
      <c r="A130" s="336" t="s">
        <v>345</v>
      </c>
      <c r="B130" s="337" t="s">
        <v>496</v>
      </c>
      <c r="C130" s="337"/>
      <c r="D130" s="336">
        <v>138716</v>
      </c>
      <c r="E130" s="458">
        <v>4</v>
      </c>
      <c r="F130" s="453">
        <v>26</v>
      </c>
      <c r="G130" s="454">
        <v>70511</v>
      </c>
      <c r="H130" s="439">
        <f t="shared" si="24"/>
        <v>1833286</v>
      </c>
      <c r="I130" s="311">
        <v>28</v>
      </c>
      <c r="J130" s="311">
        <v>69986</v>
      </c>
      <c r="K130" s="441">
        <f t="shared" si="25"/>
        <v>1959608</v>
      </c>
      <c r="L130" s="442">
        <v>38</v>
      </c>
      <c r="M130" s="443">
        <v>56166</v>
      </c>
      <c r="N130" s="444">
        <f t="shared" si="26"/>
        <v>2134308</v>
      </c>
      <c r="O130" s="307">
        <v>45</v>
      </c>
      <c r="P130" s="307">
        <v>57013</v>
      </c>
      <c r="Q130" s="445">
        <f t="shared" si="27"/>
        <v>2565585</v>
      </c>
      <c r="R130" s="442">
        <v>61</v>
      </c>
      <c r="S130" s="443">
        <v>51544</v>
      </c>
      <c r="T130" s="444">
        <f t="shared" si="28"/>
        <v>3144184</v>
      </c>
      <c r="U130" s="306">
        <v>56</v>
      </c>
      <c r="V130" s="306">
        <v>51397.77</v>
      </c>
      <c r="W130" s="441">
        <f t="shared" si="29"/>
        <v>2878275.1199999996</v>
      </c>
      <c r="X130" s="442">
        <v>14</v>
      </c>
      <c r="Y130" s="443">
        <v>42173</v>
      </c>
      <c r="Z130" s="444">
        <f t="shared" si="30"/>
        <v>590422</v>
      </c>
      <c r="AA130" s="307">
        <v>14</v>
      </c>
      <c r="AB130" s="307">
        <v>44748.79</v>
      </c>
      <c r="AC130" s="445">
        <f t="shared" si="31"/>
        <v>626483.06000000006</v>
      </c>
      <c r="AD130" s="442"/>
      <c r="AE130" s="443"/>
      <c r="AF130" s="444">
        <f t="shared" si="32"/>
        <v>0</v>
      </c>
      <c r="AG130" s="307">
        <v>0</v>
      </c>
      <c r="AH130" s="307">
        <v>0</v>
      </c>
      <c r="AI130" s="445">
        <f t="shared" si="33"/>
        <v>0</v>
      </c>
      <c r="AJ130" s="446"/>
      <c r="AK130" s="443"/>
      <c r="AL130" s="444">
        <f t="shared" si="34"/>
        <v>0</v>
      </c>
      <c r="AM130" s="307"/>
      <c r="AN130" s="307"/>
      <c r="AO130" s="447">
        <f t="shared" si="35"/>
        <v>0</v>
      </c>
      <c r="AP130" s="448"/>
      <c r="AQ130" s="443"/>
      <c r="AR130" s="444">
        <f t="shared" si="36"/>
        <v>0</v>
      </c>
      <c r="AS130" s="307"/>
      <c r="AT130" s="307"/>
      <c r="AU130" s="441">
        <f t="shared" si="37"/>
        <v>0</v>
      </c>
      <c r="AV130" s="442"/>
      <c r="AW130" s="443"/>
      <c r="AX130" s="444">
        <f t="shared" si="38"/>
        <v>0</v>
      </c>
      <c r="AY130" s="307"/>
      <c r="AZ130" s="307"/>
      <c r="BA130" s="445">
        <f t="shared" si="39"/>
        <v>0</v>
      </c>
      <c r="BB130" s="442">
        <v>2</v>
      </c>
      <c r="BC130" s="443">
        <v>56688</v>
      </c>
      <c r="BD130" s="444">
        <f t="shared" si="40"/>
        <v>92764.243199999997</v>
      </c>
      <c r="BE130" s="307">
        <v>2</v>
      </c>
      <c r="BF130" s="307">
        <v>56781.5</v>
      </c>
      <c r="BG130" s="445">
        <f t="shared" si="41"/>
        <v>92917.246599999999</v>
      </c>
      <c r="BH130" s="442"/>
      <c r="BI130" s="443"/>
      <c r="BJ130" s="444">
        <f t="shared" si="42"/>
        <v>0</v>
      </c>
      <c r="BK130" s="307"/>
      <c r="BL130" s="307"/>
      <c r="BM130" s="445">
        <f t="shared" si="43"/>
        <v>0</v>
      </c>
      <c r="BN130" s="442"/>
      <c r="BO130" s="443"/>
      <c r="BP130" s="444">
        <f t="shared" si="44"/>
        <v>0</v>
      </c>
      <c r="BQ130" s="307"/>
      <c r="BR130" s="307"/>
      <c r="BS130" s="445">
        <f t="shared" si="45"/>
        <v>0</v>
      </c>
      <c r="BT130" s="442"/>
      <c r="BU130" s="443"/>
      <c r="BV130" s="444">
        <f t="shared" si="46"/>
        <v>0</v>
      </c>
      <c r="BW130" s="307"/>
      <c r="BX130" s="307"/>
      <c r="BY130" s="449">
        <f t="shared" si="47"/>
        <v>0</v>
      </c>
    </row>
    <row r="131" spans="1:77" s="308" customFormat="1" ht="12.75" customHeight="1">
      <c r="A131" s="336" t="s">
        <v>345</v>
      </c>
      <c r="B131" s="337" t="s">
        <v>497</v>
      </c>
      <c r="C131" s="337"/>
      <c r="D131" s="336">
        <v>138789</v>
      </c>
      <c r="E131" s="458">
        <v>4</v>
      </c>
      <c r="F131" s="453">
        <v>44</v>
      </c>
      <c r="G131" s="454">
        <v>79659</v>
      </c>
      <c r="H131" s="439">
        <f t="shared" si="24"/>
        <v>3504996</v>
      </c>
      <c r="I131" s="311">
        <v>40</v>
      </c>
      <c r="J131" s="311">
        <v>74969</v>
      </c>
      <c r="K131" s="441">
        <f t="shared" si="25"/>
        <v>2998760</v>
      </c>
      <c r="L131" s="442">
        <v>42</v>
      </c>
      <c r="M131" s="443">
        <v>62633</v>
      </c>
      <c r="N131" s="444">
        <f t="shared" si="26"/>
        <v>2630586</v>
      </c>
      <c r="O131" s="307">
        <v>45</v>
      </c>
      <c r="P131" s="307">
        <v>63220</v>
      </c>
      <c r="Q131" s="445">
        <f t="shared" si="27"/>
        <v>2844900</v>
      </c>
      <c r="R131" s="442">
        <v>91</v>
      </c>
      <c r="S131" s="443">
        <v>51253</v>
      </c>
      <c r="T131" s="444">
        <f t="shared" si="28"/>
        <v>4664023</v>
      </c>
      <c r="U131" s="306">
        <v>85</v>
      </c>
      <c r="V131" s="306">
        <v>50388.29</v>
      </c>
      <c r="W131" s="441">
        <f t="shared" si="29"/>
        <v>4283004.6500000004</v>
      </c>
      <c r="X131" s="442">
        <v>16</v>
      </c>
      <c r="Y131" s="443">
        <v>44730</v>
      </c>
      <c r="Z131" s="444">
        <f t="shared" si="30"/>
        <v>715680</v>
      </c>
      <c r="AA131" s="307">
        <v>62</v>
      </c>
      <c r="AB131" s="307">
        <v>43925.21</v>
      </c>
      <c r="AC131" s="445">
        <f t="shared" si="31"/>
        <v>2723363.02</v>
      </c>
      <c r="AD131" s="442"/>
      <c r="AE131" s="443"/>
      <c r="AF131" s="444">
        <f t="shared" si="32"/>
        <v>0</v>
      </c>
      <c r="AG131" s="307">
        <v>0</v>
      </c>
      <c r="AH131" s="307">
        <v>0</v>
      </c>
      <c r="AI131" s="445">
        <f t="shared" si="33"/>
        <v>0</v>
      </c>
      <c r="AJ131" s="446"/>
      <c r="AK131" s="443"/>
      <c r="AL131" s="444">
        <f t="shared" si="34"/>
        <v>0</v>
      </c>
      <c r="AM131" s="307"/>
      <c r="AN131" s="307"/>
      <c r="AO131" s="447">
        <f t="shared" si="35"/>
        <v>0</v>
      </c>
      <c r="AP131" s="448"/>
      <c r="AQ131" s="443"/>
      <c r="AR131" s="444">
        <f t="shared" si="36"/>
        <v>0</v>
      </c>
      <c r="AS131" s="307">
        <v>1</v>
      </c>
      <c r="AT131" s="307">
        <v>121936</v>
      </c>
      <c r="AU131" s="441">
        <f t="shared" si="37"/>
        <v>99768.035199999998</v>
      </c>
      <c r="AV131" s="442">
        <v>1</v>
      </c>
      <c r="AW131" s="443">
        <v>75326</v>
      </c>
      <c r="AX131" s="444">
        <f t="shared" si="38"/>
        <v>61631.733200000002</v>
      </c>
      <c r="AY131" s="307">
        <v>1</v>
      </c>
      <c r="AZ131" s="307">
        <v>75326</v>
      </c>
      <c r="BA131" s="445">
        <f t="shared" si="39"/>
        <v>61631.733200000002</v>
      </c>
      <c r="BB131" s="442">
        <v>9</v>
      </c>
      <c r="BC131" s="443">
        <v>67236</v>
      </c>
      <c r="BD131" s="444">
        <f t="shared" si="40"/>
        <v>495112.45680000004</v>
      </c>
      <c r="BE131" s="307">
        <v>13</v>
      </c>
      <c r="BF131" s="307">
        <v>62133.31</v>
      </c>
      <c r="BG131" s="445">
        <f t="shared" si="41"/>
        <v>660887.1651460001</v>
      </c>
      <c r="BH131" s="442">
        <v>3</v>
      </c>
      <c r="BI131" s="443">
        <v>54853</v>
      </c>
      <c r="BJ131" s="444">
        <f t="shared" si="42"/>
        <v>134642.17380000002</v>
      </c>
      <c r="BK131" s="307">
        <v>7</v>
      </c>
      <c r="BL131" s="307">
        <v>53025</v>
      </c>
      <c r="BM131" s="445">
        <f t="shared" si="43"/>
        <v>303695.38500000001</v>
      </c>
      <c r="BN131" s="442"/>
      <c r="BO131" s="443"/>
      <c r="BP131" s="444">
        <f t="shared" si="44"/>
        <v>0</v>
      </c>
      <c r="BQ131" s="307"/>
      <c r="BR131" s="307"/>
      <c r="BS131" s="445">
        <f t="shared" si="45"/>
        <v>0</v>
      </c>
      <c r="BT131" s="442"/>
      <c r="BU131" s="443"/>
      <c r="BV131" s="444">
        <f t="shared" si="46"/>
        <v>0</v>
      </c>
      <c r="BW131" s="307"/>
      <c r="BX131" s="307"/>
      <c r="BY131" s="449">
        <f t="shared" si="47"/>
        <v>0</v>
      </c>
    </row>
    <row r="132" spans="1:77" s="308" customFormat="1" ht="12.75" customHeight="1">
      <c r="A132" s="336" t="s">
        <v>345</v>
      </c>
      <c r="B132" s="337" t="s">
        <v>498</v>
      </c>
      <c r="C132" s="337"/>
      <c r="D132" s="336">
        <v>139366</v>
      </c>
      <c r="E132" s="458">
        <v>4</v>
      </c>
      <c r="F132" s="453">
        <v>50</v>
      </c>
      <c r="G132" s="454">
        <v>73019</v>
      </c>
      <c r="H132" s="439">
        <f t="shared" si="24"/>
        <v>3650950</v>
      </c>
      <c r="I132" s="311">
        <v>46</v>
      </c>
      <c r="J132" s="311">
        <v>71059.960000000006</v>
      </c>
      <c r="K132" s="441">
        <f t="shared" si="25"/>
        <v>3268758.16</v>
      </c>
      <c r="L132" s="442">
        <v>79</v>
      </c>
      <c r="M132" s="443">
        <v>62641</v>
      </c>
      <c r="N132" s="444">
        <f t="shared" si="26"/>
        <v>4948639</v>
      </c>
      <c r="O132" s="307">
        <v>71</v>
      </c>
      <c r="P132" s="307">
        <v>62361.96</v>
      </c>
      <c r="Q132" s="445">
        <f t="shared" si="27"/>
        <v>4427699.16</v>
      </c>
      <c r="R132" s="442">
        <v>100</v>
      </c>
      <c r="S132" s="443">
        <v>50976</v>
      </c>
      <c r="T132" s="444">
        <f t="shared" si="28"/>
        <v>5097600</v>
      </c>
      <c r="U132" s="306">
        <v>104</v>
      </c>
      <c r="V132" s="306">
        <v>52692.5</v>
      </c>
      <c r="W132" s="441">
        <f t="shared" si="29"/>
        <v>5480020</v>
      </c>
      <c r="X132" s="442">
        <v>3</v>
      </c>
      <c r="Y132" s="443">
        <v>50242</v>
      </c>
      <c r="Z132" s="444">
        <f t="shared" si="30"/>
        <v>150726</v>
      </c>
      <c r="AA132" s="307">
        <v>3</v>
      </c>
      <c r="AB132" s="307">
        <v>51908.67</v>
      </c>
      <c r="AC132" s="445">
        <f t="shared" si="31"/>
        <v>155726.01</v>
      </c>
      <c r="AD132" s="442">
        <v>12</v>
      </c>
      <c r="AE132" s="443">
        <v>41735</v>
      </c>
      <c r="AF132" s="444">
        <f t="shared" si="32"/>
        <v>500820</v>
      </c>
      <c r="AG132" s="307">
        <v>13</v>
      </c>
      <c r="AH132" s="307">
        <v>40613.08</v>
      </c>
      <c r="AI132" s="445">
        <f t="shared" si="33"/>
        <v>527970.04</v>
      </c>
      <c r="AJ132" s="446"/>
      <c r="AK132" s="443"/>
      <c r="AL132" s="444">
        <f t="shared" si="34"/>
        <v>0</v>
      </c>
      <c r="AM132" s="307"/>
      <c r="AN132" s="307"/>
      <c r="AO132" s="447">
        <f t="shared" si="35"/>
        <v>0</v>
      </c>
      <c r="AP132" s="448">
        <v>11</v>
      </c>
      <c r="AQ132" s="443">
        <v>104291</v>
      </c>
      <c r="AR132" s="444">
        <f t="shared" si="36"/>
        <v>938639.85820000002</v>
      </c>
      <c r="AS132" s="307">
        <v>19</v>
      </c>
      <c r="AT132" s="307">
        <v>96672.9</v>
      </c>
      <c r="AU132" s="441">
        <f t="shared" si="37"/>
        <v>1502857.5688199999</v>
      </c>
      <c r="AV132" s="442">
        <v>2</v>
      </c>
      <c r="AW132" s="443">
        <v>91100</v>
      </c>
      <c r="AX132" s="444">
        <f t="shared" si="38"/>
        <v>149076.04</v>
      </c>
      <c r="AY132" s="307">
        <v>5</v>
      </c>
      <c r="AZ132" s="307">
        <v>80678</v>
      </c>
      <c r="BA132" s="445">
        <f t="shared" si="39"/>
        <v>330053.69800000003</v>
      </c>
      <c r="BB132" s="442">
        <v>4</v>
      </c>
      <c r="BC132" s="443">
        <v>54920</v>
      </c>
      <c r="BD132" s="444">
        <f t="shared" si="40"/>
        <v>179742.17600000001</v>
      </c>
      <c r="BE132" s="307">
        <v>4</v>
      </c>
      <c r="BF132" s="307">
        <v>58901.8</v>
      </c>
      <c r="BG132" s="445">
        <f t="shared" si="41"/>
        <v>192773.81104000003</v>
      </c>
      <c r="BH132" s="442"/>
      <c r="BI132" s="443"/>
      <c r="BJ132" s="444">
        <f t="shared" si="42"/>
        <v>0</v>
      </c>
      <c r="BK132" s="307"/>
      <c r="BL132" s="307"/>
      <c r="BM132" s="445">
        <f t="shared" si="43"/>
        <v>0</v>
      </c>
      <c r="BN132" s="442"/>
      <c r="BO132" s="443"/>
      <c r="BP132" s="444">
        <f t="shared" si="44"/>
        <v>0</v>
      </c>
      <c r="BQ132" s="307">
        <v>2</v>
      </c>
      <c r="BR132" s="307">
        <v>59000</v>
      </c>
      <c r="BS132" s="445">
        <f t="shared" si="45"/>
        <v>96547.6</v>
      </c>
      <c r="BT132" s="442"/>
      <c r="BU132" s="443"/>
      <c r="BV132" s="444">
        <f t="shared" si="46"/>
        <v>0</v>
      </c>
      <c r="BW132" s="307"/>
      <c r="BX132" s="307"/>
      <c r="BY132" s="449">
        <f t="shared" si="47"/>
        <v>0</v>
      </c>
    </row>
    <row r="133" spans="1:77" s="308" customFormat="1" ht="12.75" customHeight="1">
      <c r="A133" s="336" t="s">
        <v>345</v>
      </c>
      <c r="B133" s="337" t="s">
        <v>499</v>
      </c>
      <c r="C133" s="337"/>
      <c r="D133" s="336">
        <v>139861</v>
      </c>
      <c r="E133" s="458">
        <v>4</v>
      </c>
      <c r="F133" s="453">
        <v>60</v>
      </c>
      <c r="G133" s="454">
        <v>69055</v>
      </c>
      <c r="H133" s="439">
        <f t="shared" si="24"/>
        <v>4143300</v>
      </c>
      <c r="I133" s="311">
        <v>61</v>
      </c>
      <c r="J133" s="311">
        <v>68356.490000000005</v>
      </c>
      <c r="K133" s="441">
        <f t="shared" si="25"/>
        <v>4169745.89</v>
      </c>
      <c r="L133" s="442">
        <v>61</v>
      </c>
      <c r="M133" s="443">
        <v>58236</v>
      </c>
      <c r="N133" s="444">
        <f t="shared" si="26"/>
        <v>3552396</v>
      </c>
      <c r="O133" s="307">
        <v>64</v>
      </c>
      <c r="P133" s="307">
        <v>58628.03</v>
      </c>
      <c r="Q133" s="445">
        <f t="shared" si="27"/>
        <v>3752193.92</v>
      </c>
      <c r="R133" s="442">
        <v>115</v>
      </c>
      <c r="S133" s="443">
        <v>52630</v>
      </c>
      <c r="T133" s="444">
        <f t="shared" si="28"/>
        <v>6052450</v>
      </c>
      <c r="U133" s="306">
        <v>120</v>
      </c>
      <c r="V133" s="306">
        <v>52083.13</v>
      </c>
      <c r="W133" s="441">
        <f t="shared" si="29"/>
        <v>6249975.5999999996</v>
      </c>
      <c r="X133" s="442">
        <v>14</v>
      </c>
      <c r="Y133" s="443">
        <v>36649</v>
      </c>
      <c r="Z133" s="444">
        <f t="shared" si="30"/>
        <v>513086</v>
      </c>
      <c r="AA133" s="307">
        <v>16</v>
      </c>
      <c r="AB133" s="307">
        <v>37753.279999999999</v>
      </c>
      <c r="AC133" s="445">
        <f t="shared" si="31"/>
        <v>604052.47999999998</v>
      </c>
      <c r="AD133" s="442">
        <v>20</v>
      </c>
      <c r="AE133" s="443">
        <v>43865</v>
      </c>
      <c r="AF133" s="444">
        <f t="shared" si="32"/>
        <v>877300</v>
      </c>
      <c r="AG133" s="307">
        <v>20</v>
      </c>
      <c r="AH133" s="307">
        <v>44640.25</v>
      </c>
      <c r="AI133" s="445">
        <f t="shared" si="33"/>
        <v>892805</v>
      </c>
      <c r="AJ133" s="446"/>
      <c r="AK133" s="443"/>
      <c r="AL133" s="444">
        <f t="shared" si="34"/>
        <v>0</v>
      </c>
      <c r="AM133" s="307"/>
      <c r="AN133" s="307"/>
      <c r="AO133" s="447">
        <f t="shared" si="35"/>
        <v>0</v>
      </c>
      <c r="AP133" s="448">
        <v>20</v>
      </c>
      <c r="AQ133" s="443">
        <v>91520</v>
      </c>
      <c r="AR133" s="444">
        <f t="shared" si="36"/>
        <v>1497633.28</v>
      </c>
      <c r="AS133" s="307">
        <v>19</v>
      </c>
      <c r="AT133" s="307">
        <v>93287.26</v>
      </c>
      <c r="AU133" s="441">
        <f t="shared" si="37"/>
        <v>1450225.086508</v>
      </c>
      <c r="AV133" s="442">
        <v>8</v>
      </c>
      <c r="AW133" s="443">
        <v>86938</v>
      </c>
      <c r="AX133" s="444">
        <f t="shared" si="38"/>
        <v>569061.37280000001</v>
      </c>
      <c r="AY133" s="307">
        <v>11</v>
      </c>
      <c r="AZ133" s="307">
        <v>81257.820000000007</v>
      </c>
      <c r="BA133" s="445">
        <f t="shared" si="39"/>
        <v>731336.63156400004</v>
      </c>
      <c r="BB133" s="442">
        <v>2</v>
      </c>
      <c r="BC133" s="443">
        <v>64552</v>
      </c>
      <c r="BD133" s="444">
        <f t="shared" si="40"/>
        <v>105632.8928</v>
      </c>
      <c r="BE133" s="307">
        <v>3</v>
      </c>
      <c r="BF133" s="307">
        <v>65366</v>
      </c>
      <c r="BG133" s="445">
        <f t="shared" si="41"/>
        <v>160447.3836</v>
      </c>
      <c r="BH133" s="442"/>
      <c r="BI133" s="443"/>
      <c r="BJ133" s="444">
        <f t="shared" si="42"/>
        <v>0</v>
      </c>
      <c r="BK133" s="307">
        <v>1</v>
      </c>
      <c r="BL133" s="307">
        <v>44444</v>
      </c>
      <c r="BM133" s="445">
        <f t="shared" si="43"/>
        <v>36364.080800000003</v>
      </c>
      <c r="BN133" s="442">
        <v>1</v>
      </c>
      <c r="BO133" s="443">
        <v>56700</v>
      </c>
      <c r="BP133" s="444">
        <f t="shared" si="44"/>
        <v>46391.94</v>
      </c>
      <c r="BQ133" s="307">
        <v>1</v>
      </c>
      <c r="BR133" s="307">
        <v>56700</v>
      </c>
      <c r="BS133" s="445">
        <f t="shared" si="45"/>
        <v>46391.94</v>
      </c>
      <c r="BT133" s="442"/>
      <c r="BU133" s="443"/>
      <c r="BV133" s="444">
        <f t="shared" si="46"/>
        <v>0</v>
      </c>
      <c r="BW133" s="307"/>
      <c r="BX133" s="307"/>
      <c r="BY133" s="449">
        <f t="shared" si="47"/>
        <v>0</v>
      </c>
    </row>
    <row r="134" spans="1:77" s="308" customFormat="1" ht="12.75" customHeight="1">
      <c r="A134" s="336" t="s">
        <v>345</v>
      </c>
      <c r="B134" s="337" t="s">
        <v>500</v>
      </c>
      <c r="C134" s="337"/>
      <c r="D134" s="336">
        <v>140164</v>
      </c>
      <c r="E134" s="458">
        <v>4</v>
      </c>
      <c r="F134" s="453">
        <v>109</v>
      </c>
      <c r="G134" s="454">
        <v>84261</v>
      </c>
      <c r="H134" s="439">
        <f t="shared" si="24"/>
        <v>9184449</v>
      </c>
      <c r="I134" s="311">
        <v>116</v>
      </c>
      <c r="J134" s="311">
        <v>85124.67</v>
      </c>
      <c r="K134" s="441">
        <f t="shared" si="25"/>
        <v>9874461.7200000007</v>
      </c>
      <c r="L134" s="442">
        <v>149</v>
      </c>
      <c r="M134" s="443">
        <v>67142</v>
      </c>
      <c r="N134" s="444">
        <f t="shared" si="26"/>
        <v>10004158</v>
      </c>
      <c r="O134" s="307">
        <v>153</v>
      </c>
      <c r="P134" s="307">
        <v>67266.06</v>
      </c>
      <c r="Q134" s="445">
        <f t="shared" si="27"/>
        <v>10291707.18</v>
      </c>
      <c r="R134" s="442">
        <v>256</v>
      </c>
      <c r="S134" s="443">
        <v>55983</v>
      </c>
      <c r="T134" s="444">
        <f t="shared" si="28"/>
        <v>14331648</v>
      </c>
      <c r="U134" s="306">
        <v>262</v>
      </c>
      <c r="V134" s="306">
        <v>56381.760000000002</v>
      </c>
      <c r="W134" s="441">
        <f t="shared" si="29"/>
        <v>14772021.120000001</v>
      </c>
      <c r="X134" s="442">
        <v>41</v>
      </c>
      <c r="Y134" s="443">
        <v>43541</v>
      </c>
      <c r="Z134" s="444">
        <f t="shared" si="30"/>
        <v>1785181</v>
      </c>
      <c r="AA134" s="307">
        <v>50</v>
      </c>
      <c r="AB134" s="307">
        <v>43180</v>
      </c>
      <c r="AC134" s="445">
        <f t="shared" si="31"/>
        <v>2159000</v>
      </c>
      <c r="AD134" s="442">
        <v>83</v>
      </c>
      <c r="AE134" s="443">
        <v>46674</v>
      </c>
      <c r="AF134" s="444">
        <f t="shared" si="32"/>
        <v>3873942</v>
      </c>
      <c r="AG134" s="307">
        <v>92</v>
      </c>
      <c r="AH134" s="307">
        <v>46817.13</v>
      </c>
      <c r="AI134" s="445">
        <f t="shared" si="33"/>
        <v>4307175.96</v>
      </c>
      <c r="AJ134" s="446"/>
      <c r="AK134" s="443"/>
      <c r="AL134" s="444">
        <f t="shared" si="34"/>
        <v>0</v>
      </c>
      <c r="AM134" s="307"/>
      <c r="AN134" s="307"/>
      <c r="AO134" s="447">
        <f t="shared" si="35"/>
        <v>0</v>
      </c>
      <c r="AP134" s="448">
        <v>16</v>
      </c>
      <c r="AQ134" s="443">
        <v>101911</v>
      </c>
      <c r="AR134" s="444">
        <f t="shared" si="36"/>
        <v>1334137.2831999999</v>
      </c>
      <c r="AS134" s="307">
        <v>20</v>
      </c>
      <c r="AT134" s="307">
        <v>110771.4</v>
      </c>
      <c r="AU134" s="441">
        <f t="shared" si="37"/>
        <v>1812663.1896000002</v>
      </c>
      <c r="AV134" s="442">
        <v>8</v>
      </c>
      <c r="AW134" s="443">
        <v>93484</v>
      </c>
      <c r="AX134" s="444">
        <f t="shared" si="38"/>
        <v>611908.87040000001</v>
      </c>
      <c r="AY134" s="307">
        <v>8</v>
      </c>
      <c r="AZ134" s="307">
        <v>95340.88</v>
      </c>
      <c r="BA134" s="445">
        <f t="shared" si="39"/>
        <v>624063.26412800001</v>
      </c>
      <c r="BB134" s="442">
        <v>13</v>
      </c>
      <c r="BC134" s="443">
        <v>79961</v>
      </c>
      <c r="BD134" s="444">
        <f t="shared" si="40"/>
        <v>850513.17260000005</v>
      </c>
      <c r="BE134" s="307">
        <v>11</v>
      </c>
      <c r="BF134" s="307">
        <v>82994</v>
      </c>
      <c r="BG134" s="445">
        <f t="shared" si="41"/>
        <v>746962.59880000004</v>
      </c>
      <c r="BH134" s="442">
        <v>3</v>
      </c>
      <c r="BI134" s="443">
        <v>60804</v>
      </c>
      <c r="BJ134" s="444">
        <f t="shared" si="42"/>
        <v>149249.49840000001</v>
      </c>
      <c r="BK134" s="307">
        <v>5</v>
      </c>
      <c r="BL134" s="307">
        <v>52482.6</v>
      </c>
      <c r="BM134" s="445">
        <f t="shared" si="43"/>
        <v>214706.31660000002</v>
      </c>
      <c r="BN134" s="442">
        <v>12</v>
      </c>
      <c r="BO134" s="443">
        <v>73813</v>
      </c>
      <c r="BP134" s="444">
        <f t="shared" si="44"/>
        <v>724725.55920000002</v>
      </c>
      <c r="BQ134" s="307">
        <v>13</v>
      </c>
      <c r="BR134" s="307">
        <v>79171.62</v>
      </c>
      <c r="BS134" s="445">
        <f t="shared" si="45"/>
        <v>842116.85329200001</v>
      </c>
      <c r="BT134" s="442"/>
      <c r="BU134" s="443"/>
      <c r="BV134" s="444">
        <f t="shared" si="46"/>
        <v>0</v>
      </c>
      <c r="BW134" s="307"/>
      <c r="BX134" s="307"/>
      <c r="BY134" s="449">
        <f t="shared" si="47"/>
        <v>0</v>
      </c>
    </row>
    <row r="135" spans="1:77" s="308" customFormat="1" ht="12.75" customHeight="1">
      <c r="A135" s="336" t="s">
        <v>345</v>
      </c>
      <c r="B135" s="332" t="s">
        <v>501</v>
      </c>
      <c r="C135" s="504" t="s">
        <v>1088</v>
      </c>
      <c r="D135" s="336">
        <v>138983</v>
      </c>
      <c r="E135" s="458">
        <v>5</v>
      </c>
      <c r="F135" s="453">
        <v>59</v>
      </c>
      <c r="G135" s="454">
        <v>76026</v>
      </c>
      <c r="H135" s="439">
        <f t="shared" si="24"/>
        <v>4485534</v>
      </c>
      <c r="I135" s="311">
        <v>59</v>
      </c>
      <c r="J135" s="311">
        <v>78371.08</v>
      </c>
      <c r="K135" s="441">
        <f t="shared" si="25"/>
        <v>4623893.72</v>
      </c>
      <c r="L135" s="442">
        <v>46</v>
      </c>
      <c r="M135" s="443">
        <v>57894</v>
      </c>
      <c r="N135" s="444">
        <f t="shared" si="26"/>
        <v>2663124</v>
      </c>
      <c r="O135" s="307">
        <v>46</v>
      </c>
      <c r="P135" s="307">
        <v>56167.15</v>
      </c>
      <c r="Q135" s="445">
        <f t="shared" si="27"/>
        <v>2583688.9</v>
      </c>
      <c r="R135" s="442">
        <v>86</v>
      </c>
      <c r="S135" s="443">
        <v>53960</v>
      </c>
      <c r="T135" s="444">
        <f t="shared" si="28"/>
        <v>4640560</v>
      </c>
      <c r="U135" s="306">
        <v>86</v>
      </c>
      <c r="V135" s="306">
        <v>54223.53</v>
      </c>
      <c r="W135" s="441">
        <f t="shared" si="29"/>
        <v>4663223.58</v>
      </c>
      <c r="X135" s="442">
        <v>34</v>
      </c>
      <c r="Y135" s="443">
        <v>39043</v>
      </c>
      <c r="Z135" s="444">
        <f t="shared" si="30"/>
        <v>1327462</v>
      </c>
      <c r="AA135" s="307">
        <v>42</v>
      </c>
      <c r="AB135" s="307">
        <v>41273</v>
      </c>
      <c r="AC135" s="445">
        <f t="shared" si="31"/>
        <v>1733466</v>
      </c>
      <c r="AD135" s="442">
        <v>15</v>
      </c>
      <c r="AE135" s="443">
        <v>43278</v>
      </c>
      <c r="AF135" s="444">
        <f t="shared" si="32"/>
        <v>649170</v>
      </c>
      <c r="AG135" s="307">
        <v>19</v>
      </c>
      <c r="AH135" s="307">
        <v>45017</v>
      </c>
      <c r="AI135" s="445">
        <f t="shared" si="33"/>
        <v>855323</v>
      </c>
      <c r="AJ135" s="446"/>
      <c r="AK135" s="443"/>
      <c r="AL135" s="444">
        <f t="shared" si="34"/>
        <v>0</v>
      </c>
      <c r="AM135" s="307"/>
      <c r="AN135" s="307"/>
      <c r="AO135" s="447">
        <f t="shared" si="35"/>
        <v>0</v>
      </c>
      <c r="AP135" s="448">
        <v>2</v>
      </c>
      <c r="AQ135" s="443">
        <v>85989</v>
      </c>
      <c r="AR135" s="444">
        <f t="shared" si="36"/>
        <v>140712.3996</v>
      </c>
      <c r="AS135" s="307">
        <v>2</v>
      </c>
      <c r="AT135" s="307">
        <v>85989</v>
      </c>
      <c r="AU135" s="441">
        <f t="shared" si="37"/>
        <v>140712.3996</v>
      </c>
      <c r="AV135" s="442"/>
      <c r="AW135" s="443"/>
      <c r="AX135" s="444">
        <f t="shared" si="38"/>
        <v>0</v>
      </c>
      <c r="AY135" s="307"/>
      <c r="AZ135" s="307"/>
      <c r="BA135" s="445">
        <f t="shared" si="39"/>
        <v>0</v>
      </c>
      <c r="BB135" s="442"/>
      <c r="BC135" s="443"/>
      <c r="BD135" s="444">
        <f t="shared" si="40"/>
        <v>0</v>
      </c>
      <c r="BE135" s="307"/>
      <c r="BF135" s="307"/>
      <c r="BG135" s="445">
        <f t="shared" si="41"/>
        <v>0</v>
      </c>
      <c r="BH135" s="442">
        <v>1</v>
      </c>
      <c r="BI135" s="443">
        <v>68562</v>
      </c>
      <c r="BJ135" s="444">
        <f t="shared" si="42"/>
        <v>56097.428400000004</v>
      </c>
      <c r="BK135" s="307">
        <v>1</v>
      </c>
      <c r="BL135" s="307">
        <v>68562</v>
      </c>
      <c r="BM135" s="445">
        <f t="shared" si="43"/>
        <v>56097.428400000004</v>
      </c>
      <c r="BN135" s="442"/>
      <c r="BO135" s="443"/>
      <c r="BP135" s="444">
        <f t="shared" si="44"/>
        <v>0</v>
      </c>
      <c r="BQ135" s="307"/>
      <c r="BR135" s="307"/>
      <c r="BS135" s="445">
        <f t="shared" si="45"/>
        <v>0</v>
      </c>
      <c r="BT135" s="442"/>
      <c r="BU135" s="443"/>
      <c r="BV135" s="444">
        <f t="shared" si="46"/>
        <v>0</v>
      </c>
      <c r="BW135" s="307"/>
      <c r="BX135" s="307"/>
      <c r="BY135" s="449">
        <f t="shared" si="47"/>
        <v>0</v>
      </c>
    </row>
    <row r="136" spans="1:77" s="308" customFormat="1" ht="12.75" customHeight="1">
      <c r="A136" s="336" t="s">
        <v>345</v>
      </c>
      <c r="B136" s="337" t="s">
        <v>502</v>
      </c>
      <c r="C136" s="337"/>
      <c r="D136" s="336">
        <v>139719</v>
      </c>
      <c r="E136" s="458">
        <v>5</v>
      </c>
      <c r="F136" s="453">
        <v>13</v>
      </c>
      <c r="G136" s="454">
        <v>73823</v>
      </c>
      <c r="H136" s="439">
        <f t="shared" si="24"/>
        <v>959699</v>
      </c>
      <c r="I136" s="311">
        <v>20</v>
      </c>
      <c r="J136" s="311">
        <v>75069.600000000006</v>
      </c>
      <c r="K136" s="441">
        <f t="shared" si="25"/>
        <v>1501392</v>
      </c>
      <c r="L136" s="442">
        <v>24</v>
      </c>
      <c r="M136" s="443">
        <v>51619</v>
      </c>
      <c r="N136" s="444">
        <f t="shared" si="26"/>
        <v>1238856</v>
      </c>
      <c r="O136" s="307">
        <v>24</v>
      </c>
      <c r="P136" s="307">
        <v>57973.63</v>
      </c>
      <c r="Q136" s="445">
        <f t="shared" si="27"/>
        <v>1391367.1199999999</v>
      </c>
      <c r="R136" s="442">
        <v>22</v>
      </c>
      <c r="S136" s="443">
        <v>49374</v>
      </c>
      <c r="T136" s="444">
        <f t="shared" si="28"/>
        <v>1086228</v>
      </c>
      <c r="U136" s="306">
        <v>55</v>
      </c>
      <c r="V136" s="306">
        <v>50428.639999999999</v>
      </c>
      <c r="W136" s="441">
        <f t="shared" si="29"/>
        <v>2773575.2</v>
      </c>
      <c r="X136" s="442">
        <v>0</v>
      </c>
      <c r="Y136" s="443"/>
      <c r="Z136" s="444">
        <f t="shared" si="30"/>
        <v>0</v>
      </c>
      <c r="AA136" s="307">
        <v>6</v>
      </c>
      <c r="AB136" s="307">
        <v>43571.67</v>
      </c>
      <c r="AC136" s="445">
        <f t="shared" si="31"/>
        <v>261430.02</v>
      </c>
      <c r="AD136" s="442"/>
      <c r="AE136" s="443"/>
      <c r="AF136" s="444">
        <f t="shared" si="32"/>
        <v>0</v>
      </c>
      <c r="AG136" s="307">
        <v>0</v>
      </c>
      <c r="AH136" s="307">
        <v>0</v>
      </c>
      <c r="AI136" s="445">
        <f t="shared" si="33"/>
        <v>0</v>
      </c>
      <c r="AJ136" s="446"/>
      <c r="AK136" s="443"/>
      <c r="AL136" s="444">
        <f t="shared" si="34"/>
        <v>0</v>
      </c>
      <c r="AM136" s="307"/>
      <c r="AN136" s="307"/>
      <c r="AO136" s="447">
        <f t="shared" si="35"/>
        <v>0</v>
      </c>
      <c r="AP136" s="448">
        <v>1</v>
      </c>
      <c r="AQ136" s="443">
        <v>81467</v>
      </c>
      <c r="AR136" s="444">
        <f t="shared" si="36"/>
        <v>66656.299400000004</v>
      </c>
      <c r="AS136" s="307">
        <v>26</v>
      </c>
      <c r="AT136" s="307">
        <v>89467.19</v>
      </c>
      <c r="AU136" s="441">
        <f t="shared" si="37"/>
        <v>1903253.426308</v>
      </c>
      <c r="AV136" s="442">
        <v>1</v>
      </c>
      <c r="AW136" s="443">
        <v>64250</v>
      </c>
      <c r="AX136" s="444">
        <f t="shared" si="38"/>
        <v>52569.350000000006</v>
      </c>
      <c r="AY136" s="307">
        <v>2</v>
      </c>
      <c r="AZ136" s="307">
        <v>32126</v>
      </c>
      <c r="BA136" s="445">
        <f t="shared" si="39"/>
        <v>52570.986400000002</v>
      </c>
      <c r="BB136" s="442">
        <v>20</v>
      </c>
      <c r="BC136" s="443">
        <v>48803</v>
      </c>
      <c r="BD136" s="444">
        <f t="shared" si="40"/>
        <v>798612.29200000002</v>
      </c>
      <c r="BE136" s="307">
        <v>4</v>
      </c>
      <c r="BF136" s="307">
        <v>61585</v>
      </c>
      <c r="BG136" s="445">
        <f t="shared" si="41"/>
        <v>201555.38800000001</v>
      </c>
      <c r="BH136" s="442">
        <v>15</v>
      </c>
      <c r="BI136" s="443">
        <v>44422</v>
      </c>
      <c r="BJ136" s="444">
        <f t="shared" si="42"/>
        <v>545191.20600000001</v>
      </c>
      <c r="BK136" s="307"/>
      <c r="BL136" s="307"/>
      <c r="BM136" s="445">
        <f t="shared" si="43"/>
        <v>0</v>
      </c>
      <c r="BN136" s="442">
        <v>7</v>
      </c>
      <c r="BO136" s="443">
        <v>41132</v>
      </c>
      <c r="BP136" s="444">
        <f t="shared" si="44"/>
        <v>235579.41680000001</v>
      </c>
      <c r="BQ136" s="307"/>
      <c r="BR136" s="307"/>
      <c r="BS136" s="445">
        <f t="shared" si="45"/>
        <v>0</v>
      </c>
      <c r="BT136" s="442"/>
      <c r="BU136" s="443"/>
      <c r="BV136" s="444">
        <f t="shared" si="46"/>
        <v>0</v>
      </c>
      <c r="BW136" s="307"/>
      <c r="BX136" s="307"/>
      <c r="BY136" s="449">
        <f t="shared" si="47"/>
        <v>0</v>
      </c>
    </row>
    <row r="137" spans="1:77" s="308" customFormat="1" ht="12.75" customHeight="1">
      <c r="A137" s="336" t="s">
        <v>345</v>
      </c>
      <c r="B137" s="337" t="s">
        <v>503</v>
      </c>
      <c r="C137" s="337"/>
      <c r="D137" s="336">
        <v>139764</v>
      </c>
      <c r="E137" s="458">
        <v>5</v>
      </c>
      <c r="F137" s="453">
        <v>19</v>
      </c>
      <c r="G137" s="454">
        <v>71497</v>
      </c>
      <c r="H137" s="439">
        <f t="shared" ref="H137:H200" si="48">F137*G137</f>
        <v>1358443</v>
      </c>
      <c r="I137" s="311">
        <v>18</v>
      </c>
      <c r="J137" s="311">
        <v>71464</v>
      </c>
      <c r="K137" s="441">
        <f t="shared" ref="K137:K200" si="49">I137*J137</f>
        <v>1286352</v>
      </c>
      <c r="L137" s="442">
        <v>24</v>
      </c>
      <c r="M137" s="443">
        <v>59342</v>
      </c>
      <c r="N137" s="444">
        <f t="shared" ref="N137:N200" si="50">L137*M137</f>
        <v>1424208</v>
      </c>
      <c r="O137" s="307">
        <v>27</v>
      </c>
      <c r="P137" s="307">
        <v>60662.78</v>
      </c>
      <c r="Q137" s="445">
        <f t="shared" ref="Q137:Q200" si="51">O137*P137</f>
        <v>1637895.06</v>
      </c>
      <c r="R137" s="442">
        <v>38</v>
      </c>
      <c r="S137" s="443">
        <v>51688</v>
      </c>
      <c r="T137" s="444">
        <f t="shared" ref="T137:T200" si="52">R137*S137</f>
        <v>1964144</v>
      </c>
      <c r="U137" s="306">
        <v>38</v>
      </c>
      <c r="V137" s="306">
        <v>50241.05</v>
      </c>
      <c r="W137" s="441">
        <f t="shared" ref="W137:W200" si="53">U137*V137</f>
        <v>1909159.9000000001</v>
      </c>
      <c r="X137" s="442">
        <v>9</v>
      </c>
      <c r="Y137" s="443">
        <v>46513</v>
      </c>
      <c r="Z137" s="444">
        <f t="shared" ref="Z137:Z200" si="54">X137*Y137</f>
        <v>418617</v>
      </c>
      <c r="AA137" s="307">
        <v>8</v>
      </c>
      <c r="AB137" s="307">
        <v>48118</v>
      </c>
      <c r="AC137" s="445">
        <f t="shared" ref="AC137:AC200" si="55">AA137*AB137</f>
        <v>384944</v>
      </c>
      <c r="AD137" s="442">
        <v>4</v>
      </c>
      <c r="AE137" s="443">
        <v>41291</v>
      </c>
      <c r="AF137" s="444">
        <f t="shared" ref="AF137:AF200" si="56">AD137*AE137</f>
        <v>165164</v>
      </c>
      <c r="AG137" s="307">
        <v>10</v>
      </c>
      <c r="AH137" s="307">
        <v>42611.6</v>
      </c>
      <c r="AI137" s="445">
        <f t="shared" ref="AI137:AI200" si="57">AG137*AH137</f>
        <v>426116</v>
      </c>
      <c r="AJ137" s="446"/>
      <c r="AK137" s="443"/>
      <c r="AL137" s="444">
        <f t="shared" ref="AL137:AL200" si="58">AJ137*AK137</f>
        <v>0</v>
      </c>
      <c r="AM137" s="307"/>
      <c r="AN137" s="307"/>
      <c r="AO137" s="447">
        <f t="shared" ref="AO137:AO200" si="59">AM137*AN137</f>
        <v>0</v>
      </c>
      <c r="AP137" s="448">
        <v>2</v>
      </c>
      <c r="AQ137" s="443">
        <v>94112</v>
      </c>
      <c r="AR137" s="444">
        <f t="shared" ref="AR137:AR200" si="60">(AP137*AQ137)*0.8182</f>
        <v>154004.8768</v>
      </c>
      <c r="AS137" s="307">
        <v>1</v>
      </c>
      <c r="AT137" s="307">
        <v>89742</v>
      </c>
      <c r="AU137" s="441">
        <f t="shared" ref="AU137:AU200" si="61">(AS137*AT137)*0.8182</f>
        <v>73426.904399999999</v>
      </c>
      <c r="AV137" s="442"/>
      <c r="AW137" s="443"/>
      <c r="AX137" s="444">
        <f t="shared" ref="AX137:AX200" si="62">(AV137*AW137)*0.8182</f>
        <v>0</v>
      </c>
      <c r="AY137" s="307"/>
      <c r="AZ137" s="307"/>
      <c r="BA137" s="445">
        <f t="shared" ref="BA137:BA200" si="63">(AY137*AZ137)*0.8182</f>
        <v>0</v>
      </c>
      <c r="BB137" s="442"/>
      <c r="BC137" s="443"/>
      <c r="BD137" s="444">
        <f t="shared" ref="BD137:BD200" si="64">(BB137*BC137)*0.8182</f>
        <v>0</v>
      </c>
      <c r="BE137" s="307"/>
      <c r="BF137" s="307"/>
      <c r="BG137" s="445">
        <f t="shared" ref="BG137:BG200" si="65">(BE137*BF137)*0.8182</f>
        <v>0</v>
      </c>
      <c r="BH137" s="442"/>
      <c r="BI137" s="443"/>
      <c r="BJ137" s="444">
        <f t="shared" ref="BJ137:BJ200" si="66">(BH137*BI137)*0.8182</f>
        <v>0</v>
      </c>
      <c r="BK137" s="307"/>
      <c r="BL137" s="307"/>
      <c r="BM137" s="445">
        <f t="shared" ref="BM137:BM200" si="67">(BK137*BL137)*0.8182</f>
        <v>0</v>
      </c>
      <c r="BN137" s="442"/>
      <c r="BO137" s="443"/>
      <c r="BP137" s="444">
        <f t="shared" ref="BP137:BP200" si="68">(BN137*BO137)*0.8182</f>
        <v>0</v>
      </c>
      <c r="BQ137" s="307"/>
      <c r="BR137" s="307"/>
      <c r="BS137" s="445">
        <f t="shared" ref="BS137:BS200" si="69">(BQ137*BR137)*0.8182</f>
        <v>0</v>
      </c>
      <c r="BT137" s="442"/>
      <c r="BU137" s="443"/>
      <c r="BV137" s="444">
        <f t="shared" ref="BV137:BV200" si="70">(BT137*BU137)*0.8182</f>
        <v>0</v>
      </c>
      <c r="BW137" s="307"/>
      <c r="BX137" s="307"/>
      <c r="BY137" s="449">
        <f t="shared" ref="BY137:BY200" si="71">(BW137*BX137)*0.8182</f>
        <v>0</v>
      </c>
    </row>
    <row r="138" spans="1:77" s="308" customFormat="1" ht="12.75" customHeight="1">
      <c r="A138" s="336" t="s">
        <v>345</v>
      </c>
      <c r="B138" s="332" t="s">
        <v>504</v>
      </c>
      <c r="C138" s="504" t="s">
        <v>1088</v>
      </c>
      <c r="D138" s="336">
        <v>140669</v>
      </c>
      <c r="E138" s="458">
        <v>5</v>
      </c>
      <c r="F138" s="453">
        <v>30</v>
      </c>
      <c r="G138" s="454">
        <v>72768</v>
      </c>
      <c r="H138" s="439">
        <f t="shared" si="48"/>
        <v>2183040</v>
      </c>
      <c r="I138" s="311">
        <v>32</v>
      </c>
      <c r="J138" s="311">
        <v>72280.63</v>
      </c>
      <c r="K138" s="441">
        <f t="shared" si="49"/>
        <v>2312980.16</v>
      </c>
      <c r="L138" s="442">
        <v>53</v>
      </c>
      <c r="M138" s="443">
        <v>64211</v>
      </c>
      <c r="N138" s="444">
        <f t="shared" si="50"/>
        <v>3403183</v>
      </c>
      <c r="O138" s="307">
        <v>61</v>
      </c>
      <c r="P138" s="307">
        <v>63312.33</v>
      </c>
      <c r="Q138" s="445">
        <f t="shared" si="51"/>
        <v>3862052.13</v>
      </c>
      <c r="R138" s="442">
        <v>93</v>
      </c>
      <c r="S138" s="443">
        <v>51253</v>
      </c>
      <c r="T138" s="444">
        <f t="shared" si="52"/>
        <v>4766529</v>
      </c>
      <c r="U138" s="306">
        <v>86</v>
      </c>
      <c r="V138" s="306">
        <v>52350.09</v>
      </c>
      <c r="W138" s="441">
        <f t="shared" si="53"/>
        <v>4502107.7399999993</v>
      </c>
      <c r="X138" s="442">
        <v>22</v>
      </c>
      <c r="Y138" s="443">
        <v>43269</v>
      </c>
      <c r="Z138" s="444">
        <f t="shared" si="54"/>
        <v>951918</v>
      </c>
      <c r="AA138" s="307">
        <v>30</v>
      </c>
      <c r="AB138" s="307">
        <v>42942.6</v>
      </c>
      <c r="AC138" s="445">
        <f t="shared" si="55"/>
        <v>1288278</v>
      </c>
      <c r="AD138" s="442"/>
      <c r="AE138" s="443"/>
      <c r="AF138" s="444">
        <f t="shared" si="56"/>
        <v>0</v>
      </c>
      <c r="AG138" s="307">
        <v>5</v>
      </c>
      <c r="AH138" s="307">
        <v>39678.199999999997</v>
      </c>
      <c r="AI138" s="445">
        <f t="shared" si="57"/>
        <v>198391</v>
      </c>
      <c r="AJ138" s="446"/>
      <c r="AK138" s="443"/>
      <c r="AL138" s="444">
        <f t="shared" si="58"/>
        <v>0</v>
      </c>
      <c r="AM138" s="307"/>
      <c r="AN138" s="307"/>
      <c r="AO138" s="447">
        <f t="shared" si="59"/>
        <v>0</v>
      </c>
      <c r="AP138" s="448">
        <v>10</v>
      </c>
      <c r="AQ138" s="443">
        <v>97141</v>
      </c>
      <c r="AR138" s="444">
        <f t="shared" si="60"/>
        <v>794807.66200000001</v>
      </c>
      <c r="AS138" s="307">
        <v>12</v>
      </c>
      <c r="AT138" s="307">
        <v>97398.42</v>
      </c>
      <c r="AU138" s="441">
        <f t="shared" si="61"/>
        <v>956296.64692800003</v>
      </c>
      <c r="AV138" s="442">
        <v>2</v>
      </c>
      <c r="AW138" s="443">
        <v>85403</v>
      </c>
      <c r="AX138" s="444">
        <f t="shared" si="62"/>
        <v>139753.46919999999</v>
      </c>
      <c r="AY138" s="307">
        <v>4</v>
      </c>
      <c r="AZ138" s="307">
        <v>87448.5</v>
      </c>
      <c r="BA138" s="445">
        <f t="shared" si="63"/>
        <v>286201.45079999999</v>
      </c>
      <c r="BB138" s="442">
        <v>7</v>
      </c>
      <c r="BC138" s="443">
        <v>69611</v>
      </c>
      <c r="BD138" s="444">
        <f t="shared" si="64"/>
        <v>398690.04140000005</v>
      </c>
      <c r="BE138" s="307">
        <v>5</v>
      </c>
      <c r="BF138" s="307">
        <v>74292.2</v>
      </c>
      <c r="BG138" s="445">
        <f t="shared" si="65"/>
        <v>303929.39020000002</v>
      </c>
      <c r="BH138" s="442">
        <v>3</v>
      </c>
      <c r="BI138" s="443">
        <v>60533</v>
      </c>
      <c r="BJ138" s="444">
        <f t="shared" si="66"/>
        <v>148584.30180000002</v>
      </c>
      <c r="BK138" s="307">
        <v>3</v>
      </c>
      <c r="BL138" s="307">
        <v>66667</v>
      </c>
      <c r="BM138" s="445">
        <f t="shared" si="67"/>
        <v>163640.81820000001</v>
      </c>
      <c r="BN138" s="442"/>
      <c r="BO138" s="443"/>
      <c r="BP138" s="444">
        <f t="shared" si="68"/>
        <v>0</v>
      </c>
      <c r="BQ138" s="307"/>
      <c r="BR138" s="307"/>
      <c r="BS138" s="445">
        <f t="shared" si="69"/>
        <v>0</v>
      </c>
      <c r="BT138" s="442"/>
      <c r="BU138" s="443"/>
      <c r="BV138" s="444">
        <f t="shared" si="70"/>
        <v>0</v>
      </c>
      <c r="BW138" s="307"/>
      <c r="BX138" s="307"/>
      <c r="BY138" s="449">
        <f t="shared" si="71"/>
        <v>0</v>
      </c>
    </row>
    <row r="139" spans="1:77" s="308" customFormat="1" ht="12.75" customHeight="1">
      <c r="A139" s="336" t="s">
        <v>345</v>
      </c>
      <c r="B139" s="337" t="s">
        <v>505</v>
      </c>
      <c r="C139" s="337"/>
      <c r="D139" s="336">
        <v>140960</v>
      </c>
      <c r="E139" s="458">
        <v>5</v>
      </c>
      <c r="F139" s="453">
        <v>35</v>
      </c>
      <c r="G139" s="454">
        <v>73473</v>
      </c>
      <c r="H139" s="439">
        <f t="shared" si="48"/>
        <v>2571555</v>
      </c>
      <c r="I139" s="311">
        <v>28</v>
      </c>
      <c r="J139" s="311">
        <v>72334.789999999994</v>
      </c>
      <c r="K139" s="441">
        <f t="shared" si="49"/>
        <v>2025374.1199999999</v>
      </c>
      <c r="L139" s="442">
        <v>29</v>
      </c>
      <c r="M139" s="443">
        <v>63576</v>
      </c>
      <c r="N139" s="444">
        <f t="shared" si="50"/>
        <v>1843704</v>
      </c>
      <c r="O139" s="307">
        <v>35</v>
      </c>
      <c r="P139" s="307">
        <v>62297.51</v>
      </c>
      <c r="Q139" s="445">
        <f t="shared" si="51"/>
        <v>2180412.85</v>
      </c>
      <c r="R139" s="442">
        <v>51</v>
      </c>
      <c r="S139" s="443">
        <v>51465</v>
      </c>
      <c r="T139" s="444">
        <f t="shared" si="52"/>
        <v>2624715</v>
      </c>
      <c r="U139" s="306">
        <v>48</v>
      </c>
      <c r="V139" s="306">
        <v>53015.75</v>
      </c>
      <c r="W139" s="441">
        <f t="shared" si="53"/>
        <v>2544756</v>
      </c>
      <c r="X139" s="442">
        <v>14</v>
      </c>
      <c r="Y139" s="443">
        <v>40788</v>
      </c>
      <c r="Z139" s="444">
        <f t="shared" si="54"/>
        <v>571032</v>
      </c>
      <c r="AA139" s="307">
        <v>23</v>
      </c>
      <c r="AB139" s="307">
        <v>39164.300000000003</v>
      </c>
      <c r="AC139" s="445">
        <f t="shared" si="55"/>
        <v>900778.9</v>
      </c>
      <c r="AD139" s="442">
        <v>12</v>
      </c>
      <c r="AE139" s="443">
        <v>40562</v>
      </c>
      <c r="AF139" s="444">
        <f t="shared" si="56"/>
        <v>486744</v>
      </c>
      <c r="AG139" s="307">
        <v>15</v>
      </c>
      <c r="AH139" s="307">
        <v>40085.730000000003</v>
      </c>
      <c r="AI139" s="445">
        <f t="shared" si="57"/>
        <v>601285.95000000007</v>
      </c>
      <c r="AJ139" s="446"/>
      <c r="AK139" s="443"/>
      <c r="AL139" s="444">
        <f t="shared" si="58"/>
        <v>0</v>
      </c>
      <c r="AM139" s="307"/>
      <c r="AN139" s="307"/>
      <c r="AO139" s="447">
        <f t="shared" si="59"/>
        <v>0</v>
      </c>
      <c r="AP139" s="448"/>
      <c r="AQ139" s="443"/>
      <c r="AR139" s="444">
        <f t="shared" si="60"/>
        <v>0</v>
      </c>
      <c r="AS139" s="307"/>
      <c r="AT139" s="307"/>
      <c r="AU139" s="441">
        <f t="shared" si="61"/>
        <v>0</v>
      </c>
      <c r="AV139" s="442">
        <v>2</v>
      </c>
      <c r="AW139" s="443">
        <v>65442</v>
      </c>
      <c r="AX139" s="444">
        <f t="shared" si="62"/>
        <v>107089.28880000001</v>
      </c>
      <c r="AY139" s="307">
        <v>2</v>
      </c>
      <c r="AZ139" s="307">
        <v>65442</v>
      </c>
      <c r="BA139" s="445">
        <f t="shared" si="63"/>
        <v>107089.28880000001</v>
      </c>
      <c r="BB139" s="442">
        <v>5</v>
      </c>
      <c r="BC139" s="443">
        <v>57610</v>
      </c>
      <c r="BD139" s="444">
        <f t="shared" si="64"/>
        <v>235682.51</v>
      </c>
      <c r="BE139" s="307">
        <v>5</v>
      </c>
      <c r="BF139" s="307">
        <v>57596.800000000003</v>
      </c>
      <c r="BG139" s="445">
        <f t="shared" si="65"/>
        <v>235628.50880000001</v>
      </c>
      <c r="BH139" s="442">
        <v>3</v>
      </c>
      <c r="BI139" s="443">
        <v>44505</v>
      </c>
      <c r="BJ139" s="444">
        <f t="shared" si="66"/>
        <v>109241.973</v>
      </c>
      <c r="BK139" s="307">
        <v>1</v>
      </c>
      <c r="BL139" s="307">
        <v>48000</v>
      </c>
      <c r="BM139" s="445">
        <f t="shared" si="67"/>
        <v>39273.599999999999</v>
      </c>
      <c r="BN139" s="442"/>
      <c r="BO139" s="443"/>
      <c r="BP139" s="444">
        <f t="shared" si="68"/>
        <v>0</v>
      </c>
      <c r="BQ139" s="307"/>
      <c r="BR139" s="307"/>
      <c r="BS139" s="445">
        <f t="shared" si="69"/>
        <v>0</v>
      </c>
      <c r="BT139" s="442"/>
      <c r="BU139" s="443"/>
      <c r="BV139" s="444">
        <f t="shared" si="70"/>
        <v>0</v>
      </c>
      <c r="BW139" s="307"/>
      <c r="BX139" s="307"/>
      <c r="BY139" s="449">
        <f t="shared" si="71"/>
        <v>0</v>
      </c>
    </row>
    <row r="140" spans="1:77" s="308" customFormat="1" ht="12.75" customHeight="1">
      <c r="A140" s="336" t="s">
        <v>345</v>
      </c>
      <c r="B140" s="337" t="s">
        <v>506</v>
      </c>
      <c r="C140" s="505" t="s">
        <v>1089</v>
      </c>
      <c r="D140" s="336">
        <v>139311</v>
      </c>
      <c r="E140" s="458">
        <v>6</v>
      </c>
      <c r="F140" s="453">
        <v>19</v>
      </c>
      <c r="G140" s="454">
        <v>79056</v>
      </c>
      <c r="H140" s="439">
        <f t="shared" si="48"/>
        <v>1502064</v>
      </c>
      <c r="I140" s="311">
        <v>22</v>
      </c>
      <c r="J140" s="311">
        <v>78552.45</v>
      </c>
      <c r="K140" s="441">
        <f t="shared" si="49"/>
        <v>1728153.9</v>
      </c>
      <c r="L140" s="442">
        <v>59</v>
      </c>
      <c r="M140" s="443">
        <v>63580</v>
      </c>
      <c r="N140" s="444">
        <f t="shared" si="50"/>
        <v>3751220</v>
      </c>
      <c r="O140" s="307">
        <v>64</v>
      </c>
      <c r="P140" s="307">
        <v>61469.09</v>
      </c>
      <c r="Q140" s="445">
        <f t="shared" si="51"/>
        <v>3934021.76</v>
      </c>
      <c r="R140" s="442">
        <v>69</v>
      </c>
      <c r="S140" s="443">
        <v>53919</v>
      </c>
      <c r="T140" s="444">
        <f t="shared" si="52"/>
        <v>3720411</v>
      </c>
      <c r="U140" s="306">
        <v>67</v>
      </c>
      <c r="V140" s="306">
        <v>55015.03</v>
      </c>
      <c r="W140" s="441">
        <f t="shared" si="53"/>
        <v>3686007.01</v>
      </c>
      <c r="X140" s="442">
        <v>3</v>
      </c>
      <c r="Y140" s="443">
        <v>48633</v>
      </c>
      <c r="Z140" s="444">
        <f t="shared" si="54"/>
        <v>145899</v>
      </c>
      <c r="AA140" s="307">
        <v>7</v>
      </c>
      <c r="AB140" s="307">
        <v>50128.29</v>
      </c>
      <c r="AC140" s="445">
        <f t="shared" si="55"/>
        <v>350898.03</v>
      </c>
      <c r="AD140" s="442">
        <v>16</v>
      </c>
      <c r="AE140" s="443">
        <v>50055</v>
      </c>
      <c r="AF140" s="444">
        <f t="shared" si="56"/>
        <v>800880</v>
      </c>
      <c r="AG140" s="307">
        <v>23</v>
      </c>
      <c r="AH140" s="307">
        <v>50707.09</v>
      </c>
      <c r="AI140" s="445">
        <f t="shared" si="57"/>
        <v>1166263.0699999998</v>
      </c>
      <c r="AJ140" s="446"/>
      <c r="AK140" s="443"/>
      <c r="AL140" s="444">
        <f t="shared" si="58"/>
        <v>0</v>
      </c>
      <c r="AM140" s="307"/>
      <c r="AN140" s="307"/>
      <c r="AO140" s="447">
        <f t="shared" si="59"/>
        <v>0</v>
      </c>
      <c r="AP140" s="448">
        <v>13</v>
      </c>
      <c r="AQ140" s="443">
        <v>109739</v>
      </c>
      <c r="AR140" s="444">
        <f t="shared" si="60"/>
        <v>1167249.8474000001</v>
      </c>
      <c r="AS140" s="307">
        <v>15</v>
      </c>
      <c r="AT140" s="307">
        <v>109044.2</v>
      </c>
      <c r="AU140" s="441">
        <f t="shared" si="61"/>
        <v>1338299.4666000002</v>
      </c>
      <c r="AV140" s="442">
        <v>12</v>
      </c>
      <c r="AW140" s="443">
        <v>87694</v>
      </c>
      <c r="AX140" s="444">
        <f t="shared" si="62"/>
        <v>861014.7696</v>
      </c>
      <c r="AY140" s="307">
        <v>11</v>
      </c>
      <c r="AZ140" s="307">
        <v>82956.45</v>
      </c>
      <c r="BA140" s="445">
        <f t="shared" si="63"/>
        <v>746624.64128999994</v>
      </c>
      <c r="BB140" s="442">
        <v>4</v>
      </c>
      <c r="BC140" s="443">
        <v>67321</v>
      </c>
      <c r="BD140" s="444">
        <f t="shared" si="64"/>
        <v>220328.16880000001</v>
      </c>
      <c r="BE140" s="307">
        <v>4</v>
      </c>
      <c r="BF140" s="307">
        <v>79304.25</v>
      </c>
      <c r="BG140" s="445">
        <f t="shared" si="65"/>
        <v>259546.94940000001</v>
      </c>
      <c r="BH140" s="442"/>
      <c r="BI140" s="443"/>
      <c r="BJ140" s="444">
        <f t="shared" si="66"/>
        <v>0</v>
      </c>
      <c r="BK140" s="307"/>
      <c r="BL140" s="307"/>
      <c r="BM140" s="445">
        <f t="shared" si="67"/>
        <v>0</v>
      </c>
      <c r="BN140" s="442">
        <v>1</v>
      </c>
      <c r="BO140" s="443">
        <v>47000</v>
      </c>
      <c r="BP140" s="444">
        <f t="shared" si="68"/>
        <v>38455.4</v>
      </c>
      <c r="BQ140" s="307"/>
      <c r="BR140" s="307"/>
      <c r="BS140" s="445">
        <f t="shared" si="69"/>
        <v>0</v>
      </c>
      <c r="BT140" s="442"/>
      <c r="BU140" s="443"/>
      <c r="BV140" s="444">
        <f t="shared" si="70"/>
        <v>0</v>
      </c>
      <c r="BW140" s="307"/>
      <c r="BX140" s="307"/>
      <c r="BY140" s="449">
        <f t="shared" si="71"/>
        <v>0</v>
      </c>
    </row>
    <row r="141" spans="1:77" s="308" customFormat="1" ht="12.75" customHeight="1">
      <c r="A141" s="336" t="s">
        <v>345</v>
      </c>
      <c r="B141" s="337" t="s">
        <v>507</v>
      </c>
      <c r="C141" s="337"/>
      <c r="D141" s="336">
        <v>140322</v>
      </c>
      <c r="E141" s="458">
        <v>6</v>
      </c>
      <c r="F141" s="453">
        <v>19</v>
      </c>
      <c r="G141" s="454">
        <v>77223</v>
      </c>
      <c r="H141" s="439">
        <f t="shared" si="48"/>
        <v>1467237</v>
      </c>
      <c r="I141" s="311">
        <v>16</v>
      </c>
      <c r="J141" s="311">
        <v>75047</v>
      </c>
      <c r="K141" s="441">
        <f t="shared" si="49"/>
        <v>1200752</v>
      </c>
      <c r="L141" s="442">
        <v>42</v>
      </c>
      <c r="M141" s="443">
        <v>59937</v>
      </c>
      <c r="N141" s="444">
        <f t="shared" si="50"/>
        <v>2517354</v>
      </c>
      <c r="O141" s="307">
        <v>49</v>
      </c>
      <c r="P141" s="307">
        <v>57875.8</v>
      </c>
      <c r="Q141" s="445">
        <f t="shared" si="51"/>
        <v>2835914.2</v>
      </c>
      <c r="R141" s="442">
        <v>105</v>
      </c>
      <c r="S141" s="443">
        <v>46622</v>
      </c>
      <c r="T141" s="444">
        <f t="shared" si="52"/>
        <v>4895310</v>
      </c>
      <c r="U141" s="306">
        <v>89</v>
      </c>
      <c r="V141" s="306">
        <v>46705.7</v>
      </c>
      <c r="W141" s="441">
        <f t="shared" si="53"/>
        <v>4156807.3</v>
      </c>
      <c r="X141" s="442"/>
      <c r="Y141" s="443"/>
      <c r="Z141" s="444">
        <f t="shared" si="54"/>
        <v>0</v>
      </c>
      <c r="AA141" s="307"/>
      <c r="AB141" s="307"/>
      <c r="AC141" s="445">
        <f t="shared" si="55"/>
        <v>0</v>
      </c>
      <c r="AD141" s="442">
        <v>10</v>
      </c>
      <c r="AE141" s="443">
        <v>46150</v>
      </c>
      <c r="AF141" s="444">
        <f t="shared" si="56"/>
        <v>461500</v>
      </c>
      <c r="AG141" s="307">
        <v>14</v>
      </c>
      <c r="AH141" s="307">
        <v>43400.1</v>
      </c>
      <c r="AI141" s="445">
        <f t="shared" si="57"/>
        <v>607601.4</v>
      </c>
      <c r="AJ141" s="446"/>
      <c r="AK141" s="443"/>
      <c r="AL141" s="444">
        <f t="shared" si="58"/>
        <v>0</v>
      </c>
      <c r="AM141" s="307"/>
      <c r="AN141" s="307"/>
      <c r="AO141" s="447">
        <f t="shared" si="59"/>
        <v>0</v>
      </c>
      <c r="AP141" s="448"/>
      <c r="AQ141" s="443"/>
      <c r="AR141" s="444">
        <f t="shared" si="60"/>
        <v>0</v>
      </c>
      <c r="AS141" s="307">
        <v>0</v>
      </c>
      <c r="AT141" s="307"/>
      <c r="AU141" s="441">
        <f t="shared" si="61"/>
        <v>0</v>
      </c>
      <c r="AV141" s="442"/>
      <c r="AW141" s="443"/>
      <c r="AX141" s="444">
        <f t="shared" si="62"/>
        <v>0</v>
      </c>
      <c r="AY141" s="307"/>
      <c r="AZ141" s="307"/>
      <c r="BA141" s="445">
        <f t="shared" si="63"/>
        <v>0</v>
      </c>
      <c r="BB141" s="442"/>
      <c r="BC141" s="443"/>
      <c r="BD141" s="444">
        <f t="shared" si="64"/>
        <v>0</v>
      </c>
      <c r="BE141" s="307"/>
      <c r="BF141" s="307"/>
      <c r="BG141" s="445">
        <f t="shared" si="65"/>
        <v>0</v>
      </c>
      <c r="BH141" s="442"/>
      <c r="BI141" s="443"/>
      <c r="BJ141" s="444">
        <f t="shared" si="66"/>
        <v>0</v>
      </c>
      <c r="BK141" s="307"/>
      <c r="BL141" s="307"/>
      <c r="BM141" s="445">
        <f t="shared" si="67"/>
        <v>0</v>
      </c>
      <c r="BN141" s="442"/>
      <c r="BO141" s="443"/>
      <c r="BP141" s="444">
        <f t="shared" si="68"/>
        <v>0</v>
      </c>
      <c r="BQ141" s="307"/>
      <c r="BR141" s="307"/>
      <c r="BS141" s="445">
        <f t="shared" si="69"/>
        <v>0</v>
      </c>
      <c r="BT141" s="442"/>
      <c r="BU141" s="443"/>
      <c r="BV141" s="444">
        <f t="shared" si="70"/>
        <v>0</v>
      </c>
      <c r="BW141" s="307"/>
      <c r="BX141" s="307"/>
      <c r="BY141" s="449">
        <f t="shared" si="71"/>
        <v>0</v>
      </c>
    </row>
    <row r="142" spans="1:77" s="308" customFormat="1" ht="12.75" customHeight="1">
      <c r="A142" s="336" t="s">
        <v>345</v>
      </c>
      <c r="B142" s="337" t="s">
        <v>508</v>
      </c>
      <c r="C142" s="337"/>
      <c r="D142" s="336">
        <v>139463</v>
      </c>
      <c r="E142" s="458">
        <v>7</v>
      </c>
      <c r="F142" s="453">
        <v>20</v>
      </c>
      <c r="G142" s="454">
        <v>75592</v>
      </c>
      <c r="H142" s="439">
        <f t="shared" si="48"/>
        <v>1511840</v>
      </c>
      <c r="I142" s="311">
        <v>16</v>
      </c>
      <c r="J142" s="311">
        <v>76959.3</v>
      </c>
      <c r="K142" s="441">
        <f t="shared" si="49"/>
        <v>1231348.8</v>
      </c>
      <c r="L142" s="442">
        <v>47</v>
      </c>
      <c r="M142" s="443">
        <v>57250</v>
      </c>
      <c r="N142" s="444">
        <f t="shared" si="50"/>
        <v>2690750</v>
      </c>
      <c r="O142" s="307">
        <v>46</v>
      </c>
      <c r="P142" s="307">
        <v>57057.5</v>
      </c>
      <c r="Q142" s="445">
        <f t="shared" si="51"/>
        <v>2624645</v>
      </c>
      <c r="R142" s="442">
        <v>60</v>
      </c>
      <c r="S142" s="443">
        <v>47644</v>
      </c>
      <c r="T142" s="444">
        <f t="shared" si="52"/>
        <v>2858640</v>
      </c>
      <c r="U142" s="306">
        <v>65</v>
      </c>
      <c r="V142" s="306">
        <v>47361</v>
      </c>
      <c r="W142" s="441">
        <f t="shared" si="53"/>
        <v>3078465</v>
      </c>
      <c r="X142" s="442">
        <v>15</v>
      </c>
      <c r="Y142" s="443">
        <v>41892</v>
      </c>
      <c r="Z142" s="444">
        <f t="shared" si="54"/>
        <v>628380</v>
      </c>
      <c r="AA142" s="307">
        <v>7</v>
      </c>
      <c r="AB142" s="307">
        <v>42013.4</v>
      </c>
      <c r="AC142" s="445">
        <f t="shared" si="55"/>
        <v>294093.8</v>
      </c>
      <c r="AD142" s="442"/>
      <c r="AE142" s="443"/>
      <c r="AF142" s="444">
        <f t="shared" si="56"/>
        <v>0</v>
      </c>
      <c r="AG142" s="307">
        <v>5</v>
      </c>
      <c r="AH142" s="307">
        <v>34200.199999999997</v>
      </c>
      <c r="AI142" s="445">
        <f t="shared" si="57"/>
        <v>171001</v>
      </c>
      <c r="AJ142" s="446"/>
      <c r="AK142" s="443"/>
      <c r="AL142" s="444">
        <f t="shared" si="58"/>
        <v>0</v>
      </c>
      <c r="AM142" s="307"/>
      <c r="AN142" s="307"/>
      <c r="AO142" s="447">
        <f t="shared" si="59"/>
        <v>0</v>
      </c>
      <c r="AP142" s="448"/>
      <c r="AQ142" s="443"/>
      <c r="AR142" s="444">
        <f t="shared" si="60"/>
        <v>0</v>
      </c>
      <c r="AS142" s="307">
        <v>1</v>
      </c>
      <c r="AT142" s="307">
        <v>120000</v>
      </c>
      <c r="AU142" s="441">
        <f t="shared" si="61"/>
        <v>98184</v>
      </c>
      <c r="AV142" s="442"/>
      <c r="AW142" s="443"/>
      <c r="AX142" s="444">
        <f t="shared" si="62"/>
        <v>0</v>
      </c>
      <c r="AY142" s="307">
        <v>1</v>
      </c>
      <c r="AZ142" s="307">
        <v>57500</v>
      </c>
      <c r="BA142" s="445">
        <f t="shared" si="63"/>
        <v>47046.5</v>
      </c>
      <c r="BB142" s="442"/>
      <c r="BC142" s="443"/>
      <c r="BD142" s="444">
        <f t="shared" si="64"/>
        <v>0</v>
      </c>
      <c r="BE142" s="307"/>
      <c r="BF142" s="307"/>
      <c r="BG142" s="445">
        <f t="shared" si="65"/>
        <v>0</v>
      </c>
      <c r="BH142" s="442"/>
      <c r="BI142" s="443"/>
      <c r="BJ142" s="444">
        <f t="shared" si="66"/>
        <v>0</v>
      </c>
      <c r="BK142" s="307"/>
      <c r="BL142" s="307"/>
      <c r="BM142" s="445">
        <f t="shared" si="67"/>
        <v>0</v>
      </c>
      <c r="BN142" s="442"/>
      <c r="BO142" s="443"/>
      <c r="BP142" s="444">
        <f t="shared" si="68"/>
        <v>0</v>
      </c>
      <c r="BQ142" s="307"/>
      <c r="BR142" s="307"/>
      <c r="BS142" s="445">
        <f t="shared" si="69"/>
        <v>0</v>
      </c>
      <c r="BT142" s="442"/>
      <c r="BU142" s="443"/>
      <c r="BV142" s="444">
        <f t="shared" si="70"/>
        <v>0</v>
      </c>
      <c r="BW142" s="307"/>
      <c r="BX142" s="307"/>
      <c r="BY142" s="449">
        <f t="shared" si="71"/>
        <v>0</v>
      </c>
    </row>
    <row r="143" spans="1:77" s="308" customFormat="1" ht="12.75" customHeight="1">
      <c r="A143" s="334" t="s">
        <v>345</v>
      </c>
      <c r="B143" s="406" t="s">
        <v>512</v>
      </c>
      <c r="C143" s="506" t="s">
        <v>1090</v>
      </c>
      <c r="D143" s="334">
        <v>139773</v>
      </c>
      <c r="E143" s="507">
        <v>7</v>
      </c>
      <c r="F143" s="453">
        <v>29</v>
      </c>
      <c r="G143" s="454">
        <v>61115</v>
      </c>
      <c r="H143" s="439">
        <f t="shared" si="48"/>
        <v>1772335</v>
      </c>
      <c r="I143" s="311">
        <v>36</v>
      </c>
      <c r="J143" s="311">
        <v>61450.5</v>
      </c>
      <c r="K143" s="441">
        <f t="shared" si="49"/>
        <v>2212218</v>
      </c>
      <c r="L143" s="442">
        <v>40</v>
      </c>
      <c r="M143" s="443">
        <v>48438</v>
      </c>
      <c r="N143" s="444">
        <f t="shared" si="50"/>
        <v>1937520</v>
      </c>
      <c r="O143" s="307">
        <v>35</v>
      </c>
      <c r="P143" s="307">
        <v>48810</v>
      </c>
      <c r="Q143" s="445">
        <f t="shared" si="51"/>
        <v>1708350</v>
      </c>
      <c r="R143" s="442">
        <v>85</v>
      </c>
      <c r="S143" s="443">
        <v>40516</v>
      </c>
      <c r="T143" s="444">
        <f t="shared" si="52"/>
        <v>3443860</v>
      </c>
      <c r="U143" s="306">
        <v>84</v>
      </c>
      <c r="V143" s="306">
        <v>41739</v>
      </c>
      <c r="W143" s="441">
        <f t="shared" si="53"/>
        <v>3506076</v>
      </c>
      <c r="X143" s="442">
        <v>31</v>
      </c>
      <c r="Y143" s="443">
        <v>38980</v>
      </c>
      <c r="Z143" s="444">
        <f t="shared" si="54"/>
        <v>1208380</v>
      </c>
      <c r="AA143" s="307">
        <v>13</v>
      </c>
      <c r="AB143" s="307">
        <v>39885.300000000003</v>
      </c>
      <c r="AC143" s="445">
        <f t="shared" si="55"/>
        <v>518508.9</v>
      </c>
      <c r="AD143" s="442"/>
      <c r="AE143" s="443"/>
      <c r="AF143" s="444">
        <f t="shared" si="56"/>
        <v>0</v>
      </c>
      <c r="AG143" s="307">
        <v>25</v>
      </c>
      <c r="AH143" s="307">
        <v>37494.9</v>
      </c>
      <c r="AI143" s="445">
        <f t="shared" si="57"/>
        <v>937372.5</v>
      </c>
      <c r="AJ143" s="446"/>
      <c r="AK143" s="443"/>
      <c r="AL143" s="444">
        <f t="shared" si="58"/>
        <v>0</v>
      </c>
      <c r="AM143" s="307"/>
      <c r="AN143" s="307"/>
      <c r="AO143" s="447">
        <f t="shared" si="59"/>
        <v>0</v>
      </c>
      <c r="AP143" s="448">
        <v>1</v>
      </c>
      <c r="AQ143" s="443">
        <v>101743</v>
      </c>
      <c r="AR143" s="444">
        <f t="shared" si="60"/>
        <v>83246.122600000002</v>
      </c>
      <c r="AS143" s="307">
        <v>1</v>
      </c>
      <c r="AT143" s="307">
        <v>103761</v>
      </c>
      <c r="AU143" s="441">
        <f t="shared" si="61"/>
        <v>84897.250200000009</v>
      </c>
      <c r="AV143" s="442">
        <v>3</v>
      </c>
      <c r="AW143" s="443">
        <v>52473</v>
      </c>
      <c r="AX143" s="444">
        <f t="shared" si="62"/>
        <v>128800.2258</v>
      </c>
      <c r="AY143" s="307">
        <v>5</v>
      </c>
      <c r="AZ143" s="307">
        <v>57118.2</v>
      </c>
      <c r="BA143" s="445">
        <f t="shared" si="63"/>
        <v>233670.55620000002</v>
      </c>
      <c r="BB143" s="442">
        <v>7</v>
      </c>
      <c r="BC143" s="443">
        <v>49900</v>
      </c>
      <c r="BD143" s="444">
        <f t="shared" si="64"/>
        <v>285797.26</v>
      </c>
      <c r="BE143" s="307">
        <v>5</v>
      </c>
      <c r="BF143" s="307">
        <v>50633.599999999999</v>
      </c>
      <c r="BG143" s="445">
        <f t="shared" si="65"/>
        <v>207142.0576</v>
      </c>
      <c r="BH143" s="442"/>
      <c r="BI143" s="443"/>
      <c r="BJ143" s="444">
        <f t="shared" si="66"/>
        <v>0</v>
      </c>
      <c r="BK143" s="307">
        <v>1</v>
      </c>
      <c r="BL143" s="307">
        <v>49000</v>
      </c>
      <c r="BM143" s="445">
        <f t="shared" si="67"/>
        <v>40091.800000000003</v>
      </c>
      <c r="BN143" s="442"/>
      <c r="BO143" s="443"/>
      <c r="BP143" s="444">
        <f t="shared" si="68"/>
        <v>0</v>
      </c>
      <c r="BQ143" s="307"/>
      <c r="BR143" s="307"/>
      <c r="BS143" s="445">
        <f t="shared" si="69"/>
        <v>0</v>
      </c>
      <c r="BT143" s="442"/>
      <c r="BU143" s="443"/>
      <c r="BV143" s="444">
        <f t="shared" si="70"/>
        <v>0</v>
      </c>
      <c r="BW143" s="307"/>
      <c r="BX143" s="307"/>
      <c r="BY143" s="449">
        <f t="shared" si="71"/>
        <v>0</v>
      </c>
    </row>
    <row r="144" spans="1:77" s="308" customFormat="1" ht="12.75" customHeight="1">
      <c r="A144" s="336" t="s">
        <v>345</v>
      </c>
      <c r="B144" s="337" t="s">
        <v>509</v>
      </c>
      <c r="C144" s="337"/>
      <c r="D144" s="336">
        <v>244437</v>
      </c>
      <c r="E144" s="458">
        <v>8</v>
      </c>
      <c r="F144" s="453">
        <v>35</v>
      </c>
      <c r="G144" s="454">
        <v>64596</v>
      </c>
      <c r="H144" s="439">
        <f t="shared" si="48"/>
        <v>2260860</v>
      </c>
      <c r="I144" s="311">
        <v>34</v>
      </c>
      <c r="J144" s="311">
        <v>63335.7</v>
      </c>
      <c r="K144" s="441">
        <f t="shared" si="49"/>
        <v>2153413.7999999998</v>
      </c>
      <c r="L144" s="442">
        <v>130</v>
      </c>
      <c r="M144" s="443">
        <v>55907</v>
      </c>
      <c r="N144" s="444">
        <f t="shared" si="50"/>
        <v>7267910</v>
      </c>
      <c r="O144" s="307">
        <v>133</v>
      </c>
      <c r="P144" s="307">
        <v>55329.5</v>
      </c>
      <c r="Q144" s="445">
        <f t="shared" si="51"/>
        <v>7358823.5</v>
      </c>
      <c r="R144" s="442">
        <v>109</v>
      </c>
      <c r="S144" s="443">
        <v>44880</v>
      </c>
      <c r="T144" s="444">
        <f t="shared" si="52"/>
        <v>4891920</v>
      </c>
      <c r="U144" s="306">
        <v>106</v>
      </c>
      <c r="V144" s="306">
        <v>44722.9</v>
      </c>
      <c r="W144" s="441">
        <f t="shared" si="53"/>
        <v>4740627.4000000004</v>
      </c>
      <c r="X144" s="442">
        <v>88</v>
      </c>
      <c r="Y144" s="443">
        <v>40004</v>
      </c>
      <c r="Z144" s="444">
        <f t="shared" si="54"/>
        <v>3520352</v>
      </c>
      <c r="AA144" s="307">
        <v>105</v>
      </c>
      <c r="AB144" s="307">
        <v>39627</v>
      </c>
      <c r="AC144" s="445">
        <f t="shared" si="55"/>
        <v>4160835</v>
      </c>
      <c r="AD144" s="442">
        <v>3</v>
      </c>
      <c r="AE144" s="443">
        <v>40823</v>
      </c>
      <c r="AF144" s="444">
        <f t="shared" si="56"/>
        <v>122469</v>
      </c>
      <c r="AG144" s="307">
        <v>10</v>
      </c>
      <c r="AH144" s="307">
        <v>44606.400000000001</v>
      </c>
      <c r="AI144" s="445">
        <f t="shared" si="57"/>
        <v>446064</v>
      </c>
      <c r="AJ144" s="446"/>
      <c r="AK144" s="443"/>
      <c r="AL144" s="444">
        <f t="shared" si="58"/>
        <v>0</v>
      </c>
      <c r="AM144" s="307"/>
      <c r="AN144" s="307"/>
      <c r="AO144" s="447">
        <f t="shared" si="59"/>
        <v>0</v>
      </c>
      <c r="AP144" s="448">
        <v>2</v>
      </c>
      <c r="AQ144" s="443">
        <v>77554</v>
      </c>
      <c r="AR144" s="444">
        <f t="shared" si="60"/>
        <v>126909.3656</v>
      </c>
      <c r="AS144" s="307">
        <v>12</v>
      </c>
      <c r="AT144" s="307">
        <v>91553.3</v>
      </c>
      <c r="AU144" s="441">
        <f t="shared" si="61"/>
        <v>898906.92072000017</v>
      </c>
      <c r="AV144" s="442">
        <v>12</v>
      </c>
      <c r="AW144" s="443">
        <v>70961</v>
      </c>
      <c r="AX144" s="444">
        <f t="shared" si="62"/>
        <v>696723.48239999998</v>
      </c>
      <c r="AY144" s="307">
        <v>29</v>
      </c>
      <c r="AZ144" s="307">
        <v>78138.600000000006</v>
      </c>
      <c r="BA144" s="445">
        <f t="shared" si="63"/>
        <v>1854057.0730800005</v>
      </c>
      <c r="BB144" s="442">
        <v>4</v>
      </c>
      <c r="BC144" s="443">
        <v>65912</v>
      </c>
      <c r="BD144" s="444">
        <f t="shared" si="64"/>
        <v>215716.7936</v>
      </c>
      <c r="BE144" s="307">
        <v>10</v>
      </c>
      <c r="BF144" s="307">
        <v>70563.399999999994</v>
      </c>
      <c r="BG144" s="445">
        <f t="shared" si="65"/>
        <v>577349.73880000005</v>
      </c>
      <c r="BH144" s="442">
        <v>8</v>
      </c>
      <c r="BI144" s="443">
        <v>58980</v>
      </c>
      <c r="BJ144" s="444">
        <f t="shared" si="66"/>
        <v>386059.48800000001</v>
      </c>
      <c r="BK144" s="307">
        <v>8</v>
      </c>
      <c r="BL144" s="307">
        <v>58615.8</v>
      </c>
      <c r="BM144" s="445">
        <f t="shared" si="67"/>
        <v>383675.58048000006</v>
      </c>
      <c r="BN144" s="442">
        <v>7</v>
      </c>
      <c r="BO144" s="443">
        <v>78360</v>
      </c>
      <c r="BP144" s="444">
        <f t="shared" si="68"/>
        <v>448799.06400000001</v>
      </c>
      <c r="BQ144" s="307">
        <v>5</v>
      </c>
      <c r="BR144" s="307">
        <v>58299.8</v>
      </c>
      <c r="BS144" s="445">
        <f t="shared" si="69"/>
        <v>238504.48180000001</v>
      </c>
      <c r="BT144" s="442"/>
      <c r="BU144" s="443"/>
      <c r="BV144" s="444">
        <f t="shared" si="70"/>
        <v>0</v>
      </c>
      <c r="BW144" s="307"/>
      <c r="BX144" s="307"/>
      <c r="BY144" s="449">
        <f t="shared" si="71"/>
        <v>0</v>
      </c>
    </row>
    <row r="145" spans="1:77" s="308" customFormat="1" ht="12.75" customHeight="1">
      <c r="A145" s="336" t="s">
        <v>345</v>
      </c>
      <c r="B145" s="337" t="s">
        <v>510</v>
      </c>
      <c r="C145" s="508" t="s">
        <v>1091</v>
      </c>
      <c r="D145" s="336">
        <v>138558</v>
      </c>
      <c r="E145" s="458">
        <v>9</v>
      </c>
      <c r="F145" s="453">
        <v>11</v>
      </c>
      <c r="G145" s="454">
        <v>53125</v>
      </c>
      <c r="H145" s="439">
        <f t="shared" si="48"/>
        <v>584375</v>
      </c>
      <c r="I145" s="311">
        <v>11</v>
      </c>
      <c r="J145" s="311">
        <v>52722.73</v>
      </c>
      <c r="K145" s="441">
        <f t="shared" si="49"/>
        <v>579950.03</v>
      </c>
      <c r="L145" s="442">
        <v>22</v>
      </c>
      <c r="M145" s="443">
        <v>48847</v>
      </c>
      <c r="N145" s="444">
        <f t="shared" si="50"/>
        <v>1074634</v>
      </c>
      <c r="O145" s="307">
        <v>19</v>
      </c>
      <c r="P145" s="307">
        <v>48860.05</v>
      </c>
      <c r="Q145" s="445">
        <f t="shared" si="51"/>
        <v>928340.95000000007</v>
      </c>
      <c r="R145" s="442">
        <v>29</v>
      </c>
      <c r="S145" s="443">
        <v>43893</v>
      </c>
      <c r="T145" s="444">
        <f t="shared" si="52"/>
        <v>1272897</v>
      </c>
      <c r="U145" s="306">
        <v>29</v>
      </c>
      <c r="V145" s="306">
        <v>43051</v>
      </c>
      <c r="W145" s="441">
        <f t="shared" si="53"/>
        <v>1248479</v>
      </c>
      <c r="X145" s="442">
        <v>15</v>
      </c>
      <c r="Y145" s="443">
        <v>40796</v>
      </c>
      <c r="Z145" s="444">
        <f t="shared" si="54"/>
        <v>611940</v>
      </c>
      <c r="AA145" s="307">
        <v>16</v>
      </c>
      <c r="AB145" s="307">
        <v>41574.879999999997</v>
      </c>
      <c r="AC145" s="445">
        <f t="shared" si="55"/>
        <v>665198.07999999996</v>
      </c>
      <c r="AD145" s="442">
        <v>9</v>
      </c>
      <c r="AE145" s="443">
        <v>41173</v>
      </c>
      <c r="AF145" s="444">
        <f t="shared" si="56"/>
        <v>370557</v>
      </c>
      <c r="AG145" s="307">
        <v>12</v>
      </c>
      <c r="AH145" s="307">
        <v>38809</v>
      </c>
      <c r="AI145" s="445">
        <f t="shared" si="57"/>
        <v>465708</v>
      </c>
      <c r="AJ145" s="446"/>
      <c r="AK145" s="443"/>
      <c r="AL145" s="444">
        <f t="shared" si="58"/>
        <v>0</v>
      </c>
      <c r="AM145" s="307"/>
      <c r="AN145" s="307"/>
      <c r="AO145" s="447">
        <f t="shared" si="59"/>
        <v>0</v>
      </c>
      <c r="AP145" s="448">
        <v>1</v>
      </c>
      <c r="AQ145" s="443">
        <v>93403</v>
      </c>
      <c r="AR145" s="444">
        <f t="shared" si="60"/>
        <v>76422.334600000002</v>
      </c>
      <c r="AS145" s="307">
        <v>1</v>
      </c>
      <c r="AT145" s="307">
        <v>79349</v>
      </c>
      <c r="AU145" s="441">
        <f t="shared" si="61"/>
        <v>64923.351800000004</v>
      </c>
      <c r="AV145" s="442">
        <v>3</v>
      </c>
      <c r="AW145" s="443">
        <v>76308</v>
      </c>
      <c r="AX145" s="444">
        <f t="shared" si="62"/>
        <v>187305.61680000002</v>
      </c>
      <c r="AY145" s="307">
        <v>4</v>
      </c>
      <c r="AZ145" s="307">
        <v>70813</v>
      </c>
      <c r="BA145" s="445">
        <f t="shared" si="63"/>
        <v>231756.78640000001</v>
      </c>
      <c r="BB145" s="442">
        <v>2</v>
      </c>
      <c r="BC145" s="443">
        <v>67754</v>
      </c>
      <c r="BD145" s="444">
        <f t="shared" si="64"/>
        <v>110872.6456</v>
      </c>
      <c r="BE145" s="307"/>
      <c r="BF145" s="307"/>
      <c r="BG145" s="445">
        <f t="shared" si="65"/>
        <v>0</v>
      </c>
      <c r="BH145" s="442"/>
      <c r="BI145" s="443"/>
      <c r="BJ145" s="444">
        <f t="shared" si="66"/>
        <v>0</v>
      </c>
      <c r="BK145" s="307"/>
      <c r="BL145" s="307"/>
      <c r="BM145" s="445">
        <f t="shared" si="67"/>
        <v>0</v>
      </c>
      <c r="BN145" s="442">
        <v>2</v>
      </c>
      <c r="BO145" s="443">
        <v>54141</v>
      </c>
      <c r="BP145" s="444">
        <f t="shared" si="68"/>
        <v>88596.332399999999</v>
      </c>
      <c r="BQ145" s="307">
        <v>4</v>
      </c>
      <c r="BR145" s="307">
        <v>56054.5</v>
      </c>
      <c r="BS145" s="445">
        <f t="shared" si="69"/>
        <v>183455.16760000002</v>
      </c>
      <c r="BT145" s="442"/>
      <c r="BU145" s="443"/>
      <c r="BV145" s="444">
        <f t="shared" si="70"/>
        <v>0</v>
      </c>
      <c r="BW145" s="307"/>
      <c r="BX145" s="307"/>
      <c r="BY145" s="449">
        <f t="shared" si="71"/>
        <v>0</v>
      </c>
    </row>
    <row r="146" spans="1:77" s="308" customFormat="1" ht="12.75" customHeight="1">
      <c r="A146" s="336" t="s">
        <v>345</v>
      </c>
      <c r="B146" s="337" t="s">
        <v>516</v>
      </c>
      <c r="C146" s="337"/>
      <c r="D146" s="336">
        <v>139010</v>
      </c>
      <c r="E146" s="458">
        <v>9</v>
      </c>
      <c r="F146" s="453">
        <v>4</v>
      </c>
      <c r="G146" s="454">
        <v>60446</v>
      </c>
      <c r="H146" s="439">
        <f t="shared" si="48"/>
        <v>241784</v>
      </c>
      <c r="I146" s="311">
        <v>5</v>
      </c>
      <c r="J146" s="311">
        <v>56086.8</v>
      </c>
      <c r="K146" s="441">
        <f t="shared" si="49"/>
        <v>280434</v>
      </c>
      <c r="L146" s="442">
        <v>11</v>
      </c>
      <c r="M146" s="443">
        <v>46599</v>
      </c>
      <c r="N146" s="444">
        <f t="shared" si="50"/>
        <v>512589</v>
      </c>
      <c r="O146" s="307">
        <v>8</v>
      </c>
      <c r="P146" s="307">
        <v>50975.88</v>
      </c>
      <c r="Q146" s="445">
        <f t="shared" si="51"/>
        <v>407807.04</v>
      </c>
      <c r="R146" s="442">
        <v>17</v>
      </c>
      <c r="S146" s="443">
        <v>41529</v>
      </c>
      <c r="T146" s="444">
        <f t="shared" si="52"/>
        <v>705993</v>
      </c>
      <c r="U146" s="306">
        <v>19</v>
      </c>
      <c r="V146" s="306">
        <v>41495.74</v>
      </c>
      <c r="W146" s="441">
        <f t="shared" si="53"/>
        <v>788419.05999999994</v>
      </c>
      <c r="X146" s="442">
        <v>19</v>
      </c>
      <c r="Y146" s="443">
        <v>35935</v>
      </c>
      <c r="Z146" s="444">
        <f t="shared" si="54"/>
        <v>682765</v>
      </c>
      <c r="AA146" s="307">
        <v>23</v>
      </c>
      <c r="AB146" s="307">
        <v>36281.39</v>
      </c>
      <c r="AC146" s="445">
        <f t="shared" si="55"/>
        <v>834471.97</v>
      </c>
      <c r="AD146" s="442"/>
      <c r="AE146" s="443"/>
      <c r="AF146" s="444">
        <f t="shared" si="56"/>
        <v>0</v>
      </c>
      <c r="AG146" s="307"/>
      <c r="AH146" s="307"/>
      <c r="AI146" s="445">
        <f t="shared" si="57"/>
        <v>0</v>
      </c>
      <c r="AJ146" s="446"/>
      <c r="AK146" s="443"/>
      <c r="AL146" s="444">
        <f t="shared" si="58"/>
        <v>0</v>
      </c>
      <c r="AM146" s="307"/>
      <c r="AN146" s="307"/>
      <c r="AO146" s="447">
        <f t="shared" si="59"/>
        <v>0</v>
      </c>
      <c r="AP146" s="448"/>
      <c r="AQ146" s="443"/>
      <c r="AR146" s="444">
        <f t="shared" si="60"/>
        <v>0</v>
      </c>
      <c r="AS146" s="307"/>
      <c r="AT146" s="307"/>
      <c r="AU146" s="441">
        <f t="shared" si="61"/>
        <v>0</v>
      </c>
      <c r="AV146" s="442"/>
      <c r="AW146" s="443"/>
      <c r="AX146" s="444">
        <f t="shared" si="62"/>
        <v>0</v>
      </c>
      <c r="AY146" s="307"/>
      <c r="AZ146" s="307"/>
      <c r="BA146" s="445">
        <f t="shared" si="63"/>
        <v>0</v>
      </c>
      <c r="BB146" s="442">
        <v>5</v>
      </c>
      <c r="BC146" s="443">
        <v>58687</v>
      </c>
      <c r="BD146" s="444">
        <f t="shared" si="64"/>
        <v>240088.51700000002</v>
      </c>
      <c r="BE146" s="307">
        <v>7</v>
      </c>
      <c r="BF146" s="307">
        <v>52652</v>
      </c>
      <c r="BG146" s="445">
        <f t="shared" si="65"/>
        <v>301559.06479999999</v>
      </c>
      <c r="BH146" s="442">
        <v>12</v>
      </c>
      <c r="BI146" s="443">
        <v>33322</v>
      </c>
      <c r="BJ146" s="444">
        <f t="shared" si="66"/>
        <v>327168.72480000003</v>
      </c>
      <c r="BK146" s="307">
        <v>13</v>
      </c>
      <c r="BL146" s="307">
        <v>43031.62</v>
      </c>
      <c r="BM146" s="445">
        <f t="shared" si="67"/>
        <v>457710.12929200009</v>
      </c>
      <c r="BN146" s="442"/>
      <c r="BO146" s="443"/>
      <c r="BP146" s="444">
        <f t="shared" si="68"/>
        <v>0</v>
      </c>
      <c r="BQ146" s="307"/>
      <c r="BR146" s="307"/>
      <c r="BS146" s="445">
        <f t="shared" si="69"/>
        <v>0</v>
      </c>
      <c r="BT146" s="442"/>
      <c r="BU146" s="443"/>
      <c r="BV146" s="444">
        <f t="shared" si="70"/>
        <v>0</v>
      </c>
      <c r="BW146" s="307"/>
      <c r="BX146" s="307"/>
      <c r="BY146" s="449">
        <f t="shared" si="71"/>
        <v>0</v>
      </c>
    </row>
    <row r="147" spans="1:77" s="308" customFormat="1" ht="12.75" customHeight="1">
      <c r="A147" s="336" t="s">
        <v>345</v>
      </c>
      <c r="B147" s="333" t="s">
        <v>2</v>
      </c>
      <c r="C147" s="333"/>
      <c r="D147" s="334">
        <v>139250</v>
      </c>
      <c r="E147" s="459">
        <v>9</v>
      </c>
      <c r="F147" s="453">
        <v>7</v>
      </c>
      <c r="G147" s="454">
        <v>63718</v>
      </c>
      <c r="H147" s="439">
        <f t="shared" si="48"/>
        <v>446026</v>
      </c>
      <c r="I147" s="311">
        <v>5</v>
      </c>
      <c r="J147" s="311">
        <v>61117</v>
      </c>
      <c r="K147" s="441">
        <f t="shared" si="49"/>
        <v>305585</v>
      </c>
      <c r="L147" s="442">
        <v>12</v>
      </c>
      <c r="M147" s="443">
        <v>58108</v>
      </c>
      <c r="N147" s="444">
        <f t="shared" si="50"/>
        <v>697296</v>
      </c>
      <c r="O147" s="307">
        <v>15</v>
      </c>
      <c r="P147" s="307">
        <v>56734.6</v>
      </c>
      <c r="Q147" s="445">
        <f t="shared" si="51"/>
        <v>851019</v>
      </c>
      <c r="R147" s="442">
        <v>33</v>
      </c>
      <c r="S147" s="443">
        <v>49495</v>
      </c>
      <c r="T147" s="444">
        <f t="shared" si="52"/>
        <v>1633335</v>
      </c>
      <c r="U147" s="306">
        <v>36</v>
      </c>
      <c r="V147" s="306">
        <v>50573.4</v>
      </c>
      <c r="W147" s="441">
        <f t="shared" si="53"/>
        <v>1820642.4000000001</v>
      </c>
      <c r="X147" s="442">
        <v>7</v>
      </c>
      <c r="Y147" s="443">
        <v>39746</v>
      </c>
      <c r="Z147" s="444">
        <f t="shared" si="54"/>
        <v>278222</v>
      </c>
      <c r="AA147" s="307">
        <v>14</v>
      </c>
      <c r="AB147" s="307">
        <v>43034.6</v>
      </c>
      <c r="AC147" s="445">
        <f t="shared" si="55"/>
        <v>602484.4</v>
      </c>
      <c r="AD147" s="442">
        <v>1</v>
      </c>
      <c r="AE147" s="443">
        <v>45000</v>
      </c>
      <c r="AF147" s="444">
        <f t="shared" si="56"/>
        <v>45000</v>
      </c>
      <c r="AG147" s="307"/>
      <c r="AH147" s="307"/>
      <c r="AI147" s="445">
        <f t="shared" si="57"/>
        <v>0</v>
      </c>
      <c r="AJ147" s="446"/>
      <c r="AK147" s="443"/>
      <c r="AL147" s="444">
        <f t="shared" si="58"/>
        <v>0</v>
      </c>
      <c r="AM147" s="307"/>
      <c r="AN147" s="307"/>
      <c r="AO147" s="447">
        <f t="shared" si="59"/>
        <v>0</v>
      </c>
      <c r="AP147" s="448">
        <v>1</v>
      </c>
      <c r="AQ147" s="443">
        <v>88500</v>
      </c>
      <c r="AR147" s="444">
        <f t="shared" si="60"/>
        <v>72410.7</v>
      </c>
      <c r="AS147" s="307">
        <v>2</v>
      </c>
      <c r="AT147" s="307">
        <v>95250</v>
      </c>
      <c r="AU147" s="441">
        <f t="shared" si="61"/>
        <v>155867.1</v>
      </c>
      <c r="AV147" s="442"/>
      <c r="AW147" s="443"/>
      <c r="AX147" s="444">
        <f t="shared" si="62"/>
        <v>0</v>
      </c>
      <c r="AY147" s="307"/>
      <c r="AZ147" s="307"/>
      <c r="BA147" s="445">
        <f t="shared" si="63"/>
        <v>0</v>
      </c>
      <c r="BB147" s="442">
        <v>5</v>
      </c>
      <c r="BC147" s="443">
        <v>66046</v>
      </c>
      <c r="BD147" s="444">
        <f t="shared" si="64"/>
        <v>270194.18599999999</v>
      </c>
      <c r="BE147" s="307">
        <v>9</v>
      </c>
      <c r="BF147" s="307">
        <v>71158.899999999994</v>
      </c>
      <c r="BG147" s="445">
        <f t="shared" si="65"/>
        <v>523999.90782000002</v>
      </c>
      <c r="BH147" s="442">
        <v>5</v>
      </c>
      <c r="BI147" s="443">
        <v>47880</v>
      </c>
      <c r="BJ147" s="444">
        <f t="shared" si="66"/>
        <v>195877.08000000002</v>
      </c>
      <c r="BK147" s="307">
        <v>3</v>
      </c>
      <c r="BL147" s="307">
        <v>47037</v>
      </c>
      <c r="BM147" s="445">
        <f t="shared" si="67"/>
        <v>115457.0202</v>
      </c>
      <c r="BN147" s="442"/>
      <c r="BO147" s="443"/>
      <c r="BP147" s="444">
        <f t="shared" si="68"/>
        <v>0</v>
      </c>
      <c r="BQ147" s="307"/>
      <c r="BR147" s="307"/>
      <c r="BS147" s="445">
        <f t="shared" si="69"/>
        <v>0</v>
      </c>
      <c r="BT147" s="442"/>
      <c r="BU147" s="443"/>
      <c r="BV147" s="444">
        <f t="shared" si="70"/>
        <v>0</v>
      </c>
      <c r="BW147" s="307"/>
      <c r="BX147" s="307"/>
      <c r="BY147" s="449">
        <f t="shared" si="71"/>
        <v>0</v>
      </c>
    </row>
    <row r="148" spans="1:77" s="308" customFormat="1" ht="12.75" customHeight="1">
      <c r="A148" s="336" t="s">
        <v>345</v>
      </c>
      <c r="B148" s="333" t="s">
        <v>511</v>
      </c>
      <c r="C148" s="333"/>
      <c r="D148" s="336">
        <v>138691</v>
      </c>
      <c r="E148" s="458">
        <v>9</v>
      </c>
      <c r="F148" s="453">
        <v>3</v>
      </c>
      <c r="G148" s="454">
        <v>61390</v>
      </c>
      <c r="H148" s="439">
        <f t="shared" si="48"/>
        <v>184170</v>
      </c>
      <c r="I148" s="311">
        <v>3</v>
      </c>
      <c r="J148" s="311">
        <v>61393.33</v>
      </c>
      <c r="K148" s="441">
        <f t="shared" si="49"/>
        <v>184179.99</v>
      </c>
      <c r="L148" s="442">
        <v>8</v>
      </c>
      <c r="M148" s="443">
        <v>49228</v>
      </c>
      <c r="N148" s="444">
        <f t="shared" si="50"/>
        <v>393824</v>
      </c>
      <c r="O148" s="307">
        <v>9</v>
      </c>
      <c r="P148" s="307">
        <v>48650.33</v>
      </c>
      <c r="Q148" s="445">
        <f t="shared" si="51"/>
        <v>437852.97000000003</v>
      </c>
      <c r="R148" s="442">
        <v>52</v>
      </c>
      <c r="S148" s="443">
        <v>43666</v>
      </c>
      <c r="T148" s="444">
        <f t="shared" si="52"/>
        <v>2270632</v>
      </c>
      <c r="U148" s="306">
        <v>58</v>
      </c>
      <c r="V148" s="306">
        <v>44430.05</v>
      </c>
      <c r="W148" s="441">
        <f t="shared" si="53"/>
        <v>2576942.9000000004</v>
      </c>
      <c r="X148" s="442">
        <v>28</v>
      </c>
      <c r="Y148" s="443">
        <v>46097</v>
      </c>
      <c r="Z148" s="444">
        <f t="shared" si="54"/>
        <v>1290716</v>
      </c>
      <c r="AA148" s="307">
        <v>23</v>
      </c>
      <c r="AB148" s="307">
        <v>45442.3</v>
      </c>
      <c r="AC148" s="445">
        <f t="shared" si="55"/>
        <v>1045172.9</v>
      </c>
      <c r="AD148" s="442"/>
      <c r="AE148" s="443"/>
      <c r="AF148" s="444">
        <f t="shared" si="56"/>
        <v>0</v>
      </c>
      <c r="AG148" s="307"/>
      <c r="AH148" s="307"/>
      <c r="AI148" s="445">
        <f t="shared" si="57"/>
        <v>0</v>
      </c>
      <c r="AJ148" s="446"/>
      <c r="AK148" s="443"/>
      <c r="AL148" s="444">
        <f t="shared" si="58"/>
        <v>0</v>
      </c>
      <c r="AM148" s="307"/>
      <c r="AN148" s="307"/>
      <c r="AO148" s="447">
        <f t="shared" si="59"/>
        <v>0</v>
      </c>
      <c r="AP148" s="448">
        <v>1</v>
      </c>
      <c r="AQ148" s="443">
        <v>85964</v>
      </c>
      <c r="AR148" s="444">
        <f t="shared" si="60"/>
        <v>70335.7448</v>
      </c>
      <c r="AS148" s="307">
        <v>1</v>
      </c>
      <c r="AT148" s="307">
        <v>85965</v>
      </c>
      <c r="AU148" s="441">
        <f t="shared" si="61"/>
        <v>70336.563000000009</v>
      </c>
      <c r="AV148" s="442">
        <v>1</v>
      </c>
      <c r="AW148" s="443">
        <v>92053</v>
      </c>
      <c r="AX148" s="444">
        <f t="shared" si="62"/>
        <v>75317.76460000001</v>
      </c>
      <c r="AY148" s="307">
        <v>1</v>
      </c>
      <c r="AZ148" s="307">
        <v>92053</v>
      </c>
      <c r="BA148" s="445">
        <f t="shared" si="63"/>
        <v>75317.76460000001</v>
      </c>
      <c r="BB148" s="442">
        <v>10</v>
      </c>
      <c r="BC148" s="443">
        <v>62310</v>
      </c>
      <c r="BD148" s="444">
        <f t="shared" si="64"/>
        <v>509820.42000000004</v>
      </c>
      <c r="BE148" s="307">
        <v>8</v>
      </c>
      <c r="BF148" s="307">
        <v>62932.5</v>
      </c>
      <c r="BG148" s="445">
        <f t="shared" si="65"/>
        <v>411930.97200000001</v>
      </c>
      <c r="BH148" s="442">
        <v>15</v>
      </c>
      <c r="BI148" s="443">
        <v>46840</v>
      </c>
      <c r="BJ148" s="444">
        <f t="shared" si="66"/>
        <v>574867.32000000007</v>
      </c>
      <c r="BK148" s="307">
        <v>18</v>
      </c>
      <c r="BL148" s="307">
        <v>47817.78</v>
      </c>
      <c r="BM148" s="445">
        <f t="shared" si="67"/>
        <v>704241.13672800001</v>
      </c>
      <c r="BN148" s="442"/>
      <c r="BO148" s="443"/>
      <c r="BP148" s="444">
        <f t="shared" si="68"/>
        <v>0</v>
      </c>
      <c r="BQ148" s="307"/>
      <c r="BR148" s="307"/>
      <c r="BS148" s="445">
        <f t="shared" si="69"/>
        <v>0</v>
      </c>
      <c r="BT148" s="442"/>
      <c r="BU148" s="443"/>
      <c r="BV148" s="444">
        <f t="shared" si="70"/>
        <v>0</v>
      </c>
      <c r="BW148" s="307"/>
      <c r="BX148" s="307"/>
      <c r="BY148" s="449">
        <f t="shared" si="71"/>
        <v>0</v>
      </c>
    </row>
    <row r="149" spans="1:77" s="308" customFormat="1" ht="12.75" customHeight="1">
      <c r="A149" s="334" t="s">
        <v>345</v>
      </c>
      <c r="B149" s="335" t="s">
        <v>683</v>
      </c>
      <c r="C149" s="335"/>
      <c r="D149" s="334">
        <v>139700</v>
      </c>
      <c r="E149" s="459">
        <v>9</v>
      </c>
      <c r="F149" s="453">
        <v>17</v>
      </c>
      <c r="G149" s="454">
        <v>60519</v>
      </c>
      <c r="H149" s="439">
        <f t="shared" si="48"/>
        <v>1028823</v>
      </c>
      <c r="I149" s="311">
        <v>17</v>
      </c>
      <c r="J149" s="311">
        <v>60327.4</v>
      </c>
      <c r="K149" s="441">
        <f t="shared" si="49"/>
        <v>1025565.8</v>
      </c>
      <c r="L149" s="442">
        <v>23</v>
      </c>
      <c r="M149" s="443">
        <v>54916</v>
      </c>
      <c r="N149" s="444">
        <f t="shared" si="50"/>
        <v>1263068</v>
      </c>
      <c r="O149" s="307">
        <v>22</v>
      </c>
      <c r="P149" s="307">
        <v>50501.2</v>
      </c>
      <c r="Q149" s="445">
        <f t="shared" si="51"/>
        <v>1111026.3999999999</v>
      </c>
      <c r="R149" s="442">
        <v>21</v>
      </c>
      <c r="S149" s="443">
        <v>44708</v>
      </c>
      <c r="T149" s="444">
        <f t="shared" si="52"/>
        <v>938868</v>
      </c>
      <c r="U149" s="306">
        <v>31</v>
      </c>
      <c r="V149" s="306">
        <v>43289.2</v>
      </c>
      <c r="W149" s="441">
        <f t="shared" si="53"/>
        <v>1341965.2</v>
      </c>
      <c r="X149" s="442">
        <v>49</v>
      </c>
      <c r="Y149" s="443">
        <v>42369</v>
      </c>
      <c r="Z149" s="444">
        <f t="shared" si="54"/>
        <v>2076081</v>
      </c>
      <c r="AA149" s="307">
        <v>44</v>
      </c>
      <c r="AB149" s="307">
        <v>40188.6</v>
      </c>
      <c r="AC149" s="445">
        <f t="shared" si="55"/>
        <v>1768298.4</v>
      </c>
      <c r="AD149" s="442"/>
      <c r="AE149" s="443"/>
      <c r="AF149" s="444">
        <f t="shared" si="56"/>
        <v>0</v>
      </c>
      <c r="AG149" s="307">
        <v>18</v>
      </c>
      <c r="AH149" s="307">
        <v>37269</v>
      </c>
      <c r="AI149" s="445">
        <f t="shared" si="57"/>
        <v>670842</v>
      </c>
      <c r="AJ149" s="446"/>
      <c r="AK149" s="443"/>
      <c r="AL149" s="444">
        <f t="shared" si="58"/>
        <v>0</v>
      </c>
      <c r="AM149" s="307"/>
      <c r="AN149" s="307"/>
      <c r="AO149" s="447">
        <f t="shared" si="59"/>
        <v>0</v>
      </c>
      <c r="AP149" s="448">
        <v>2</v>
      </c>
      <c r="AQ149" s="443">
        <v>95354</v>
      </c>
      <c r="AR149" s="444">
        <f t="shared" si="60"/>
        <v>156037.2856</v>
      </c>
      <c r="AS149" s="307"/>
      <c r="AT149" s="307"/>
      <c r="AU149" s="441">
        <f t="shared" si="61"/>
        <v>0</v>
      </c>
      <c r="AV149" s="442">
        <v>2</v>
      </c>
      <c r="AW149" s="443">
        <v>73223</v>
      </c>
      <c r="AX149" s="444">
        <f t="shared" si="62"/>
        <v>119822.11720000001</v>
      </c>
      <c r="AY149" s="307"/>
      <c r="AZ149" s="307"/>
      <c r="BA149" s="445">
        <f t="shared" si="63"/>
        <v>0</v>
      </c>
      <c r="BB149" s="442"/>
      <c r="BC149" s="443"/>
      <c r="BD149" s="444">
        <f t="shared" si="64"/>
        <v>0</v>
      </c>
      <c r="BE149" s="307"/>
      <c r="BF149" s="307"/>
      <c r="BG149" s="445">
        <f t="shared" si="65"/>
        <v>0</v>
      </c>
      <c r="BH149" s="442">
        <v>1</v>
      </c>
      <c r="BI149" s="443">
        <v>54570</v>
      </c>
      <c r="BJ149" s="444">
        <f t="shared" si="66"/>
        <v>44649.173999999999</v>
      </c>
      <c r="BK149" s="307">
        <v>1</v>
      </c>
      <c r="BL149" s="307">
        <v>53500</v>
      </c>
      <c r="BM149" s="445">
        <f t="shared" si="67"/>
        <v>43773.700000000004</v>
      </c>
      <c r="BN149" s="442"/>
      <c r="BO149" s="443"/>
      <c r="BP149" s="444">
        <f t="shared" si="68"/>
        <v>0</v>
      </c>
      <c r="BQ149" s="307"/>
      <c r="BR149" s="307"/>
      <c r="BS149" s="445">
        <f t="shared" si="69"/>
        <v>0</v>
      </c>
      <c r="BT149" s="442"/>
      <c r="BU149" s="443"/>
      <c r="BV149" s="444">
        <f t="shared" si="70"/>
        <v>0</v>
      </c>
      <c r="BW149" s="307"/>
      <c r="BX149" s="307"/>
      <c r="BY149" s="449">
        <f t="shared" si="71"/>
        <v>0</v>
      </c>
    </row>
    <row r="150" spans="1:77" s="308" customFormat="1" ht="12.75" customHeight="1">
      <c r="A150" s="336" t="s">
        <v>345</v>
      </c>
      <c r="B150" s="337" t="s">
        <v>513</v>
      </c>
      <c r="C150" s="508" t="s">
        <v>1092</v>
      </c>
      <c r="D150" s="336">
        <v>139968</v>
      </c>
      <c r="E150" s="458">
        <v>9</v>
      </c>
      <c r="F150" s="453">
        <v>23</v>
      </c>
      <c r="G150" s="454">
        <v>60151</v>
      </c>
      <c r="H150" s="439">
        <f t="shared" si="48"/>
        <v>1383473</v>
      </c>
      <c r="I150" s="311">
        <v>24</v>
      </c>
      <c r="J150" s="311">
        <v>65168.3</v>
      </c>
      <c r="K150" s="441">
        <f t="shared" si="49"/>
        <v>1564039.2000000002</v>
      </c>
      <c r="L150" s="442">
        <v>40</v>
      </c>
      <c r="M150" s="443">
        <v>51208</v>
      </c>
      <c r="N150" s="444">
        <f t="shared" si="50"/>
        <v>2048320</v>
      </c>
      <c r="O150" s="307">
        <v>39</v>
      </c>
      <c r="P150" s="307">
        <v>53601.2</v>
      </c>
      <c r="Q150" s="445">
        <f t="shared" si="51"/>
        <v>2090446.7999999998</v>
      </c>
      <c r="R150" s="442">
        <v>28</v>
      </c>
      <c r="S150" s="443">
        <v>49087</v>
      </c>
      <c r="T150" s="444">
        <f t="shared" si="52"/>
        <v>1374436</v>
      </c>
      <c r="U150" s="306">
        <v>35</v>
      </c>
      <c r="V150" s="306">
        <v>47449.5</v>
      </c>
      <c r="W150" s="441">
        <f t="shared" si="53"/>
        <v>1660732.5</v>
      </c>
      <c r="X150" s="442">
        <v>23</v>
      </c>
      <c r="Y150" s="443">
        <v>45140</v>
      </c>
      <c r="Z150" s="444">
        <f t="shared" si="54"/>
        <v>1038220</v>
      </c>
      <c r="AA150" s="307">
        <v>17</v>
      </c>
      <c r="AB150" s="307">
        <v>40864.199999999997</v>
      </c>
      <c r="AC150" s="445">
        <f t="shared" si="55"/>
        <v>694691.39999999991</v>
      </c>
      <c r="AD150" s="442"/>
      <c r="AE150" s="443"/>
      <c r="AF150" s="444">
        <f t="shared" si="56"/>
        <v>0</v>
      </c>
      <c r="AG150" s="307"/>
      <c r="AH150" s="307"/>
      <c r="AI150" s="445">
        <f t="shared" si="57"/>
        <v>0</v>
      </c>
      <c r="AJ150" s="446"/>
      <c r="AK150" s="443"/>
      <c r="AL150" s="444">
        <f t="shared" si="58"/>
        <v>0</v>
      </c>
      <c r="AM150" s="307"/>
      <c r="AN150" s="307"/>
      <c r="AO150" s="447">
        <f t="shared" si="59"/>
        <v>0</v>
      </c>
      <c r="AP150" s="448"/>
      <c r="AQ150" s="443"/>
      <c r="AR150" s="444">
        <f t="shared" si="60"/>
        <v>0</v>
      </c>
      <c r="AS150" s="307">
        <v>0</v>
      </c>
      <c r="AT150" s="307"/>
      <c r="AU150" s="441">
        <f t="shared" si="61"/>
        <v>0</v>
      </c>
      <c r="AV150" s="442"/>
      <c r="AW150" s="443"/>
      <c r="AX150" s="444">
        <f t="shared" si="62"/>
        <v>0</v>
      </c>
      <c r="AY150" s="307"/>
      <c r="AZ150" s="307"/>
      <c r="BA150" s="445">
        <f t="shared" si="63"/>
        <v>0</v>
      </c>
      <c r="BB150" s="442"/>
      <c r="BC150" s="443"/>
      <c r="BD150" s="444">
        <f t="shared" si="64"/>
        <v>0</v>
      </c>
      <c r="BE150" s="307"/>
      <c r="BF150" s="307"/>
      <c r="BG150" s="445">
        <f t="shared" si="65"/>
        <v>0</v>
      </c>
      <c r="BH150" s="442"/>
      <c r="BI150" s="443"/>
      <c r="BJ150" s="444">
        <f t="shared" si="66"/>
        <v>0</v>
      </c>
      <c r="BK150" s="307"/>
      <c r="BL150" s="307"/>
      <c r="BM150" s="445">
        <f t="shared" si="67"/>
        <v>0</v>
      </c>
      <c r="BN150" s="442"/>
      <c r="BO150" s="443"/>
      <c r="BP150" s="444">
        <f t="shared" si="68"/>
        <v>0</v>
      </c>
      <c r="BQ150" s="307"/>
      <c r="BR150" s="307"/>
      <c r="BS150" s="445">
        <f t="shared" si="69"/>
        <v>0</v>
      </c>
      <c r="BT150" s="442"/>
      <c r="BU150" s="443"/>
      <c r="BV150" s="444">
        <f t="shared" si="70"/>
        <v>0</v>
      </c>
      <c r="BW150" s="307"/>
      <c r="BX150" s="307"/>
      <c r="BY150" s="449">
        <f t="shared" si="71"/>
        <v>0</v>
      </c>
    </row>
    <row r="151" spans="1:77" s="308" customFormat="1" ht="12.75" customHeight="1">
      <c r="A151" s="336" t="s">
        <v>345</v>
      </c>
      <c r="B151" s="335" t="s">
        <v>514</v>
      </c>
      <c r="C151" s="335"/>
      <c r="D151" s="336">
        <v>140483</v>
      </c>
      <c r="E151" s="458">
        <v>9</v>
      </c>
      <c r="F151" s="453">
        <v>10</v>
      </c>
      <c r="G151" s="454">
        <v>59721</v>
      </c>
      <c r="H151" s="439">
        <f t="shared" si="48"/>
        <v>597210</v>
      </c>
      <c r="I151" s="311">
        <v>9</v>
      </c>
      <c r="J151" s="311">
        <v>57939</v>
      </c>
      <c r="K151" s="441">
        <f t="shared" si="49"/>
        <v>521451</v>
      </c>
      <c r="L151" s="442">
        <v>24</v>
      </c>
      <c r="M151" s="443">
        <v>48618</v>
      </c>
      <c r="N151" s="444">
        <f t="shared" si="50"/>
        <v>1166832</v>
      </c>
      <c r="O151" s="307">
        <v>30</v>
      </c>
      <c r="P151" s="307">
        <v>47233.87</v>
      </c>
      <c r="Q151" s="445">
        <f t="shared" si="51"/>
        <v>1417016.1</v>
      </c>
      <c r="R151" s="442">
        <v>48</v>
      </c>
      <c r="S151" s="443">
        <v>41338</v>
      </c>
      <c r="T151" s="444">
        <f t="shared" si="52"/>
        <v>1984224</v>
      </c>
      <c r="U151" s="306">
        <v>42</v>
      </c>
      <c r="V151" s="306">
        <v>43594.239999999998</v>
      </c>
      <c r="W151" s="441">
        <f t="shared" si="53"/>
        <v>1830958.0799999998</v>
      </c>
      <c r="X151" s="442">
        <v>9</v>
      </c>
      <c r="Y151" s="443">
        <v>43472</v>
      </c>
      <c r="Z151" s="444">
        <f t="shared" si="54"/>
        <v>391248</v>
      </c>
      <c r="AA151" s="307">
        <v>10</v>
      </c>
      <c r="AB151" s="307">
        <v>43590.5</v>
      </c>
      <c r="AC151" s="445">
        <f t="shared" si="55"/>
        <v>435905</v>
      </c>
      <c r="AD151" s="442"/>
      <c r="AE151" s="443"/>
      <c r="AF151" s="444">
        <f t="shared" si="56"/>
        <v>0</v>
      </c>
      <c r="AG151" s="307"/>
      <c r="AH151" s="307"/>
      <c r="AI151" s="445">
        <f t="shared" si="57"/>
        <v>0</v>
      </c>
      <c r="AJ151" s="446"/>
      <c r="AK151" s="443"/>
      <c r="AL151" s="444">
        <f t="shared" si="58"/>
        <v>0</v>
      </c>
      <c r="AM151" s="307"/>
      <c r="AN151" s="307"/>
      <c r="AO151" s="447">
        <f t="shared" si="59"/>
        <v>0</v>
      </c>
      <c r="AP151" s="448">
        <v>1</v>
      </c>
      <c r="AQ151" s="443">
        <v>76024</v>
      </c>
      <c r="AR151" s="444">
        <f t="shared" si="60"/>
        <v>62202.836800000005</v>
      </c>
      <c r="AS151" s="307">
        <v>1</v>
      </c>
      <c r="AT151" s="307">
        <v>76024</v>
      </c>
      <c r="AU151" s="441">
        <f t="shared" si="61"/>
        <v>62202.836800000005</v>
      </c>
      <c r="AV151" s="442"/>
      <c r="AW151" s="443"/>
      <c r="AX151" s="444">
        <f t="shared" si="62"/>
        <v>0</v>
      </c>
      <c r="AY151" s="307"/>
      <c r="AZ151" s="307"/>
      <c r="BA151" s="445">
        <f t="shared" si="63"/>
        <v>0</v>
      </c>
      <c r="BB151" s="442">
        <v>3</v>
      </c>
      <c r="BC151" s="443">
        <v>70085</v>
      </c>
      <c r="BD151" s="444">
        <f t="shared" si="64"/>
        <v>172030.641</v>
      </c>
      <c r="BE151" s="307">
        <v>3</v>
      </c>
      <c r="BF151" s="307">
        <v>64555</v>
      </c>
      <c r="BG151" s="445">
        <f t="shared" si="65"/>
        <v>158456.70300000001</v>
      </c>
      <c r="BH151" s="442">
        <v>20</v>
      </c>
      <c r="BI151" s="443">
        <v>49268</v>
      </c>
      <c r="BJ151" s="444">
        <f t="shared" si="66"/>
        <v>806221.55200000003</v>
      </c>
      <c r="BK151" s="307">
        <v>15</v>
      </c>
      <c r="BL151" s="307">
        <v>51271.73</v>
      </c>
      <c r="BM151" s="445">
        <f t="shared" si="67"/>
        <v>629257.94229000004</v>
      </c>
      <c r="BN151" s="442"/>
      <c r="BO151" s="443"/>
      <c r="BP151" s="444">
        <f t="shared" si="68"/>
        <v>0</v>
      </c>
      <c r="BQ151" s="307"/>
      <c r="BR151" s="307"/>
      <c r="BS151" s="445">
        <f t="shared" si="69"/>
        <v>0</v>
      </c>
      <c r="BT151" s="442"/>
      <c r="BU151" s="443"/>
      <c r="BV151" s="444">
        <f t="shared" si="70"/>
        <v>0</v>
      </c>
      <c r="BW151" s="307"/>
      <c r="BX151" s="307"/>
      <c r="BY151" s="449">
        <f t="shared" si="71"/>
        <v>0</v>
      </c>
    </row>
    <row r="152" spans="1:77" s="308" customFormat="1" ht="12.75" customHeight="1">
      <c r="A152" s="336" t="s">
        <v>345</v>
      </c>
      <c r="B152" s="337" t="s">
        <v>515</v>
      </c>
      <c r="C152" s="508" t="s">
        <v>1093</v>
      </c>
      <c r="D152" s="336">
        <v>138901</v>
      </c>
      <c r="E152" s="458">
        <v>10</v>
      </c>
      <c r="F152" s="453">
        <v>3</v>
      </c>
      <c r="G152" s="454">
        <v>59794</v>
      </c>
      <c r="H152" s="439">
        <f t="shared" si="48"/>
        <v>179382</v>
      </c>
      <c r="I152" s="311">
        <v>2</v>
      </c>
      <c r="J152" s="311">
        <v>57928</v>
      </c>
      <c r="K152" s="441">
        <f t="shared" si="49"/>
        <v>115856</v>
      </c>
      <c r="L152" s="442">
        <v>14</v>
      </c>
      <c r="M152" s="443">
        <v>57515</v>
      </c>
      <c r="N152" s="444">
        <f t="shared" si="50"/>
        <v>805210</v>
      </c>
      <c r="O152" s="307">
        <v>14</v>
      </c>
      <c r="P152" s="307">
        <v>56407.43</v>
      </c>
      <c r="Q152" s="445">
        <f t="shared" si="51"/>
        <v>789704.02</v>
      </c>
      <c r="R152" s="442">
        <v>23</v>
      </c>
      <c r="S152" s="443">
        <v>46303</v>
      </c>
      <c r="T152" s="444">
        <f t="shared" si="52"/>
        <v>1064969</v>
      </c>
      <c r="U152" s="306">
        <v>28</v>
      </c>
      <c r="V152" s="306">
        <v>46451.15</v>
      </c>
      <c r="W152" s="441">
        <f t="shared" si="53"/>
        <v>1300632.2</v>
      </c>
      <c r="X152" s="442">
        <v>4</v>
      </c>
      <c r="Y152" s="443">
        <v>44750</v>
      </c>
      <c r="Z152" s="444">
        <f t="shared" si="54"/>
        <v>179000</v>
      </c>
      <c r="AA152" s="307"/>
      <c r="AB152" s="307"/>
      <c r="AC152" s="445">
        <f t="shared" si="55"/>
        <v>0</v>
      </c>
      <c r="AD152" s="442"/>
      <c r="AE152" s="443"/>
      <c r="AF152" s="444">
        <f t="shared" si="56"/>
        <v>0</v>
      </c>
      <c r="AG152" s="307">
        <v>9</v>
      </c>
      <c r="AH152" s="307">
        <v>27555.56</v>
      </c>
      <c r="AI152" s="445">
        <f t="shared" si="57"/>
        <v>248000.04</v>
      </c>
      <c r="AJ152" s="446"/>
      <c r="AK152" s="443"/>
      <c r="AL152" s="444">
        <f t="shared" si="58"/>
        <v>0</v>
      </c>
      <c r="AM152" s="307"/>
      <c r="AN152" s="307"/>
      <c r="AO152" s="447">
        <f t="shared" si="59"/>
        <v>0</v>
      </c>
      <c r="AP152" s="448">
        <v>4</v>
      </c>
      <c r="AQ152" s="443">
        <v>84101</v>
      </c>
      <c r="AR152" s="444">
        <f t="shared" si="60"/>
        <v>275245.75280000002</v>
      </c>
      <c r="AS152" s="307">
        <v>3</v>
      </c>
      <c r="AT152" s="307">
        <v>79070</v>
      </c>
      <c r="AU152" s="441">
        <f t="shared" si="61"/>
        <v>194085.22200000001</v>
      </c>
      <c r="AV152" s="442"/>
      <c r="AW152" s="443"/>
      <c r="AX152" s="444">
        <f t="shared" si="62"/>
        <v>0</v>
      </c>
      <c r="AY152" s="307">
        <v>1</v>
      </c>
      <c r="AZ152" s="307">
        <v>78000</v>
      </c>
      <c r="BA152" s="445">
        <f t="shared" si="63"/>
        <v>63819.600000000006</v>
      </c>
      <c r="BB152" s="442"/>
      <c r="BC152" s="443"/>
      <c r="BD152" s="444">
        <f t="shared" si="64"/>
        <v>0</v>
      </c>
      <c r="BE152" s="307"/>
      <c r="BF152" s="307"/>
      <c r="BG152" s="445">
        <f t="shared" si="65"/>
        <v>0</v>
      </c>
      <c r="BH152" s="442"/>
      <c r="BI152" s="443"/>
      <c r="BJ152" s="444">
        <f t="shared" si="66"/>
        <v>0</v>
      </c>
      <c r="BK152" s="307"/>
      <c r="BL152" s="307"/>
      <c r="BM152" s="445">
        <f t="shared" si="67"/>
        <v>0</v>
      </c>
      <c r="BN152" s="442"/>
      <c r="BO152" s="443"/>
      <c r="BP152" s="444">
        <f t="shared" si="68"/>
        <v>0</v>
      </c>
      <c r="BQ152" s="307"/>
      <c r="BR152" s="307"/>
      <c r="BS152" s="445">
        <f t="shared" si="69"/>
        <v>0</v>
      </c>
      <c r="BT152" s="442"/>
      <c r="BU152" s="443"/>
      <c r="BV152" s="444">
        <f t="shared" si="70"/>
        <v>0</v>
      </c>
      <c r="BW152" s="307"/>
      <c r="BX152" s="307"/>
      <c r="BY152" s="449">
        <f t="shared" si="71"/>
        <v>0</v>
      </c>
    </row>
    <row r="153" spans="1:77" s="308" customFormat="1" ht="12.75" customHeight="1">
      <c r="A153" s="336" t="s">
        <v>345</v>
      </c>
      <c r="B153" s="337" t="s">
        <v>517</v>
      </c>
      <c r="C153" s="508" t="s">
        <v>1093</v>
      </c>
      <c r="D153" s="336">
        <v>139621</v>
      </c>
      <c r="E153" s="458">
        <v>10</v>
      </c>
      <c r="F153" s="453">
        <v>1</v>
      </c>
      <c r="G153" s="454">
        <v>63384</v>
      </c>
      <c r="H153" s="439">
        <f t="shared" si="48"/>
        <v>63384</v>
      </c>
      <c r="I153" s="311">
        <v>1</v>
      </c>
      <c r="J153" s="311">
        <v>63384</v>
      </c>
      <c r="K153" s="441">
        <f t="shared" si="49"/>
        <v>63384</v>
      </c>
      <c r="L153" s="442">
        <v>10</v>
      </c>
      <c r="M153" s="443">
        <v>50640</v>
      </c>
      <c r="N153" s="444">
        <f t="shared" si="50"/>
        <v>506400</v>
      </c>
      <c r="O153" s="307">
        <v>12</v>
      </c>
      <c r="P153" s="307">
        <v>50086.25</v>
      </c>
      <c r="Q153" s="445">
        <f t="shared" si="51"/>
        <v>601035</v>
      </c>
      <c r="R153" s="442">
        <v>15</v>
      </c>
      <c r="S153" s="443">
        <v>43939</v>
      </c>
      <c r="T153" s="444">
        <f t="shared" si="52"/>
        <v>659085</v>
      </c>
      <c r="U153" s="306">
        <v>20</v>
      </c>
      <c r="V153" s="306">
        <v>42448.85</v>
      </c>
      <c r="W153" s="441">
        <f t="shared" si="53"/>
        <v>848977</v>
      </c>
      <c r="X153" s="442">
        <v>21</v>
      </c>
      <c r="Y153" s="443">
        <v>37871</v>
      </c>
      <c r="Z153" s="444">
        <f t="shared" si="54"/>
        <v>795291</v>
      </c>
      <c r="AA153" s="307">
        <v>27</v>
      </c>
      <c r="AB153" s="307">
        <v>37962.44</v>
      </c>
      <c r="AC153" s="445">
        <f t="shared" si="55"/>
        <v>1024985.8800000001</v>
      </c>
      <c r="AD153" s="442">
        <v>2</v>
      </c>
      <c r="AE153" s="443">
        <v>35500</v>
      </c>
      <c r="AF153" s="444">
        <f t="shared" si="56"/>
        <v>71000</v>
      </c>
      <c r="AG153" s="307"/>
      <c r="AH153" s="307"/>
      <c r="AI153" s="445">
        <f t="shared" si="57"/>
        <v>0</v>
      </c>
      <c r="AJ153" s="446"/>
      <c r="AK153" s="443"/>
      <c r="AL153" s="444">
        <f t="shared" si="58"/>
        <v>0</v>
      </c>
      <c r="AM153" s="307"/>
      <c r="AN153" s="307"/>
      <c r="AO153" s="447">
        <f t="shared" si="59"/>
        <v>0</v>
      </c>
      <c r="AP153" s="448">
        <v>1</v>
      </c>
      <c r="AQ153" s="443">
        <v>90344</v>
      </c>
      <c r="AR153" s="444">
        <f t="shared" si="60"/>
        <v>73919.460800000001</v>
      </c>
      <c r="AS153" s="307">
        <v>1</v>
      </c>
      <c r="AT153" s="307">
        <v>90344</v>
      </c>
      <c r="AU153" s="441">
        <f t="shared" si="61"/>
        <v>73919.460800000001</v>
      </c>
      <c r="AV153" s="442">
        <v>3</v>
      </c>
      <c r="AW153" s="443">
        <v>72430</v>
      </c>
      <c r="AX153" s="444">
        <f t="shared" si="62"/>
        <v>177786.67800000001</v>
      </c>
      <c r="AY153" s="307">
        <v>3</v>
      </c>
      <c r="AZ153" s="307">
        <v>72430</v>
      </c>
      <c r="BA153" s="445">
        <f t="shared" si="63"/>
        <v>177786.67800000001</v>
      </c>
      <c r="BB153" s="442"/>
      <c r="BC153" s="443"/>
      <c r="BD153" s="444">
        <f t="shared" si="64"/>
        <v>0</v>
      </c>
      <c r="BE153" s="307"/>
      <c r="BF153" s="307"/>
      <c r="BG153" s="445">
        <f t="shared" si="65"/>
        <v>0</v>
      </c>
      <c r="BH153" s="442"/>
      <c r="BI153" s="443"/>
      <c r="BJ153" s="444">
        <f t="shared" si="66"/>
        <v>0</v>
      </c>
      <c r="BK153" s="307"/>
      <c r="BL153" s="307"/>
      <c r="BM153" s="445">
        <f t="shared" si="67"/>
        <v>0</v>
      </c>
      <c r="BN153" s="442"/>
      <c r="BO153" s="443"/>
      <c r="BP153" s="444">
        <f t="shared" si="68"/>
        <v>0</v>
      </c>
      <c r="BQ153" s="307"/>
      <c r="BR153" s="307"/>
      <c r="BS153" s="445">
        <f t="shared" si="69"/>
        <v>0</v>
      </c>
      <c r="BT153" s="442"/>
      <c r="BU153" s="443"/>
      <c r="BV153" s="444">
        <f t="shared" si="70"/>
        <v>0</v>
      </c>
      <c r="BW153" s="307"/>
      <c r="BX153" s="307"/>
      <c r="BY153" s="449">
        <f t="shared" si="71"/>
        <v>0</v>
      </c>
    </row>
    <row r="154" spans="1:77" s="308" customFormat="1" ht="12.75" customHeight="1">
      <c r="A154" s="336" t="s">
        <v>345</v>
      </c>
      <c r="B154" s="337" t="s">
        <v>518</v>
      </c>
      <c r="C154" s="337"/>
      <c r="D154" s="336">
        <v>140997</v>
      </c>
      <c r="E154" s="458">
        <v>10</v>
      </c>
      <c r="F154" s="453">
        <v>3</v>
      </c>
      <c r="G154" s="454">
        <v>54535</v>
      </c>
      <c r="H154" s="439">
        <f t="shared" si="48"/>
        <v>163605</v>
      </c>
      <c r="I154" s="311">
        <v>3</v>
      </c>
      <c r="J154" s="311">
        <v>54217</v>
      </c>
      <c r="K154" s="441">
        <f t="shared" si="49"/>
        <v>162651</v>
      </c>
      <c r="L154" s="442">
        <v>9</v>
      </c>
      <c r="M154" s="443">
        <v>46387</v>
      </c>
      <c r="N154" s="444">
        <f t="shared" si="50"/>
        <v>417483</v>
      </c>
      <c r="O154" s="307">
        <v>8</v>
      </c>
      <c r="P154" s="307">
        <v>47436.9</v>
      </c>
      <c r="Q154" s="445">
        <f t="shared" si="51"/>
        <v>379495.2</v>
      </c>
      <c r="R154" s="442">
        <v>19</v>
      </c>
      <c r="S154" s="443">
        <v>43547</v>
      </c>
      <c r="T154" s="444">
        <f t="shared" si="52"/>
        <v>827393</v>
      </c>
      <c r="U154" s="306">
        <v>20</v>
      </c>
      <c r="V154" s="306">
        <v>44319.199999999997</v>
      </c>
      <c r="W154" s="441">
        <f t="shared" si="53"/>
        <v>886384</v>
      </c>
      <c r="X154" s="442">
        <v>11</v>
      </c>
      <c r="Y154" s="443">
        <v>39980</v>
      </c>
      <c r="Z154" s="444">
        <f t="shared" si="54"/>
        <v>439780</v>
      </c>
      <c r="AA154" s="307">
        <v>10</v>
      </c>
      <c r="AB154" s="307">
        <v>35820</v>
      </c>
      <c r="AC154" s="445">
        <f t="shared" si="55"/>
        <v>358200</v>
      </c>
      <c r="AD154" s="442"/>
      <c r="AE154" s="443"/>
      <c r="AF154" s="444">
        <f t="shared" si="56"/>
        <v>0</v>
      </c>
      <c r="AG154" s="307">
        <v>3</v>
      </c>
      <c r="AH154" s="307">
        <v>37333.300000000003</v>
      </c>
      <c r="AI154" s="445">
        <f t="shared" si="57"/>
        <v>111999.90000000001</v>
      </c>
      <c r="AJ154" s="446"/>
      <c r="AK154" s="443"/>
      <c r="AL154" s="444">
        <f t="shared" si="58"/>
        <v>0</v>
      </c>
      <c r="AM154" s="307"/>
      <c r="AN154" s="307"/>
      <c r="AO154" s="447">
        <f t="shared" si="59"/>
        <v>0</v>
      </c>
      <c r="AP154" s="448"/>
      <c r="AQ154" s="443"/>
      <c r="AR154" s="444">
        <f t="shared" si="60"/>
        <v>0</v>
      </c>
      <c r="AS154" s="307"/>
      <c r="AT154" s="307"/>
      <c r="AU154" s="441">
        <f t="shared" si="61"/>
        <v>0</v>
      </c>
      <c r="AV154" s="442"/>
      <c r="AW154" s="443"/>
      <c r="AX154" s="444">
        <f t="shared" si="62"/>
        <v>0</v>
      </c>
      <c r="AY154" s="307"/>
      <c r="AZ154" s="307"/>
      <c r="BA154" s="445">
        <f t="shared" si="63"/>
        <v>0</v>
      </c>
      <c r="BB154" s="442"/>
      <c r="BC154" s="443"/>
      <c r="BD154" s="444">
        <f t="shared" si="64"/>
        <v>0</v>
      </c>
      <c r="BE154" s="307"/>
      <c r="BF154" s="307"/>
      <c r="BG154" s="445">
        <f t="shared" si="65"/>
        <v>0</v>
      </c>
      <c r="BH154" s="442"/>
      <c r="BI154" s="443"/>
      <c r="BJ154" s="444">
        <f t="shared" si="66"/>
        <v>0</v>
      </c>
      <c r="BK154" s="307"/>
      <c r="BL154" s="307"/>
      <c r="BM154" s="445">
        <f t="shared" si="67"/>
        <v>0</v>
      </c>
      <c r="BN154" s="442"/>
      <c r="BO154" s="443"/>
      <c r="BP154" s="444">
        <f t="shared" si="68"/>
        <v>0</v>
      </c>
      <c r="BQ154" s="307"/>
      <c r="BR154" s="307"/>
      <c r="BS154" s="445">
        <f t="shared" si="69"/>
        <v>0</v>
      </c>
      <c r="BT154" s="442"/>
      <c r="BU154" s="443"/>
      <c r="BV154" s="444">
        <f t="shared" si="70"/>
        <v>0</v>
      </c>
      <c r="BW154" s="307"/>
      <c r="BX154" s="307"/>
      <c r="BY154" s="449">
        <f t="shared" si="71"/>
        <v>0</v>
      </c>
    </row>
    <row r="155" spans="1:77" s="308" customFormat="1" ht="12.75" customHeight="1">
      <c r="A155" s="336" t="s">
        <v>345</v>
      </c>
      <c r="B155" s="337" t="s">
        <v>519</v>
      </c>
      <c r="C155" s="337"/>
      <c r="D155" s="336">
        <v>141307</v>
      </c>
      <c r="E155" s="458">
        <v>10</v>
      </c>
      <c r="F155" s="453">
        <v>3</v>
      </c>
      <c r="G155" s="454">
        <v>60341</v>
      </c>
      <c r="H155" s="439">
        <f t="shared" si="48"/>
        <v>181023</v>
      </c>
      <c r="I155" s="311">
        <v>2</v>
      </c>
      <c r="J155" s="311">
        <v>61328.5</v>
      </c>
      <c r="K155" s="441">
        <f t="shared" si="49"/>
        <v>122657</v>
      </c>
      <c r="L155" s="442">
        <v>5</v>
      </c>
      <c r="M155" s="443">
        <v>48980</v>
      </c>
      <c r="N155" s="444">
        <f t="shared" si="50"/>
        <v>244900</v>
      </c>
      <c r="O155" s="307">
        <v>5</v>
      </c>
      <c r="P155" s="307">
        <v>48980</v>
      </c>
      <c r="Q155" s="445">
        <f t="shared" si="51"/>
        <v>244900</v>
      </c>
      <c r="R155" s="442">
        <v>4</v>
      </c>
      <c r="S155" s="443">
        <v>40271</v>
      </c>
      <c r="T155" s="444">
        <f t="shared" si="52"/>
        <v>161084</v>
      </c>
      <c r="U155" s="306">
        <v>8</v>
      </c>
      <c r="V155" s="306">
        <v>41135</v>
      </c>
      <c r="W155" s="441">
        <f t="shared" si="53"/>
        <v>329080</v>
      </c>
      <c r="X155" s="442">
        <v>12</v>
      </c>
      <c r="Y155" s="443">
        <v>36978</v>
      </c>
      <c r="Z155" s="444">
        <f t="shared" si="54"/>
        <v>443736</v>
      </c>
      <c r="AA155" s="307">
        <v>11</v>
      </c>
      <c r="AB155" s="307">
        <v>36958.199999999997</v>
      </c>
      <c r="AC155" s="445">
        <f t="shared" si="55"/>
        <v>406540.19999999995</v>
      </c>
      <c r="AD155" s="442"/>
      <c r="AE155" s="443"/>
      <c r="AF155" s="444">
        <f t="shared" si="56"/>
        <v>0</v>
      </c>
      <c r="AG155" s="307"/>
      <c r="AH155" s="307"/>
      <c r="AI155" s="445">
        <f t="shared" si="57"/>
        <v>0</v>
      </c>
      <c r="AJ155" s="446"/>
      <c r="AK155" s="443"/>
      <c r="AL155" s="444">
        <f t="shared" si="58"/>
        <v>0</v>
      </c>
      <c r="AM155" s="307"/>
      <c r="AN155" s="307"/>
      <c r="AO155" s="447">
        <f t="shared" si="59"/>
        <v>0</v>
      </c>
      <c r="AP155" s="448"/>
      <c r="AQ155" s="443"/>
      <c r="AR155" s="444">
        <f t="shared" si="60"/>
        <v>0</v>
      </c>
      <c r="AS155" s="307"/>
      <c r="AT155" s="307"/>
      <c r="AU155" s="441">
        <f t="shared" si="61"/>
        <v>0</v>
      </c>
      <c r="AV155" s="442"/>
      <c r="AW155" s="443"/>
      <c r="AX155" s="444">
        <f t="shared" si="62"/>
        <v>0</v>
      </c>
      <c r="AY155" s="307"/>
      <c r="AZ155" s="307"/>
      <c r="BA155" s="445">
        <f t="shared" si="63"/>
        <v>0</v>
      </c>
      <c r="BB155" s="442"/>
      <c r="BC155" s="443"/>
      <c r="BD155" s="444">
        <f t="shared" si="64"/>
        <v>0</v>
      </c>
      <c r="BE155" s="307"/>
      <c r="BF155" s="307"/>
      <c r="BG155" s="445">
        <f t="shared" si="65"/>
        <v>0</v>
      </c>
      <c r="BH155" s="442"/>
      <c r="BI155" s="443"/>
      <c r="BJ155" s="444">
        <f t="shared" si="66"/>
        <v>0</v>
      </c>
      <c r="BK155" s="307"/>
      <c r="BL155" s="307"/>
      <c r="BM155" s="445">
        <f t="shared" si="67"/>
        <v>0</v>
      </c>
      <c r="BN155" s="442"/>
      <c r="BO155" s="443"/>
      <c r="BP155" s="444">
        <f t="shared" si="68"/>
        <v>0</v>
      </c>
      <c r="BQ155" s="307"/>
      <c r="BR155" s="307"/>
      <c r="BS155" s="445">
        <f t="shared" si="69"/>
        <v>0</v>
      </c>
      <c r="BT155" s="442"/>
      <c r="BU155" s="443"/>
      <c r="BV155" s="444">
        <f t="shared" si="70"/>
        <v>0</v>
      </c>
      <c r="BW155" s="307"/>
      <c r="BX155" s="307"/>
      <c r="BY155" s="449">
        <f t="shared" si="71"/>
        <v>0</v>
      </c>
    </row>
    <row r="156" spans="1:77" s="308" customFormat="1" ht="12.75" customHeight="1">
      <c r="A156" s="342" t="s">
        <v>345</v>
      </c>
      <c r="B156" s="339" t="s">
        <v>655</v>
      </c>
      <c r="C156" s="339"/>
      <c r="D156" s="340">
        <v>138682</v>
      </c>
      <c r="E156" s="460">
        <v>12</v>
      </c>
      <c r="F156" s="453"/>
      <c r="G156" s="454"/>
      <c r="H156" s="439">
        <f t="shared" si="48"/>
        <v>0</v>
      </c>
      <c r="I156" s="311"/>
      <c r="J156" s="311"/>
      <c r="K156" s="441">
        <f t="shared" si="49"/>
        <v>0</v>
      </c>
      <c r="L156" s="442"/>
      <c r="M156" s="443"/>
      <c r="N156" s="444">
        <f t="shared" si="50"/>
        <v>0</v>
      </c>
      <c r="O156" s="307"/>
      <c r="P156" s="307"/>
      <c r="Q156" s="445">
        <f t="shared" si="51"/>
        <v>0</v>
      </c>
      <c r="R156" s="442"/>
      <c r="S156" s="443"/>
      <c r="T156" s="444">
        <f t="shared" si="52"/>
        <v>0</v>
      </c>
      <c r="U156" s="306"/>
      <c r="V156" s="306"/>
      <c r="W156" s="441">
        <f t="shared" si="53"/>
        <v>0</v>
      </c>
      <c r="X156" s="442"/>
      <c r="Y156" s="443"/>
      <c r="Z156" s="444">
        <f t="shared" si="54"/>
        <v>0</v>
      </c>
      <c r="AA156" s="307"/>
      <c r="AB156" s="307"/>
      <c r="AC156" s="445">
        <f t="shared" si="55"/>
        <v>0</v>
      </c>
      <c r="AD156" s="442"/>
      <c r="AE156" s="443"/>
      <c r="AF156" s="444">
        <f t="shared" si="56"/>
        <v>0</v>
      </c>
      <c r="AG156" s="307"/>
      <c r="AH156" s="307"/>
      <c r="AI156" s="445">
        <f t="shared" si="57"/>
        <v>0</v>
      </c>
      <c r="AJ156" s="446"/>
      <c r="AK156" s="443"/>
      <c r="AL156" s="444">
        <f t="shared" si="58"/>
        <v>0</v>
      </c>
      <c r="AM156" s="307"/>
      <c r="AN156" s="307"/>
      <c r="AO156" s="447">
        <f t="shared" si="59"/>
        <v>0</v>
      </c>
      <c r="AP156" s="448"/>
      <c r="AQ156" s="443"/>
      <c r="AR156" s="444">
        <f t="shared" si="60"/>
        <v>0</v>
      </c>
      <c r="AS156" s="307"/>
      <c r="AT156" s="307"/>
      <c r="AU156" s="441">
        <f t="shared" si="61"/>
        <v>0</v>
      </c>
      <c r="AV156" s="442"/>
      <c r="AW156" s="443"/>
      <c r="AX156" s="444">
        <f t="shared" si="62"/>
        <v>0</v>
      </c>
      <c r="AY156" s="307"/>
      <c r="AZ156" s="307"/>
      <c r="BA156" s="445">
        <f t="shared" si="63"/>
        <v>0</v>
      </c>
      <c r="BB156" s="442"/>
      <c r="BC156" s="443"/>
      <c r="BD156" s="444">
        <f t="shared" si="64"/>
        <v>0</v>
      </c>
      <c r="BE156" s="307"/>
      <c r="BF156" s="307"/>
      <c r="BG156" s="445">
        <f t="shared" si="65"/>
        <v>0</v>
      </c>
      <c r="BH156" s="442"/>
      <c r="BI156" s="443"/>
      <c r="BJ156" s="444">
        <f t="shared" si="66"/>
        <v>0</v>
      </c>
      <c r="BK156" s="307"/>
      <c r="BL156" s="307"/>
      <c r="BM156" s="445">
        <f t="shared" si="67"/>
        <v>0</v>
      </c>
      <c r="BN156" s="442"/>
      <c r="BO156" s="443"/>
      <c r="BP156" s="444">
        <f t="shared" si="68"/>
        <v>0</v>
      </c>
      <c r="BQ156" s="307"/>
      <c r="BR156" s="307"/>
      <c r="BS156" s="445">
        <f t="shared" si="69"/>
        <v>0</v>
      </c>
      <c r="BT156" s="442">
        <v>78</v>
      </c>
      <c r="BU156" s="443">
        <v>53102</v>
      </c>
      <c r="BV156" s="444">
        <f t="shared" si="70"/>
        <v>3388948.3992000003</v>
      </c>
      <c r="BW156" s="307">
        <v>85</v>
      </c>
      <c r="BX156" s="307">
        <v>52374</v>
      </c>
      <c r="BY156" s="449">
        <f t="shared" si="71"/>
        <v>3642454.5780000002</v>
      </c>
    </row>
    <row r="157" spans="1:77" s="308" customFormat="1" ht="12.75" customHeight="1">
      <c r="A157" s="343" t="s">
        <v>345</v>
      </c>
      <c r="B157" s="407" t="s">
        <v>656</v>
      </c>
      <c r="C157" s="509" t="s">
        <v>1095</v>
      </c>
      <c r="D157" s="344">
        <v>366447</v>
      </c>
      <c r="E157" s="488">
        <v>12</v>
      </c>
      <c r="F157" s="453"/>
      <c r="G157" s="454"/>
      <c r="H157" s="439">
        <f t="shared" si="48"/>
        <v>0</v>
      </c>
      <c r="I157" s="311"/>
      <c r="J157" s="311"/>
      <c r="K157" s="441">
        <f t="shared" si="49"/>
        <v>0</v>
      </c>
      <c r="L157" s="442"/>
      <c r="M157" s="443"/>
      <c r="N157" s="444">
        <f t="shared" si="50"/>
        <v>0</v>
      </c>
      <c r="O157" s="307"/>
      <c r="P157" s="307"/>
      <c r="Q157" s="445">
        <f t="shared" si="51"/>
        <v>0</v>
      </c>
      <c r="R157" s="442"/>
      <c r="S157" s="443"/>
      <c r="T157" s="444">
        <f t="shared" si="52"/>
        <v>0</v>
      </c>
      <c r="U157" s="306"/>
      <c r="V157" s="306"/>
      <c r="W157" s="441">
        <f t="shared" si="53"/>
        <v>0</v>
      </c>
      <c r="X157" s="442"/>
      <c r="Y157" s="443"/>
      <c r="Z157" s="444">
        <f t="shared" si="54"/>
        <v>0</v>
      </c>
      <c r="AA157" s="307"/>
      <c r="AB157" s="307"/>
      <c r="AC157" s="445">
        <f t="shared" si="55"/>
        <v>0</v>
      </c>
      <c r="AD157" s="442"/>
      <c r="AE157" s="443"/>
      <c r="AF157" s="444">
        <f t="shared" si="56"/>
        <v>0</v>
      </c>
      <c r="AG157" s="307"/>
      <c r="AH157" s="307"/>
      <c r="AI157" s="445">
        <f t="shared" si="57"/>
        <v>0</v>
      </c>
      <c r="AJ157" s="446">
        <v>1</v>
      </c>
      <c r="AK157" s="443">
        <v>25332</v>
      </c>
      <c r="AL157" s="444">
        <f t="shared" si="58"/>
        <v>25332</v>
      </c>
      <c r="AM157" s="307"/>
      <c r="AN157" s="307"/>
      <c r="AO157" s="447">
        <f t="shared" si="59"/>
        <v>0</v>
      </c>
      <c r="AP157" s="448"/>
      <c r="AQ157" s="443"/>
      <c r="AR157" s="444">
        <f t="shared" si="60"/>
        <v>0</v>
      </c>
      <c r="AS157" s="307"/>
      <c r="AT157" s="307"/>
      <c r="AU157" s="441">
        <f t="shared" si="61"/>
        <v>0</v>
      </c>
      <c r="AV157" s="442"/>
      <c r="AW157" s="443"/>
      <c r="AX157" s="444">
        <f t="shared" si="62"/>
        <v>0</v>
      </c>
      <c r="AY157" s="307"/>
      <c r="AZ157" s="307"/>
      <c r="BA157" s="445">
        <f t="shared" si="63"/>
        <v>0</v>
      </c>
      <c r="BB157" s="442"/>
      <c r="BC157" s="443"/>
      <c r="BD157" s="444">
        <f t="shared" si="64"/>
        <v>0</v>
      </c>
      <c r="BE157" s="307"/>
      <c r="BF157" s="307"/>
      <c r="BG157" s="445">
        <f t="shared" si="65"/>
        <v>0</v>
      </c>
      <c r="BH157" s="442"/>
      <c r="BI157" s="443"/>
      <c r="BJ157" s="444">
        <f t="shared" si="66"/>
        <v>0</v>
      </c>
      <c r="BK157" s="307"/>
      <c r="BL157" s="307"/>
      <c r="BM157" s="445">
        <f t="shared" si="67"/>
        <v>0</v>
      </c>
      <c r="BN157" s="442"/>
      <c r="BO157" s="443"/>
      <c r="BP157" s="444">
        <f t="shared" si="68"/>
        <v>0</v>
      </c>
      <c r="BQ157" s="307"/>
      <c r="BR157" s="307"/>
      <c r="BS157" s="445">
        <f t="shared" si="69"/>
        <v>0</v>
      </c>
      <c r="BT157" s="442">
        <v>54</v>
      </c>
      <c r="BU157" s="443">
        <v>49214</v>
      </c>
      <c r="BV157" s="444">
        <f t="shared" si="70"/>
        <v>2174412.3192000003</v>
      </c>
      <c r="BW157" s="307">
        <v>51</v>
      </c>
      <c r="BX157" s="307">
        <v>48370</v>
      </c>
      <c r="BY157" s="449">
        <f t="shared" si="71"/>
        <v>2018393.034</v>
      </c>
    </row>
    <row r="158" spans="1:77" s="308" customFormat="1" ht="12.75" customHeight="1">
      <c r="A158" s="338" t="s">
        <v>345</v>
      </c>
      <c r="B158" s="339" t="s">
        <v>657</v>
      </c>
      <c r="C158" s="339"/>
      <c r="D158" s="340">
        <v>246813</v>
      </c>
      <c r="E158" s="460">
        <v>12</v>
      </c>
      <c r="F158" s="453"/>
      <c r="G158" s="454"/>
      <c r="H158" s="439">
        <f t="shared" si="48"/>
        <v>0</v>
      </c>
      <c r="I158" s="311"/>
      <c r="J158" s="311"/>
      <c r="K158" s="441">
        <f t="shared" si="49"/>
        <v>0</v>
      </c>
      <c r="L158" s="442"/>
      <c r="M158" s="443"/>
      <c r="N158" s="444">
        <f t="shared" si="50"/>
        <v>0</v>
      </c>
      <c r="O158" s="307"/>
      <c r="P158" s="307"/>
      <c r="Q158" s="445">
        <f t="shared" si="51"/>
        <v>0</v>
      </c>
      <c r="R158" s="442"/>
      <c r="S158" s="443"/>
      <c r="T158" s="444">
        <f t="shared" si="52"/>
        <v>0</v>
      </c>
      <c r="U158" s="306"/>
      <c r="V158" s="306"/>
      <c r="W158" s="441">
        <f t="shared" si="53"/>
        <v>0</v>
      </c>
      <c r="X158" s="442"/>
      <c r="Y158" s="443"/>
      <c r="Z158" s="444">
        <f t="shared" si="54"/>
        <v>0</v>
      </c>
      <c r="AA158" s="307"/>
      <c r="AB158" s="307"/>
      <c r="AC158" s="445">
        <f t="shared" si="55"/>
        <v>0</v>
      </c>
      <c r="AD158" s="442"/>
      <c r="AE158" s="443"/>
      <c r="AF158" s="444">
        <f t="shared" si="56"/>
        <v>0</v>
      </c>
      <c r="AG158" s="307"/>
      <c r="AH158" s="307"/>
      <c r="AI158" s="445">
        <f t="shared" si="57"/>
        <v>0</v>
      </c>
      <c r="AJ158" s="446">
        <v>17</v>
      </c>
      <c r="AK158" s="443">
        <v>53709</v>
      </c>
      <c r="AL158" s="444">
        <f t="shared" si="58"/>
        <v>913053</v>
      </c>
      <c r="AM158" s="307">
        <v>15</v>
      </c>
      <c r="AN158" s="307">
        <v>53797</v>
      </c>
      <c r="AO158" s="447">
        <f t="shared" si="59"/>
        <v>806955</v>
      </c>
      <c r="AP158" s="448"/>
      <c r="AQ158" s="443"/>
      <c r="AR158" s="444">
        <f t="shared" si="60"/>
        <v>0</v>
      </c>
      <c r="AS158" s="307"/>
      <c r="AT158" s="307"/>
      <c r="AU158" s="441">
        <f t="shared" si="61"/>
        <v>0</v>
      </c>
      <c r="AV158" s="442"/>
      <c r="AW158" s="443"/>
      <c r="AX158" s="444">
        <f t="shared" si="62"/>
        <v>0</v>
      </c>
      <c r="AY158" s="307"/>
      <c r="AZ158" s="307"/>
      <c r="BA158" s="445">
        <f t="shared" si="63"/>
        <v>0</v>
      </c>
      <c r="BB158" s="442"/>
      <c r="BC158" s="443"/>
      <c r="BD158" s="444">
        <f t="shared" si="64"/>
        <v>0</v>
      </c>
      <c r="BE158" s="307"/>
      <c r="BF158" s="307"/>
      <c r="BG158" s="445">
        <f t="shared" si="65"/>
        <v>0</v>
      </c>
      <c r="BH158" s="442"/>
      <c r="BI158" s="443"/>
      <c r="BJ158" s="444">
        <f t="shared" si="66"/>
        <v>0</v>
      </c>
      <c r="BK158" s="307"/>
      <c r="BL158" s="307"/>
      <c r="BM158" s="445">
        <f t="shared" si="67"/>
        <v>0</v>
      </c>
      <c r="BN158" s="442"/>
      <c r="BO158" s="443"/>
      <c r="BP158" s="444">
        <f t="shared" si="68"/>
        <v>0</v>
      </c>
      <c r="BQ158" s="307"/>
      <c r="BR158" s="307"/>
      <c r="BS158" s="445">
        <f t="shared" si="69"/>
        <v>0</v>
      </c>
      <c r="BT158" s="442">
        <v>72</v>
      </c>
      <c r="BU158" s="443">
        <v>61674</v>
      </c>
      <c r="BV158" s="444">
        <f t="shared" si="70"/>
        <v>3633240.0096</v>
      </c>
      <c r="BW158" s="307">
        <v>82</v>
      </c>
      <c r="BX158" s="307">
        <v>61654</v>
      </c>
      <c r="BY158" s="449">
        <f t="shared" si="71"/>
        <v>4136514.8296000003</v>
      </c>
    </row>
    <row r="159" spans="1:77" s="308" customFormat="1" ht="12.75" customHeight="1">
      <c r="A159" s="338" t="s">
        <v>345</v>
      </c>
      <c r="B159" s="339" t="s">
        <v>658</v>
      </c>
      <c r="C159" s="339"/>
      <c r="D159" s="340">
        <v>138840</v>
      </c>
      <c r="E159" s="460">
        <v>12</v>
      </c>
      <c r="F159" s="453"/>
      <c r="G159" s="454"/>
      <c r="H159" s="439">
        <f t="shared" si="48"/>
        <v>0</v>
      </c>
      <c r="I159" s="311"/>
      <c r="J159" s="311"/>
      <c r="K159" s="441">
        <f t="shared" si="49"/>
        <v>0</v>
      </c>
      <c r="L159" s="442"/>
      <c r="M159" s="443"/>
      <c r="N159" s="444">
        <f t="shared" si="50"/>
        <v>0</v>
      </c>
      <c r="O159" s="307"/>
      <c r="P159" s="307"/>
      <c r="Q159" s="445">
        <f t="shared" si="51"/>
        <v>0</v>
      </c>
      <c r="R159" s="442"/>
      <c r="S159" s="443"/>
      <c r="T159" s="444">
        <f t="shared" si="52"/>
        <v>0</v>
      </c>
      <c r="U159" s="306"/>
      <c r="V159" s="306"/>
      <c r="W159" s="441">
        <f t="shared" si="53"/>
        <v>0</v>
      </c>
      <c r="X159" s="442"/>
      <c r="Y159" s="443"/>
      <c r="Z159" s="444">
        <f t="shared" si="54"/>
        <v>0</v>
      </c>
      <c r="AA159" s="307"/>
      <c r="AB159" s="307"/>
      <c r="AC159" s="445">
        <f t="shared" si="55"/>
        <v>0</v>
      </c>
      <c r="AD159" s="442"/>
      <c r="AE159" s="443"/>
      <c r="AF159" s="444">
        <f t="shared" si="56"/>
        <v>0</v>
      </c>
      <c r="AG159" s="307"/>
      <c r="AH159" s="307"/>
      <c r="AI159" s="445">
        <f t="shared" si="57"/>
        <v>0</v>
      </c>
      <c r="AJ159" s="446"/>
      <c r="AK159" s="443"/>
      <c r="AL159" s="444">
        <f t="shared" si="58"/>
        <v>0</v>
      </c>
      <c r="AM159" s="307"/>
      <c r="AN159" s="307"/>
      <c r="AO159" s="447">
        <f t="shared" si="59"/>
        <v>0</v>
      </c>
      <c r="AP159" s="448"/>
      <c r="AQ159" s="443"/>
      <c r="AR159" s="444">
        <f t="shared" si="60"/>
        <v>0</v>
      </c>
      <c r="AS159" s="307"/>
      <c r="AT159" s="307"/>
      <c r="AU159" s="441">
        <f t="shared" si="61"/>
        <v>0</v>
      </c>
      <c r="AV159" s="442"/>
      <c r="AW159" s="443"/>
      <c r="AX159" s="444">
        <f t="shared" si="62"/>
        <v>0</v>
      </c>
      <c r="AY159" s="307"/>
      <c r="AZ159" s="307"/>
      <c r="BA159" s="445">
        <f t="shared" si="63"/>
        <v>0</v>
      </c>
      <c r="BB159" s="442"/>
      <c r="BC159" s="443"/>
      <c r="BD159" s="444">
        <f t="shared" si="64"/>
        <v>0</v>
      </c>
      <c r="BE159" s="307"/>
      <c r="BF159" s="307"/>
      <c r="BG159" s="445">
        <f t="shared" si="65"/>
        <v>0</v>
      </c>
      <c r="BH159" s="442"/>
      <c r="BI159" s="443"/>
      <c r="BJ159" s="444">
        <f t="shared" si="66"/>
        <v>0</v>
      </c>
      <c r="BK159" s="307"/>
      <c r="BL159" s="307"/>
      <c r="BM159" s="445">
        <f t="shared" si="67"/>
        <v>0</v>
      </c>
      <c r="BN159" s="442"/>
      <c r="BO159" s="443"/>
      <c r="BP159" s="444">
        <f t="shared" si="68"/>
        <v>0</v>
      </c>
      <c r="BQ159" s="307"/>
      <c r="BR159" s="307"/>
      <c r="BS159" s="445">
        <f t="shared" si="69"/>
        <v>0</v>
      </c>
      <c r="BT159" s="442">
        <v>85</v>
      </c>
      <c r="BU159" s="443">
        <v>55376</v>
      </c>
      <c r="BV159" s="444">
        <f t="shared" si="70"/>
        <v>3851234.6720000003</v>
      </c>
      <c r="BW159" s="307">
        <v>89</v>
      </c>
      <c r="BX159" s="307">
        <v>53404</v>
      </c>
      <c r="BY159" s="449">
        <f t="shared" si="71"/>
        <v>3888868.5992000001</v>
      </c>
    </row>
    <row r="160" spans="1:77" s="308" customFormat="1" ht="12.75" customHeight="1">
      <c r="A160" s="338" t="s">
        <v>345</v>
      </c>
      <c r="B160" s="339" t="s">
        <v>659</v>
      </c>
      <c r="C160" s="339"/>
      <c r="D160" s="340">
        <v>138956</v>
      </c>
      <c r="E160" s="460">
        <v>12</v>
      </c>
      <c r="F160" s="453"/>
      <c r="G160" s="454"/>
      <c r="H160" s="439">
        <f t="shared" si="48"/>
        <v>0</v>
      </c>
      <c r="I160" s="311"/>
      <c r="J160" s="311"/>
      <c r="K160" s="441">
        <f t="shared" si="49"/>
        <v>0</v>
      </c>
      <c r="L160" s="442"/>
      <c r="M160" s="443"/>
      <c r="N160" s="444">
        <f t="shared" si="50"/>
        <v>0</v>
      </c>
      <c r="O160" s="307"/>
      <c r="P160" s="307"/>
      <c r="Q160" s="445">
        <f t="shared" si="51"/>
        <v>0</v>
      </c>
      <c r="R160" s="442"/>
      <c r="S160" s="443"/>
      <c r="T160" s="444">
        <f t="shared" si="52"/>
        <v>0</v>
      </c>
      <c r="U160" s="306"/>
      <c r="V160" s="306"/>
      <c r="W160" s="441">
        <f t="shared" si="53"/>
        <v>0</v>
      </c>
      <c r="X160" s="442"/>
      <c r="Y160" s="443"/>
      <c r="Z160" s="444">
        <f t="shared" si="54"/>
        <v>0</v>
      </c>
      <c r="AA160" s="307"/>
      <c r="AB160" s="307"/>
      <c r="AC160" s="445">
        <f t="shared" si="55"/>
        <v>0</v>
      </c>
      <c r="AD160" s="442"/>
      <c r="AE160" s="443"/>
      <c r="AF160" s="444">
        <f t="shared" si="56"/>
        <v>0</v>
      </c>
      <c r="AG160" s="307"/>
      <c r="AH160" s="307"/>
      <c r="AI160" s="445">
        <f t="shared" si="57"/>
        <v>0</v>
      </c>
      <c r="AJ160" s="446"/>
      <c r="AK160" s="443"/>
      <c r="AL160" s="444">
        <f t="shared" si="58"/>
        <v>0</v>
      </c>
      <c r="AM160" s="307">
        <v>1</v>
      </c>
      <c r="AN160" s="307">
        <v>48384</v>
      </c>
      <c r="AO160" s="447">
        <f t="shared" si="59"/>
        <v>48384</v>
      </c>
      <c r="AP160" s="448"/>
      <c r="AQ160" s="443"/>
      <c r="AR160" s="444">
        <f t="shared" si="60"/>
        <v>0</v>
      </c>
      <c r="AS160" s="307"/>
      <c r="AT160" s="307"/>
      <c r="AU160" s="441">
        <f t="shared" si="61"/>
        <v>0</v>
      </c>
      <c r="AV160" s="442"/>
      <c r="AW160" s="443"/>
      <c r="AX160" s="444">
        <f t="shared" si="62"/>
        <v>0</v>
      </c>
      <c r="AY160" s="307"/>
      <c r="AZ160" s="307"/>
      <c r="BA160" s="445">
        <f t="shared" si="63"/>
        <v>0</v>
      </c>
      <c r="BB160" s="442"/>
      <c r="BC160" s="443"/>
      <c r="BD160" s="444">
        <f t="shared" si="64"/>
        <v>0</v>
      </c>
      <c r="BE160" s="307"/>
      <c r="BF160" s="307"/>
      <c r="BG160" s="445">
        <f t="shared" si="65"/>
        <v>0</v>
      </c>
      <c r="BH160" s="442"/>
      <c r="BI160" s="443"/>
      <c r="BJ160" s="444">
        <f t="shared" si="66"/>
        <v>0</v>
      </c>
      <c r="BK160" s="307"/>
      <c r="BL160" s="307"/>
      <c r="BM160" s="445">
        <f t="shared" si="67"/>
        <v>0</v>
      </c>
      <c r="BN160" s="442"/>
      <c r="BO160" s="443"/>
      <c r="BP160" s="444">
        <f t="shared" si="68"/>
        <v>0</v>
      </c>
      <c r="BQ160" s="307"/>
      <c r="BR160" s="307"/>
      <c r="BS160" s="445">
        <f t="shared" si="69"/>
        <v>0</v>
      </c>
      <c r="BT160" s="442">
        <v>133</v>
      </c>
      <c r="BU160" s="443">
        <v>58665</v>
      </c>
      <c r="BV160" s="444">
        <f t="shared" si="70"/>
        <v>6383960.4989999998</v>
      </c>
      <c r="BW160" s="307">
        <v>132</v>
      </c>
      <c r="BX160" s="307">
        <v>58378</v>
      </c>
      <c r="BY160" s="449">
        <f t="shared" si="71"/>
        <v>6304964.1072000004</v>
      </c>
    </row>
    <row r="161" spans="1:77" s="308" customFormat="1" ht="12.75" customHeight="1">
      <c r="A161" s="338" t="s">
        <v>345</v>
      </c>
      <c r="B161" s="339" t="s">
        <v>660</v>
      </c>
      <c r="C161" s="339"/>
      <c r="D161" s="340">
        <v>140304</v>
      </c>
      <c r="E161" s="460">
        <v>12</v>
      </c>
      <c r="F161" s="453"/>
      <c r="G161" s="454"/>
      <c r="H161" s="439">
        <f t="shared" si="48"/>
        <v>0</v>
      </c>
      <c r="I161" s="311"/>
      <c r="J161" s="311"/>
      <c r="K161" s="441">
        <f t="shared" si="49"/>
        <v>0</v>
      </c>
      <c r="L161" s="442"/>
      <c r="M161" s="443"/>
      <c r="N161" s="444">
        <f t="shared" si="50"/>
        <v>0</v>
      </c>
      <c r="O161" s="307"/>
      <c r="P161" s="307"/>
      <c r="Q161" s="445">
        <f t="shared" si="51"/>
        <v>0</v>
      </c>
      <c r="R161" s="442"/>
      <c r="S161" s="443"/>
      <c r="T161" s="444">
        <f t="shared" si="52"/>
        <v>0</v>
      </c>
      <c r="U161" s="306"/>
      <c r="V161" s="306"/>
      <c r="W161" s="441">
        <f t="shared" si="53"/>
        <v>0</v>
      </c>
      <c r="X161" s="442"/>
      <c r="Y161" s="443"/>
      <c r="Z161" s="444">
        <f t="shared" si="54"/>
        <v>0</v>
      </c>
      <c r="AA161" s="307"/>
      <c r="AB161" s="307"/>
      <c r="AC161" s="445">
        <f t="shared" si="55"/>
        <v>0</v>
      </c>
      <c r="AD161" s="442"/>
      <c r="AE161" s="443"/>
      <c r="AF161" s="444">
        <f t="shared" si="56"/>
        <v>0</v>
      </c>
      <c r="AG161" s="307"/>
      <c r="AH161" s="307"/>
      <c r="AI161" s="445">
        <f t="shared" si="57"/>
        <v>0</v>
      </c>
      <c r="AJ161" s="446">
        <v>2</v>
      </c>
      <c r="AK161" s="443">
        <v>59661</v>
      </c>
      <c r="AL161" s="444">
        <f t="shared" si="58"/>
        <v>119322</v>
      </c>
      <c r="AM161" s="307">
        <v>1</v>
      </c>
      <c r="AN161" s="307">
        <v>50329</v>
      </c>
      <c r="AO161" s="447">
        <f t="shared" si="59"/>
        <v>50329</v>
      </c>
      <c r="AP161" s="448"/>
      <c r="AQ161" s="443"/>
      <c r="AR161" s="444">
        <f t="shared" si="60"/>
        <v>0</v>
      </c>
      <c r="AS161" s="307"/>
      <c r="AT161" s="307"/>
      <c r="AU161" s="441">
        <f t="shared" si="61"/>
        <v>0</v>
      </c>
      <c r="AV161" s="442"/>
      <c r="AW161" s="443"/>
      <c r="AX161" s="444">
        <f t="shared" si="62"/>
        <v>0</v>
      </c>
      <c r="AY161" s="307"/>
      <c r="AZ161" s="307"/>
      <c r="BA161" s="445">
        <f t="shared" si="63"/>
        <v>0</v>
      </c>
      <c r="BB161" s="442"/>
      <c r="BC161" s="443"/>
      <c r="BD161" s="444">
        <f t="shared" si="64"/>
        <v>0</v>
      </c>
      <c r="BE161" s="307"/>
      <c r="BF161" s="307"/>
      <c r="BG161" s="445">
        <f t="shared" si="65"/>
        <v>0</v>
      </c>
      <c r="BH161" s="442"/>
      <c r="BI161" s="443"/>
      <c r="BJ161" s="444">
        <f t="shared" si="66"/>
        <v>0</v>
      </c>
      <c r="BK161" s="307"/>
      <c r="BL161" s="307"/>
      <c r="BM161" s="445">
        <f t="shared" si="67"/>
        <v>0</v>
      </c>
      <c r="BN161" s="442"/>
      <c r="BO161" s="443"/>
      <c r="BP161" s="444">
        <f t="shared" si="68"/>
        <v>0</v>
      </c>
      <c r="BQ161" s="307"/>
      <c r="BR161" s="307"/>
      <c r="BS161" s="445">
        <f t="shared" si="69"/>
        <v>0</v>
      </c>
      <c r="BT161" s="442">
        <v>115</v>
      </c>
      <c r="BU161" s="443">
        <v>66322</v>
      </c>
      <c r="BV161" s="444">
        <f t="shared" si="70"/>
        <v>6240435.9460000005</v>
      </c>
      <c r="BW161" s="307">
        <v>120</v>
      </c>
      <c r="BX161" s="307">
        <v>67277</v>
      </c>
      <c r="BY161" s="449">
        <f t="shared" si="71"/>
        <v>6605524.9680000003</v>
      </c>
    </row>
    <row r="162" spans="1:77" s="308" customFormat="1" ht="12.75" customHeight="1">
      <c r="A162" s="338" t="s">
        <v>345</v>
      </c>
      <c r="B162" s="341" t="s">
        <v>661</v>
      </c>
      <c r="C162" s="341"/>
      <c r="D162" s="340">
        <v>140331</v>
      </c>
      <c r="E162" s="460">
        <v>12</v>
      </c>
      <c r="F162" s="453"/>
      <c r="G162" s="454"/>
      <c r="H162" s="439">
        <f t="shared" si="48"/>
        <v>0</v>
      </c>
      <c r="I162" s="311"/>
      <c r="J162" s="311"/>
      <c r="K162" s="441">
        <f t="shared" si="49"/>
        <v>0</v>
      </c>
      <c r="L162" s="442"/>
      <c r="M162" s="443"/>
      <c r="N162" s="444">
        <f t="shared" si="50"/>
        <v>0</v>
      </c>
      <c r="O162" s="307"/>
      <c r="P162" s="307"/>
      <c r="Q162" s="445">
        <f t="shared" si="51"/>
        <v>0</v>
      </c>
      <c r="R162" s="442"/>
      <c r="S162" s="443"/>
      <c r="T162" s="444">
        <f t="shared" si="52"/>
        <v>0</v>
      </c>
      <c r="U162" s="306"/>
      <c r="V162" s="306"/>
      <c r="W162" s="441">
        <f t="shared" si="53"/>
        <v>0</v>
      </c>
      <c r="X162" s="442"/>
      <c r="Y162" s="443"/>
      <c r="Z162" s="444">
        <f t="shared" si="54"/>
        <v>0</v>
      </c>
      <c r="AA162" s="307"/>
      <c r="AB162" s="307"/>
      <c r="AC162" s="445">
        <f t="shared" si="55"/>
        <v>0</v>
      </c>
      <c r="AD162" s="442"/>
      <c r="AE162" s="443"/>
      <c r="AF162" s="444">
        <f t="shared" si="56"/>
        <v>0</v>
      </c>
      <c r="AG162" s="307"/>
      <c r="AH162" s="307"/>
      <c r="AI162" s="445">
        <f t="shared" si="57"/>
        <v>0</v>
      </c>
      <c r="AJ162" s="446">
        <v>3</v>
      </c>
      <c r="AK162" s="443">
        <v>25756</v>
      </c>
      <c r="AL162" s="444">
        <f t="shared" si="58"/>
        <v>77268</v>
      </c>
      <c r="AM162" s="307">
        <v>1</v>
      </c>
      <c r="AN162" s="307">
        <v>30082</v>
      </c>
      <c r="AO162" s="447">
        <f t="shared" si="59"/>
        <v>30082</v>
      </c>
      <c r="AP162" s="448"/>
      <c r="AQ162" s="443"/>
      <c r="AR162" s="444">
        <f t="shared" si="60"/>
        <v>0</v>
      </c>
      <c r="AS162" s="307"/>
      <c r="AT162" s="307"/>
      <c r="AU162" s="441">
        <f t="shared" si="61"/>
        <v>0</v>
      </c>
      <c r="AV162" s="442"/>
      <c r="AW162" s="443"/>
      <c r="AX162" s="444">
        <f t="shared" si="62"/>
        <v>0</v>
      </c>
      <c r="AY162" s="307"/>
      <c r="AZ162" s="307"/>
      <c r="BA162" s="445">
        <f t="shared" si="63"/>
        <v>0</v>
      </c>
      <c r="BB162" s="442"/>
      <c r="BC162" s="443"/>
      <c r="BD162" s="444">
        <f t="shared" si="64"/>
        <v>0</v>
      </c>
      <c r="BE162" s="307"/>
      <c r="BF162" s="307"/>
      <c r="BG162" s="445">
        <f t="shared" si="65"/>
        <v>0</v>
      </c>
      <c r="BH162" s="442"/>
      <c r="BI162" s="443"/>
      <c r="BJ162" s="444">
        <f t="shared" si="66"/>
        <v>0</v>
      </c>
      <c r="BK162" s="307"/>
      <c r="BL162" s="307"/>
      <c r="BM162" s="445">
        <f t="shared" si="67"/>
        <v>0</v>
      </c>
      <c r="BN162" s="442"/>
      <c r="BO162" s="443"/>
      <c r="BP162" s="444">
        <f t="shared" si="68"/>
        <v>0</v>
      </c>
      <c r="BQ162" s="307"/>
      <c r="BR162" s="307"/>
      <c r="BS162" s="445">
        <f t="shared" si="69"/>
        <v>0</v>
      </c>
      <c r="BT162" s="442">
        <v>155</v>
      </c>
      <c r="BU162" s="443">
        <v>56378</v>
      </c>
      <c r="BV162" s="444">
        <f t="shared" si="70"/>
        <v>7149914.3380000005</v>
      </c>
      <c r="BW162" s="307">
        <v>174</v>
      </c>
      <c r="BX162" s="307">
        <v>58167</v>
      </c>
      <c r="BY162" s="449">
        <f t="shared" si="71"/>
        <v>8281049.6556000002</v>
      </c>
    </row>
    <row r="163" spans="1:77" s="308" customFormat="1" ht="12.75" customHeight="1">
      <c r="A163" s="342" t="s">
        <v>345</v>
      </c>
      <c r="B163" s="339" t="s">
        <v>662</v>
      </c>
      <c r="C163" s="339"/>
      <c r="D163" s="340">
        <v>139357</v>
      </c>
      <c r="E163" s="460">
        <v>12</v>
      </c>
      <c r="F163" s="453"/>
      <c r="G163" s="454"/>
      <c r="H163" s="439">
        <f t="shared" si="48"/>
        <v>0</v>
      </c>
      <c r="I163" s="311"/>
      <c r="J163" s="311"/>
      <c r="K163" s="441">
        <f t="shared" si="49"/>
        <v>0</v>
      </c>
      <c r="L163" s="442"/>
      <c r="M163" s="443"/>
      <c r="N163" s="444">
        <f t="shared" si="50"/>
        <v>0</v>
      </c>
      <c r="O163" s="307"/>
      <c r="P163" s="307"/>
      <c r="Q163" s="445">
        <f t="shared" si="51"/>
        <v>0</v>
      </c>
      <c r="R163" s="442"/>
      <c r="S163" s="443"/>
      <c r="T163" s="444">
        <f t="shared" si="52"/>
        <v>0</v>
      </c>
      <c r="U163" s="306"/>
      <c r="V163" s="306"/>
      <c r="W163" s="441">
        <f t="shared" si="53"/>
        <v>0</v>
      </c>
      <c r="X163" s="442"/>
      <c r="Y163" s="443"/>
      <c r="Z163" s="444">
        <f t="shared" si="54"/>
        <v>0</v>
      </c>
      <c r="AA163" s="307"/>
      <c r="AB163" s="307"/>
      <c r="AC163" s="445">
        <f t="shared" si="55"/>
        <v>0</v>
      </c>
      <c r="AD163" s="442"/>
      <c r="AE163" s="443"/>
      <c r="AF163" s="444">
        <f t="shared" si="56"/>
        <v>0</v>
      </c>
      <c r="AG163" s="307"/>
      <c r="AH163" s="307"/>
      <c r="AI163" s="445">
        <f t="shared" si="57"/>
        <v>0</v>
      </c>
      <c r="AJ163" s="446"/>
      <c r="AK163" s="443"/>
      <c r="AL163" s="444">
        <f t="shared" si="58"/>
        <v>0</v>
      </c>
      <c r="AM163" s="307"/>
      <c r="AN163" s="307"/>
      <c r="AO163" s="447">
        <f t="shared" si="59"/>
        <v>0</v>
      </c>
      <c r="AP163" s="448"/>
      <c r="AQ163" s="443"/>
      <c r="AR163" s="444">
        <f t="shared" si="60"/>
        <v>0</v>
      </c>
      <c r="AS163" s="307"/>
      <c r="AT163" s="307"/>
      <c r="AU163" s="441">
        <f t="shared" si="61"/>
        <v>0</v>
      </c>
      <c r="AV163" s="442"/>
      <c r="AW163" s="443"/>
      <c r="AX163" s="444">
        <f t="shared" si="62"/>
        <v>0</v>
      </c>
      <c r="AY163" s="307"/>
      <c r="AZ163" s="307"/>
      <c r="BA163" s="445">
        <f t="shared" si="63"/>
        <v>0</v>
      </c>
      <c r="BB163" s="442"/>
      <c r="BC163" s="443"/>
      <c r="BD163" s="444">
        <f t="shared" si="64"/>
        <v>0</v>
      </c>
      <c r="BE163" s="307"/>
      <c r="BF163" s="307"/>
      <c r="BG163" s="445">
        <f t="shared" si="65"/>
        <v>0</v>
      </c>
      <c r="BH163" s="442"/>
      <c r="BI163" s="443"/>
      <c r="BJ163" s="444">
        <f t="shared" si="66"/>
        <v>0</v>
      </c>
      <c r="BK163" s="307"/>
      <c r="BL163" s="307"/>
      <c r="BM163" s="445">
        <f t="shared" si="67"/>
        <v>0</v>
      </c>
      <c r="BN163" s="442"/>
      <c r="BO163" s="443"/>
      <c r="BP163" s="444">
        <f t="shared" si="68"/>
        <v>0</v>
      </c>
      <c r="BQ163" s="307"/>
      <c r="BR163" s="307"/>
      <c r="BS163" s="445">
        <f t="shared" si="69"/>
        <v>0</v>
      </c>
      <c r="BT163" s="442">
        <v>74</v>
      </c>
      <c r="BU163" s="443">
        <v>54474</v>
      </c>
      <c r="BV163" s="444">
        <f t="shared" si="70"/>
        <v>3298226.3832</v>
      </c>
      <c r="BW163" s="307">
        <v>72</v>
      </c>
      <c r="BX163" s="307">
        <v>52964</v>
      </c>
      <c r="BY163" s="449">
        <f t="shared" si="71"/>
        <v>3120130.4256000002</v>
      </c>
    </row>
    <row r="164" spans="1:77" s="308" customFormat="1" ht="12.75" customHeight="1">
      <c r="A164" s="342" t="s">
        <v>345</v>
      </c>
      <c r="B164" s="339" t="s">
        <v>663</v>
      </c>
      <c r="C164" s="339"/>
      <c r="D164" s="340">
        <v>244446</v>
      </c>
      <c r="E164" s="460">
        <v>12</v>
      </c>
      <c r="F164" s="453"/>
      <c r="G164" s="454"/>
      <c r="H164" s="439">
        <f t="shared" si="48"/>
        <v>0</v>
      </c>
      <c r="I164" s="311"/>
      <c r="J164" s="311"/>
      <c r="K164" s="441">
        <f t="shared" si="49"/>
        <v>0</v>
      </c>
      <c r="L164" s="442"/>
      <c r="M164" s="443"/>
      <c r="N164" s="444">
        <f t="shared" si="50"/>
        <v>0</v>
      </c>
      <c r="O164" s="307"/>
      <c r="P164" s="307"/>
      <c r="Q164" s="445">
        <f t="shared" si="51"/>
        <v>0</v>
      </c>
      <c r="R164" s="442"/>
      <c r="S164" s="443"/>
      <c r="T164" s="444">
        <f t="shared" si="52"/>
        <v>0</v>
      </c>
      <c r="U164" s="306"/>
      <c r="V164" s="306"/>
      <c r="W164" s="441">
        <f t="shared" si="53"/>
        <v>0</v>
      </c>
      <c r="X164" s="442"/>
      <c r="Y164" s="443"/>
      <c r="Z164" s="444">
        <f t="shared" si="54"/>
        <v>0</v>
      </c>
      <c r="AA164" s="307"/>
      <c r="AB164" s="307"/>
      <c r="AC164" s="445">
        <f t="shared" si="55"/>
        <v>0</v>
      </c>
      <c r="AD164" s="442"/>
      <c r="AE164" s="443"/>
      <c r="AF164" s="444">
        <f t="shared" si="56"/>
        <v>0</v>
      </c>
      <c r="AG164" s="307"/>
      <c r="AH164" s="307"/>
      <c r="AI164" s="445">
        <f t="shared" si="57"/>
        <v>0</v>
      </c>
      <c r="AJ164" s="446"/>
      <c r="AK164" s="443"/>
      <c r="AL164" s="444">
        <f t="shared" si="58"/>
        <v>0</v>
      </c>
      <c r="AM164" s="307"/>
      <c r="AN164" s="307"/>
      <c r="AO164" s="447">
        <f t="shared" si="59"/>
        <v>0</v>
      </c>
      <c r="AP164" s="448"/>
      <c r="AQ164" s="443"/>
      <c r="AR164" s="444">
        <f t="shared" si="60"/>
        <v>0</v>
      </c>
      <c r="AS164" s="307"/>
      <c r="AT164" s="307"/>
      <c r="AU164" s="441">
        <f t="shared" si="61"/>
        <v>0</v>
      </c>
      <c r="AV164" s="442"/>
      <c r="AW164" s="443"/>
      <c r="AX164" s="444">
        <f t="shared" si="62"/>
        <v>0</v>
      </c>
      <c r="AY164" s="307"/>
      <c r="AZ164" s="307"/>
      <c r="BA164" s="445">
        <f t="shared" si="63"/>
        <v>0</v>
      </c>
      <c r="BB164" s="442"/>
      <c r="BC164" s="443"/>
      <c r="BD164" s="444">
        <f t="shared" si="64"/>
        <v>0</v>
      </c>
      <c r="BE164" s="307"/>
      <c r="BF164" s="307"/>
      <c r="BG164" s="445">
        <f t="shared" si="65"/>
        <v>0</v>
      </c>
      <c r="BH164" s="442"/>
      <c r="BI164" s="443"/>
      <c r="BJ164" s="444">
        <f t="shared" si="66"/>
        <v>0</v>
      </c>
      <c r="BK164" s="307"/>
      <c r="BL164" s="307"/>
      <c r="BM164" s="445">
        <f t="shared" si="67"/>
        <v>0</v>
      </c>
      <c r="BN164" s="442"/>
      <c r="BO164" s="443"/>
      <c r="BP164" s="444">
        <f t="shared" si="68"/>
        <v>0</v>
      </c>
      <c r="BQ164" s="307"/>
      <c r="BR164" s="307"/>
      <c r="BS164" s="445">
        <f t="shared" si="69"/>
        <v>0</v>
      </c>
      <c r="BT164" s="442">
        <v>89</v>
      </c>
      <c r="BU164" s="443">
        <v>60671</v>
      </c>
      <c r="BV164" s="444">
        <f t="shared" si="70"/>
        <v>4418050.0858000005</v>
      </c>
      <c r="BW164" s="307">
        <v>82</v>
      </c>
      <c r="BX164" s="307">
        <v>61144</v>
      </c>
      <c r="BY164" s="449">
        <f t="shared" si="71"/>
        <v>4102297.7056</v>
      </c>
    </row>
    <row r="165" spans="1:77" s="308" customFormat="1" ht="12.75" customHeight="1">
      <c r="A165" s="342" t="s">
        <v>345</v>
      </c>
      <c r="B165" s="341" t="s">
        <v>754</v>
      </c>
      <c r="C165" s="341"/>
      <c r="D165" s="340">
        <v>139384</v>
      </c>
      <c r="E165" s="460">
        <v>12</v>
      </c>
      <c r="F165" s="453"/>
      <c r="G165" s="454"/>
      <c r="H165" s="439">
        <f t="shared" si="48"/>
        <v>0</v>
      </c>
      <c r="I165" s="311"/>
      <c r="J165" s="311"/>
      <c r="K165" s="441">
        <f t="shared" si="49"/>
        <v>0</v>
      </c>
      <c r="L165" s="442"/>
      <c r="M165" s="443"/>
      <c r="N165" s="444">
        <f t="shared" si="50"/>
        <v>0</v>
      </c>
      <c r="O165" s="307"/>
      <c r="P165" s="307"/>
      <c r="Q165" s="445">
        <f t="shared" si="51"/>
        <v>0</v>
      </c>
      <c r="R165" s="442"/>
      <c r="S165" s="443"/>
      <c r="T165" s="444">
        <f t="shared" si="52"/>
        <v>0</v>
      </c>
      <c r="U165" s="306"/>
      <c r="V165" s="306"/>
      <c r="W165" s="441">
        <f t="shared" si="53"/>
        <v>0</v>
      </c>
      <c r="X165" s="442"/>
      <c r="Y165" s="443"/>
      <c r="Z165" s="444">
        <f t="shared" si="54"/>
        <v>0</v>
      </c>
      <c r="AA165" s="307"/>
      <c r="AB165" s="307"/>
      <c r="AC165" s="445">
        <f t="shared" si="55"/>
        <v>0</v>
      </c>
      <c r="AD165" s="442"/>
      <c r="AE165" s="443"/>
      <c r="AF165" s="444">
        <f t="shared" si="56"/>
        <v>0</v>
      </c>
      <c r="AG165" s="307"/>
      <c r="AH165" s="307"/>
      <c r="AI165" s="445">
        <f t="shared" si="57"/>
        <v>0</v>
      </c>
      <c r="AJ165" s="446">
        <v>6</v>
      </c>
      <c r="AK165" s="443">
        <v>59692</v>
      </c>
      <c r="AL165" s="444">
        <f t="shared" si="58"/>
        <v>358152</v>
      </c>
      <c r="AM165" s="307">
        <v>6</v>
      </c>
      <c r="AN165" s="307">
        <v>59692</v>
      </c>
      <c r="AO165" s="447">
        <f t="shared" si="59"/>
        <v>358152</v>
      </c>
      <c r="AP165" s="448"/>
      <c r="AQ165" s="443"/>
      <c r="AR165" s="444">
        <f t="shared" si="60"/>
        <v>0</v>
      </c>
      <c r="AS165" s="307"/>
      <c r="AT165" s="307"/>
      <c r="AU165" s="441">
        <f t="shared" si="61"/>
        <v>0</v>
      </c>
      <c r="AV165" s="442"/>
      <c r="AW165" s="443"/>
      <c r="AX165" s="444">
        <f t="shared" si="62"/>
        <v>0</v>
      </c>
      <c r="AY165" s="307"/>
      <c r="AZ165" s="307"/>
      <c r="BA165" s="445">
        <f t="shared" si="63"/>
        <v>0</v>
      </c>
      <c r="BB165" s="442"/>
      <c r="BC165" s="443"/>
      <c r="BD165" s="444">
        <f t="shared" si="64"/>
        <v>0</v>
      </c>
      <c r="BE165" s="307"/>
      <c r="BF165" s="307"/>
      <c r="BG165" s="445">
        <f t="shared" si="65"/>
        <v>0</v>
      </c>
      <c r="BH165" s="442"/>
      <c r="BI165" s="443"/>
      <c r="BJ165" s="444">
        <f t="shared" si="66"/>
        <v>0</v>
      </c>
      <c r="BK165" s="307"/>
      <c r="BL165" s="307"/>
      <c r="BM165" s="445">
        <f t="shared" si="67"/>
        <v>0</v>
      </c>
      <c r="BN165" s="442"/>
      <c r="BO165" s="443"/>
      <c r="BP165" s="444">
        <f t="shared" si="68"/>
        <v>0</v>
      </c>
      <c r="BQ165" s="307"/>
      <c r="BR165" s="307"/>
      <c r="BS165" s="445">
        <f t="shared" si="69"/>
        <v>0</v>
      </c>
      <c r="BT165" s="442">
        <v>7</v>
      </c>
      <c r="BU165" s="443">
        <v>58586.571428571428</v>
      </c>
      <c r="BV165" s="444">
        <f t="shared" si="70"/>
        <v>335548.7292</v>
      </c>
      <c r="BW165" s="307">
        <v>117</v>
      </c>
      <c r="BX165" s="307">
        <v>58519</v>
      </c>
      <c r="BY165" s="449">
        <f t="shared" si="71"/>
        <v>5601988.7586000003</v>
      </c>
    </row>
    <row r="166" spans="1:77" s="308" customFormat="1" ht="12.75" customHeight="1">
      <c r="A166" s="342" t="s">
        <v>345</v>
      </c>
      <c r="B166" s="339" t="s">
        <v>664</v>
      </c>
      <c r="C166" s="339"/>
      <c r="D166" s="340">
        <v>140012</v>
      </c>
      <c r="E166" s="460">
        <v>12</v>
      </c>
      <c r="F166" s="453"/>
      <c r="G166" s="454"/>
      <c r="H166" s="439">
        <f t="shared" si="48"/>
        <v>0</v>
      </c>
      <c r="I166" s="311"/>
      <c r="J166" s="311"/>
      <c r="K166" s="441">
        <f t="shared" si="49"/>
        <v>0</v>
      </c>
      <c r="L166" s="442"/>
      <c r="M166" s="443"/>
      <c r="N166" s="444">
        <f t="shared" si="50"/>
        <v>0</v>
      </c>
      <c r="O166" s="307"/>
      <c r="P166" s="307"/>
      <c r="Q166" s="445">
        <f t="shared" si="51"/>
        <v>0</v>
      </c>
      <c r="R166" s="442"/>
      <c r="S166" s="443"/>
      <c r="T166" s="444">
        <f t="shared" si="52"/>
        <v>0</v>
      </c>
      <c r="U166" s="306"/>
      <c r="V166" s="306"/>
      <c r="W166" s="441">
        <f t="shared" si="53"/>
        <v>0</v>
      </c>
      <c r="X166" s="442"/>
      <c r="Y166" s="443"/>
      <c r="Z166" s="444">
        <f t="shared" si="54"/>
        <v>0</v>
      </c>
      <c r="AA166" s="307"/>
      <c r="AB166" s="307"/>
      <c r="AC166" s="445">
        <f t="shared" si="55"/>
        <v>0</v>
      </c>
      <c r="AD166" s="442"/>
      <c r="AE166" s="443"/>
      <c r="AF166" s="444">
        <f t="shared" si="56"/>
        <v>0</v>
      </c>
      <c r="AG166" s="307"/>
      <c r="AH166" s="307"/>
      <c r="AI166" s="445">
        <f t="shared" si="57"/>
        <v>0</v>
      </c>
      <c r="AJ166" s="446"/>
      <c r="AK166" s="443"/>
      <c r="AL166" s="444">
        <f t="shared" si="58"/>
        <v>0</v>
      </c>
      <c r="AM166" s="307"/>
      <c r="AN166" s="307"/>
      <c r="AO166" s="447">
        <f t="shared" si="59"/>
        <v>0</v>
      </c>
      <c r="AP166" s="448"/>
      <c r="AQ166" s="443"/>
      <c r="AR166" s="444">
        <f t="shared" si="60"/>
        <v>0</v>
      </c>
      <c r="AS166" s="307"/>
      <c r="AT166" s="307"/>
      <c r="AU166" s="441">
        <f t="shared" si="61"/>
        <v>0</v>
      </c>
      <c r="AV166" s="442"/>
      <c r="AW166" s="443"/>
      <c r="AX166" s="444">
        <f t="shared" si="62"/>
        <v>0</v>
      </c>
      <c r="AY166" s="307"/>
      <c r="AZ166" s="307"/>
      <c r="BA166" s="445">
        <f t="shared" si="63"/>
        <v>0</v>
      </c>
      <c r="BB166" s="442"/>
      <c r="BC166" s="443"/>
      <c r="BD166" s="444">
        <f t="shared" si="64"/>
        <v>0</v>
      </c>
      <c r="BE166" s="307"/>
      <c r="BF166" s="307"/>
      <c r="BG166" s="445">
        <f t="shared" si="65"/>
        <v>0</v>
      </c>
      <c r="BH166" s="442"/>
      <c r="BI166" s="443"/>
      <c r="BJ166" s="444">
        <f t="shared" si="66"/>
        <v>0</v>
      </c>
      <c r="BK166" s="307"/>
      <c r="BL166" s="307"/>
      <c r="BM166" s="445">
        <f t="shared" si="67"/>
        <v>0</v>
      </c>
      <c r="BN166" s="442"/>
      <c r="BO166" s="443"/>
      <c r="BP166" s="444">
        <f t="shared" si="68"/>
        <v>0</v>
      </c>
      <c r="BQ166" s="307"/>
      <c r="BR166" s="307"/>
      <c r="BS166" s="445">
        <f t="shared" si="69"/>
        <v>0</v>
      </c>
      <c r="BT166" s="442">
        <v>85</v>
      </c>
      <c r="BU166" s="443">
        <v>68667</v>
      </c>
      <c r="BV166" s="444">
        <f t="shared" si="70"/>
        <v>4775583.8490000004</v>
      </c>
      <c r="BW166" s="307">
        <v>91</v>
      </c>
      <c r="BX166" s="307">
        <v>67471</v>
      </c>
      <c r="BY166" s="449">
        <f t="shared" si="71"/>
        <v>5023634.2702000001</v>
      </c>
    </row>
    <row r="167" spans="1:77" s="308" customFormat="1" ht="12.75" customHeight="1">
      <c r="A167" s="338" t="s">
        <v>345</v>
      </c>
      <c r="B167" s="339" t="s">
        <v>665</v>
      </c>
      <c r="C167" s="339"/>
      <c r="D167" s="340">
        <v>140076</v>
      </c>
      <c r="E167" s="460">
        <v>12</v>
      </c>
      <c r="F167" s="453"/>
      <c r="G167" s="454"/>
      <c r="H167" s="439">
        <f t="shared" si="48"/>
        <v>0</v>
      </c>
      <c r="I167" s="311"/>
      <c r="J167" s="311"/>
      <c r="K167" s="441">
        <f t="shared" si="49"/>
        <v>0</v>
      </c>
      <c r="L167" s="442"/>
      <c r="M167" s="443"/>
      <c r="N167" s="444">
        <f t="shared" si="50"/>
        <v>0</v>
      </c>
      <c r="O167" s="307"/>
      <c r="P167" s="307"/>
      <c r="Q167" s="445">
        <f t="shared" si="51"/>
        <v>0</v>
      </c>
      <c r="R167" s="442"/>
      <c r="S167" s="443"/>
      <c r="T167" s="444">
        <f t="shared" si="52"/>
        <v>0</v>
      </c>
      <c r="U167" s="306"/>
      <c r="V167" s="306"/>
      <c r="W167" s="441">
        <f t="shared" si="53"/>
        <v>0</v>
      </c>
      <c r="X167" s="442"/>
      <c r="Y167" s="443"/>
      <c r="Z167" s="444">
        <f t="shared" si="54"/>
        <v>0</v>
      </c>
      <c r="AA167" s="307"/>
      <c r="AB167" s="307"/>
      <c r="AC167" s="445">
        <f t="shared" si="55"/>
        <v>0</v>
      </c>
      <c r="AD167" s="442"/>
      <c r="AE167" s="443"/>
      <c r="AF167" s="444">
        <f t="shared" si="56"/>
        <v>0</v>
      </c>
      <c r="AG167" s="307"/>
      <c r="AH167" s="307"/>
      <c r="AI167" s="445">
        <f t="shared" si="57"/>
        <v>0</v>
      </c>
      <c r="AJ167" s="446"/>
      <c r="AK167" s="443"/>
      <c r="AL167" s="444">
        <f t="shared" si="58"/>
        <v>0</v>
      </c>
      <c r="AM167" s="307"/>
      <c r="AN167" s="307"/>
      <c r="AO167" s="447">
        <f t="shared" si="59"/>
        <v>0</v>
      </c>
      <c r="AP167" s="448"/>
      <c r="AQ167" s="443"/>
      <c r="AR167" s="444">
        <f t="shared" si="60"/>
        <v>0</v>
      </c>
      <c r="AS167" s="307"/>
      <c r="AT167" s="307"/>
      <c r="AU167" s="441">
        <f t="shared" si="61"/>
        <v>0</v>
      </c>
      <c r="AV167" s="442"/>
      <c r="AW167" s="443"/>
      <c r="AX167" s="444">
        <f t="shared" si="62"/>
        <v>0</v>
      </c>
      <c r="AY167" s="307"/>
      <c r="AZ167" s="307"/>
      <c r="BA167" s="445">
        <f t="shared" si="63"/>
        <v>0</v>
      </c>
      <c r="BB167" s="442"/>
      <c r="BC167" s="443"/>
      <c r="BD167" s="444">
        <f t="shared" si="64"/>
        <v>0</v>
      </c>
      <c r="BE167" s="307"/>
      <c r="BF167" s="307"/>
      <c r="BG167" s="445">
        <f t="shared" si="65"/>
        <v>0</v>
      </c>
      <c r="BH167" s="442"/>
      <c r="BI167" s="443"/>
      <c r="BJ167" s="444">
        <f t="shared" si="66"/>
        <v>0</v>
      </c>
      <c r="BK167" s="307"/>
      <c r="BL167" s="307"/>
      <c r="BM167" s="445">
        <f t="shared" si="67"/>
        <v>0</v>
      </c>
      <c r="BN167" s="442"/>
      <c r="BO167" s="443"/>
      <c r="BP167" s="444">
        <f t="shared" si="68"/>
        <v>0</v>
      </c>
      <c r="BQ167" s="307"/>
      <c r="BR167" s="307"/>
      <c r="BS167" s="445">
        <f t="shared" si="69"/>
        <v>0</v>
      </c>
      <c r="BT167" s="442">
        <v>44</v>
      </c>
      <c r="BU167" s="443">
        <v>55120</v>
      </c>
      <c r="BV167" s="444">
        <f t="shared" si="70"/>
        <v>1984364.0960000001</v>
      </c>
      <c r="BW167" s="307">
        <v>46</v>
      </c>
      <c r="BX167" s="307">
        <v>53837</v>
      </c>
      <c r="BY167" s="449">
        <f t="shared" si="71"/>
        <v>2026273.9364</v>
      </c>
    </row>
    <row r="168" spans="1:77" s="308" customFormat="1" ht="12.75" customHeight="1">
      <c r="A168" s="338" t="s">
        <v>345</v>
      </c>
      <c r="B168" s="339" t="s">
        <v>666</v>
      </c>
      <c r="C168" s="339"/>
      <c r="D168" s="340">
        <v>140243</v>
      </c>
      <c r="E168" s="460">
        <v>12</v>
      </c>
      <c r="F168" s="453"/>
      <c r="G168" s="454"/>
      <c r="H168" s="439">
        <f t="shared" si="48"/>
        <v>0</v>
      </c>
      <c r="I168" s="311"/>
      <c r="J168" s="311"/>
      <c r="K168" s="441">
        <f t="shared" si="49"/>
        <v>0</v>
      </c>
      <c r="L168" s="442"/>
      <c r="M168" s="443"/>
      <c r="N168" s="444">
        <f t="shared" si="50"/>
        <v>0</v>
      </c>
      <c r="O168" s="307"/>
      <c r="P168" s="307"/>
      <c r="Q168" s="445">
        <f t="shared" si="51"/>
        <v>0</v>
      </c>
      <c r="R168" s="442"/>
      <c r="S168" s="443"/>
      <c r="T168" s="444">
        <f t="shared" si="52"/>
        <v>0</v>
      </c>
      <c r="U168" s="306"/>
      <c r="V168" s="306"/>
      <c r="W168" s="441">
        <f t="shared" si="53"/>
        <v>0</v>
      </c>
      <c r="X168" s="442"/>
      <c r="Y168" s="443"/>
      <c r="Z168" s="444">
        <f t="shared" si="54"/>
        <v>0</v>
      </c>
      <c r="AA168" s="307"/>
      <c r="AB168" s="307"/>
      <c r="AC168" s="445">
        <f t="shared" si="55"/>
        <v>0</v>
      </c>
      <c r="AD168" s="442"/>
      <c r="AE168" s="443"/>
      <c r="AF168" s="444">
        <f t="shared" si="56"/>
        <v>0</v>
      </c>
      <c r="AG168" s="307"/>
      <c r="AH168" s="307"/>
      <c r="AI168" s="445">
        <f t="shared" si="57"/>
        <v>0</v>
      </c>
      <c r="AJ168" s="446">
        <v>1</v>
      </c>
      <c r="AK168" s="443">
        <v>43074</v>
      </c>
      <c r="AL168" s="444">
        <f t="shared" si="58"/>
        <v>43074</v>
      </c>
      <c r="AM168" s="307">
        <v>1</v>
      </c>
      <c r="AN168" s="307">
        <v>43074</v>
      </c>
      <c r="AO168" s="447">
        <f t="shared" si="59"/>
        <v>43074</v>
      </c>
      <c r="AP168" s="448"/>
      <c r="AQ168" s="443"/>
      <c r="AR168" s="444">
        <f t="shared" si="60"/>
        <v>0</v>
      </c>
      <c r="AS168" s="307"/>
      <c r="AT168" s="307"/>
      <c r="AU168" s="441">
        <f t="shared" si="61"/>
        <v>0</v>
      </c>
      <c r="AV168" s="442"/>
      <c r="AW168" s="443"/>
      <c r="AX168" s="444">
        <f t="shared" si="62"/>
        <v>0</v>
      </c>
      <c r="AY168" s="307"/>
      <c r="AZ168" s="307"/>
      <c r="BA168" s="445">
        <f t="shared" si="63"/>
        <v>0</v>
      </c>
      <c r="BB168" s="442"/>
      <c r="BC168" s="443"/>
      <c r="BD168" s="444">
        <f t="shared" si="64"/>
        <v>0</v>
      </c>
      <c r="BE168" s="307"/>
      <c r="BF168" s="307"/>
      <c r="BG168" s="445">
        <f t="shared" si="65"/>
        <v>0</v>
      </c>
      <c r="BH168" s="442"/>
      <c r="BI168" s="443"/>
      <c r="BJ168" s="444">
        <f t="shared" si="66"/>
        <v>0</v>
      </c>
      <c r="BK168" s="307"/>
      <c r="BL168" s="307"/>
      <c r="BM168" s="445">
        <f t="shared" si="67"/>
        <v>0</v>
      </c>
      <c r="BN168" s="442"/>
      <c r="BO168" s="443"/>
      <c r="BP168" s="444">
        <f t="shared" si="68"/>
        <v>0</v>
      </c>
      <c r="BQ168" s="307"/>
      <c r="BR168" s="307"/>
      <c r="BS168" s="445">
        <f t="shared" si="69"/>
        <v>0</v>
      </c>
      <c r="BT168" s="442">
        <v>74</v>
      </c>
      <c r="BU168" s="443">
        <v>55314</v>
      </c>
      <c r="BV168" s="444">
        <f t="shared" si="70"/>
        <v>3349085.6952</v>
      </c>
      <c r="BW168" s="307">
        <v>78</v>
      </c>
      <c r="BX168" s="307">
        <v>55886</v>
      </c>
      <c r="BY168" s="449">
        <f t="shared" si="71"/>
        <v>3566622.1655999999</v>
      </c>
    </row>
    <row r="169" spans="1:77" s="308" customFormat="1" ht="12.75" customHeight="1">
      <c r="A169" s="338" t="s">
        <v>345</v>
      </c>
      <c r="B169" s="339" t="s">
        <v>667</v>
      </c>
      <c r="C169" s="339"/>
      <c r="D169" s="340">
        <v>140085</v>
      </c>
      <c r="E169" s="460">
        <v>12</v>
      </c>
      <c r="F169" s="453"/>
      <c r="G169" s="454"/>
      <c r="H169" s="439">
        <f t="shared" si="48"/>
        <v>0</v>
      </c>
      <c r="I169" s="311"/>
      <c r="J169" s="311"/>
      <c r="K169" s="441">
        <f t="shared" si="49"/>
        <v>0</v>
      </c>
      <c r="L169" s="442"/>
      <c r="M169" s="443"/>
      <c r="N169" s="444">
        <f t="shared" si="50"/>
        <v>0</v>
      </c>
      <c r="O169" s="307"/>
      <c r="P169" s="307"/>
      <c r="Q169" s="445">
        <f t="shared" si="51"/>
        <v>0</v>
      </c>
      <c r="R169" s="442"/>
      <c r="S169" s="443"/>
      <c r="T169" s="444">
        <f t="shared" si="52"/>
        <v>0</v>
      </c>
      <c r="U169" s="306"/>
      <c r="V169" s="306"/>
      <c r="W169" s="441">
        <f t="shared" si="53"/>
        <v>0</v>
      </c>
      <c r="X169" s="442"/>
      <c r="Y169" s="443"/>
      <c r="Z169" s="444">
        <f t="shared" si="54"/>
        <v>0</v>
      </c>
      <c r="AA169" s="307"/>
      <c r="AB169" s="307"/>
      <c r="AC169" s="445">
        <f t="shared" si="55"/>
        <v>0</v>
      </c>
      <c r="AD169" s="442"/>
      <c r="AE169" s="443"/>
      <c r="AF169" s="444">
        <f t="shared" si="56"/>
        <v>0</v>
      </c>
      <c r="AG169" s="307"/>
      <c r="AH169" s="307"/>
      <c r="AI169" s="445">
        <f t="shared" si="57"/>
        <v>0</v>
      </c>
      <c r="AJ169" s="446"/>
      <c r="AK169" s="443"/>
      <c r="AL169" s="444">
        <f t="shared" si="58"/>
        <v>0</v>
      </c>
      <c r="AM169" s="307"/>
      <c r="AN169" s="307"/>
      <c r="AO169" s="447">
        <f t="shared" si="59"/>
        <v>0</v>
      </c>
      <c r="AP169" s="448"/>
      <c r="AQ169" s="443"/>
      <c r="AR169" s="444">
        <f t="shared" si="60"/>
        <v>0</v>
      </c>
      <c r="AS169" s="307"/>
      <c r="AT169" s="307"/>
      <c r="AU169" s="441">
        <f t="shared" si="61"/>
        <v>0</v>
      </c>
      <c r="AV169" s="442"/>
      <c r="AW169" s="443"/>
      <c r="AX169" s="444">
        <f t="shared" si="62"/>
        <v>0</v>
      </c>
      <c r="AY169" s="307"/>
      <c r="AZ169" s="307"/>
      <c r="BA169" s="445">
        <f t="shared" si="63"/>
        <v>0</v>
      </c>
      <c r="BB169" s="442"/>
      <c r="BC169" s="443"/>
      <c r="BD169" s="444">
        <f t="shared" si="64"/>
        <v>0</v>
      </c>
      <c r="BE169" s="307"/>
      <c r="BF169" s="307"/>
      <c r="BG169" s="445">
        <f t="shared" si="65"/>
        <v>0</v>
      </c>
      <c r="BH169" s="442"/>
      <c r="BI169" s="443"/>
      <c r="BJ169" s="444">
        <f t="shared" si="66"/>
        <v>0</v>
      </c>
      <c r="BK169" s="307"/>
      <c r="BL169" s="307"/>
      <c r="BM169" s="445">
        <f t="shared" si="67"/>
        <v>0</v>
      </c>
      <c r="BN169" s="442"/>
      <c r="BO169" s="443"/>
      <c r="BP169" s="444">
        <f t="shared" si="68"/>
        <v>0</v>
      </c>
      <c r="BQ169" s="307"/>
      <c r="BR169" s="307"/>
      <c r="BS169" s="445">
        <f t="shared" si="69"/>
        <v>0</v>
      </c>
      <c r="BT169" s="442">
        <v>112</v>
      </c>
      <c r="BU169" s="443">
        <v>48572</v>
      </c>
      <c r="BV169" s="444">
        <f t="shared" si="70"/>
        <v>4451060.3648000006</v>
      </c>
      <c r="BW169" s="307">
        <v>100</v>
      </c>
      <c r="BX169" s="307">
        <v>50130</v>
      </c>
      <c r="BY169" s="449">
        <f t="shared" si="71"/>
        <v>4101636.6</v>
      </c>
    </row>
    <row r="170" spans="1:77" s="308" customFormat="1" ht="12.75" customHeight="1">
      <c r="A170" s="338" t="s">
        <v>345</v>
      </c>
      <c r="B170" s="339" t="s">
        <v>668</v>
      </c>
      <c r="C170" s="339"/>
      <c r="D170" s="340">
        <v>140599</v>
      </c>
      <c r="E170" s="460">
        <v>12</v>
      </c>
      <c r="F170" s="453"/>
      <c r="G170" s="454"/>
      <c r="H170" s="439">
        <f t="shared" si="48"/>
        <v>0</v>
      </c>
      <c r="I170" s="311"/>
      <c r="J170" s="311"/>
      <c r="K170" s="441">
        <f t="shared" si="49"/>
        <v>0</v>
      </c>
      <c r="L170" s="442"/>
      <c r="M170" s="443"/>
      <c r="N170" s="444">
        <f t="shared" si="50"/>
        <v>0</v>
      </c>
      <c r="O170" s="307"/>
      <c r="P170" s="307"/>
      <c r="Q170" s="445">
        <f t="shared" si="51"/>
        <v>0</v>
      </c>
      <c r="R170" s="442"/>
      <c r="S170" s="443"/>
      <c r="T170" s="444">
        <f t="shared" si="52"/>
        <v>0</v>
      </c>
      <c r="U170" s="306"/>
      <c r="V170" s="306"/>
      <c r="W170" s="441">
        <f t="shared" si="53"/>
        <v>0</v>
      </c>
      <c r="X170" s="442"/>
      <c r="Y170" s="443"/>
      <c r="Z170" s="444">
        <f t="shared" si="54"/>
        <v>0</v>
      </c>
      <c r="AA170" s="307"/>
      <c r="AB170" s="307"/>
      <c r="AC170" s="445">
        <f t="shared" si="55"/>
        <v>0</v>
      </c>
      <c r="AD170" s="442"/>
      <c r="AE170" s="443"/>
      <c r="AF170" s="444">
        <f t="shared" si="56"/>
        <v>0</v>
      </c>
      <c r="AG170" s="307"/>
      <c r="AH170" s="307"/>
      <c r="AI170" s="445">
        <f t="shared" si="57"/>
        <v>0</v>
      </c>
      <c r="AJ170" s="446"/>
      <c r="AK170" s="443"/>
      <c r="AL170" s="444">
        <f t="shared" si="58"/>
        <v>0</v>
      </c>
      <c r="AM170" s="307"/>
      <c r="AN170" s="307"/>
      <c r="AO170" s="447">
        <f t="shared" si="59"/>
        <v>0</v>
      </c>
      <c r="AP170" s="448"/>
      <c r="AQ170" s="443"/>
      <c r="AR170" s="444">
        <f t="shared" si="60"/>
        <v>0</v>
      </c>
      <c r="AS170" s="307"/>
      <c r="AT170" s="307"/>
      <c r="AU170" s="441">
        <f t="shared" si="61"/>
        <v>0</v>
      </c>
      <c r="AV170" s="442"/>
      <c r="AW170" s="443"/>
      <c r="AX170" s="444">
        <f t="shared" si="62"/>
        <v>0</v>
      </c>
      <c r="AY170" s="307"/>
      <c r="AZ170" s="307"/>
      <c r="BA170" s="445">
        <f t="shared" si="63"/>
        <v>0</v>
      </c>
      <c r="BB170" s="442"/>
      <c r="BC170" s="443"/>
      <c r="BD170" s="444">
        <f t="shared" si="64"/>
        <v>0</v>
      </c>
      <c r="BE170" s="307"/>
      <c r="BF170" s="307"/>
      <c r="BG170" s="445">
        <f t="shared" si="65"/>
        <v>0</v>
      </c>
      <c r="BH170" s="442"/>
      <c r="BI170" s="443"/>
      <c r="BJ170" s="444">
        <f t="shared" si="66"/>
        <v>0</v>
      </c>
      <c r="BK170" s="307"/>
      <c r="BL170" s="307"/>
      <c r="BM170" s="445">
        <f t="shared" si="67"/>
        <v>0</v>
      </c>
      <c r="BN170" s="442"/>
      <c r="BO170" s="443"/>
      <c r="BP170" s="444">
        <f t="shared" si="68"/>
        <v>0</v>
      </c>
      <c r="BQ170" s="307"/>
      <c r="BR170" s="307"/>
      <c r="BS170" s="445">
        <f t="shared" si="69"/>
        <v>0</v>
      </c>
      <c r="BT170" s="442">
        <v>56</v>
      </c>
      <c r="BU170" s="443">
        <v>51206</v>
      </c>
      <c r="BV170" s="444">
        <f t="shared" si="70"/>
        <v>2346217.9552000002</v>
      </c>
      <c r="BW170" s="307">
        <v>60</v>
      </c>
      <c r="BX170" s="307">
        <v>51726</v>
      </c>
      <c r="BY170" s="449">
        <f t="shared" si="71"/>
        <v>2539332.7919999999</v>
      </c>
    </row>
    <row r="171" spans="1:77" s="308" customFormat="1" ht="12.75" customHeight="1">
      <c r="A171" s="338" t="s">
        <v>345</v>
      </c>
      <c r="B171" s="339" t="s">
        <v>669</v>
      </c>
      <c r="C171" s="339"/>
      <c r="D171" s="340">
        <v>140678</v>
      </c>
      <c r="E171" s="460">
        <v>12</v>
      </c>
      <c r="F171" s="453"/>
      <c r="G171" s="454"/>
      <c r="H171" s="439">
        <f t="shared" si="48"/>
        <v>0</v>
      </c>
      <c r="I171" s="311"/>
      <c r="J171" s="311"/>
      <c r="K171" s="441">
        <f t="shared" si="49"/>
        <v>0</v>
      </c>
      <c r="L171" s="442"/>
      <c r="M171" s="443"/>
      <c r="N171" s="444">
        <f t="shared" si="50"/>
        <v>0</v>
      </c>
      <c r="O171" s="307"/>
      <c r="P171" s="307"/>
      <c r="Q171" s="445">
        <f t="shared" si="51"/>
        <v>0</v>
      </c>
      <c r="R171" s="442"/>
      <c r="S171" s="443"/>
      <c r="T171" s="444">
        <f t="shared" si="52"/>
        <v>0</v>
      </c>
      <c r="U171" s="306"/>
      <c r="V171" s="306"/>
      <c r="W171" s="441">
        <f t="shared" si="53"/>
        <v>0</v>
      </c>
      <c r="X171" s="442"/>
      <c r="Y171" s="443"/>
      <c r="Z171" s="444">
        <f t="shared" si="54"/>
        <v>0</v>
      </c>
      <c r="AA171" s="307"/>
      <c r="AB171" s="307"/>
      <c r="AC171" s="445">
        <f t="shared" si="55"/>
        <v>0</v>
      </c>
      <c r="AD171" s="442"/>
      <c r="AE171" s="443"/>
      <c r="AF171" s="444">
        <f t="shared" si="56"/>
        <v>0</v>
      </c>
      <c r="AG171" s="307"/>
      <c r="AH171" s="307"/>
      <c r="AI171" s="445">
        <f t="shared" si="57"/>
        <v>0</v>
      </c>
      <c r="AJ171" s="446"/>
      <c r="AK171" s="443"/>
      <c r="AL171" s="444">
        <f t="shared" si="58"/>
        <v>0</v>
      </c>
      <c r="AM171" s="307"/>
      <c r="AN171" s="307"/>
      <c r="AO171" s="447">
        <f t="shared" si="59"/>
        <v>0</v>
      </c>
      <c r="AP171" s="448"/>
      <c r="AQ171" s="443"/>
      <c r="AR171" s="444">
        <f t="shared" si="60"/>
        <v>0</v>
      </c>
      <c r="AS171" s="307"/>
      <c r="AT171" s="307"/>
      <c r="AU171" s="441">
        <f t="shared" si="61"/>
        <v>0</v>
      </c>
      <c r="AV171" s="442"/>
      <c r="AW171" s="443"/>
      <c r="AX171" s="444">
        <f t="shared" si="62"/>
        <v>0</v>
      </c>
      <c r="AY171" s="307"/>
      <c r="AZ171" s="307"/>
      <c r="BA171" s="445">
        <f t="shared" si="63"/>
        <v>0</v>
      </c>
      <c r="BB171" s="442"/>
      <c r="BC171" s="443"/>
      <c r="BD171" s="444">
        <f t="shared" si="64"/>
        <v>0</v>
      </c>
      <c r="BE171" s="307"/>
      <c r="BF171" s="307"/>
      <c r="BG171" s="445">
        <f t="shared" si="65"/>
        <v>0</v>
      </c>
      <c r="BH171" s="442"/>
      <c r="BI171" s="443"/>
      <c r="BJ171" s="444">
        <f t="shared" si="66"/>
        <v>0</v>
      </c>
      <c r="BK171" s="307"/>
      <c r="BL171" s="307"/>
      <c r="BM171" s="445">
        <f t="shared" si="67"/>
        <v>0</v>
      </c>
      <c r="BN171" s="442"/>
      <c r="BO171" s="443"/>
      <c r="BP171" s="444">
        <f t="shared" si="68"/>
        <v>0</v>
      </c>
      <c r="BQ171" s="307"/>
      <c r="BR171" s="307"/>
      <c r="BS171" s="445">
        <f t="shared" si="69"/>
        <v>0</v>
      </c>
      <c r="BT171" s="442">
        <v>72</v>
      </c>
      <c r="BU171" s="443">
        <v>48035</v>
      </c>
      <c r="BV171" s="444">
        <f t="shared" si="70"/>
        <v>2829761.0640000002</v>
      </c>
      <c r="BW171" s="307">
        <v>71</v>
      </c>
      <c r="BX171" s="307">
        <v>48000</v>
      </c>
      <c r="BY171" s="449">
        <f t="shared" si="71"/>
        <v>2788425.6</v>
      </c>
    </row>
    <row r="172" spans="1:77" s="308" customFormat="1" ht="12.75" customHeight="1">
      <c r="A172" s="338" t="s">
        <v>345</v>
      </c>
      <c r="B172" s="339" t="s">
        <v>670</v>
      </c>
      <c r="C172" s="339"/>
      <c r="D172" s="340">
        <v>366465</v>
      </c>
      <c r="E172" s="460">
        <v>12</v>
      </c>
      <c r="F172" s="453"/>
      <c r="G172" s="454"/>
      <c r="H172" s="439">
        <f t="shared" si="48"/>
        <v>0</v>
      </c>
      <c r="I172" s="311"/>
      <c r="J172" s="311"/>
      <c r="K172" s="441">
        <f t="shared" si="49"/>
        <v>0</v>
      </c>
      <c r="L172" s="442"/>
      <c r="M172" s="443"/>
      <c r="N172" s="444">
        <f t="shared" si="50"/>
        <v>0</v>
      </c>
      <c r="O172" s="307"/>
      <c r="P172" s="307"/>
      <c r="Q172" s="445">
        <f t="shared" si="51"/>
        <v>0</v>
      </c>
      <c r="R172" s="442"/>
      <c r="S172" s="443"/>
      <c r="T172" s="444">
        <f t="shared" si="52"/>
        <v>0</v>
      </c>
      <c r="U172" s="306"/>
      <c r="V172" s="306"/>
      <c r="W172" s="441">
        <f t="shared" si="53"/>
        <v>0</v>
      </c>
      <c r="X172" s="442"/>
      <c r="Y172" s="443"/>
      <c r="Z172" s="444">
        <f t="shared" si="54"/>
        <v>0</v>
      </c>
      <c r="AA172" s="307"/>
      <c r="AB172" s="307"/>
      <c r="AC172" s="445">
        <f t="shared" si="55"/>
        <v>0</v>
      </c>
      <c r="AD172" s="442"/>
      <c r="AE172" s="443"/>
      <c r="AF172" s="444">
        <f t="shared" si="56"/>
        <v>0</v>
      </c>
      <c r="AG172" s="307"/>
      <c r="AH172" s="307"/>
      <c r="AI172" s="445">
        <f t="shared" si="57"/>
        <v>0</v>
      </c>
      <c r="AJ172" s="446"/>
      <c r="AK172" s="443"/>
      <c r="AL172" s="444">
        <f t="shared" si="58"/>
        <v>0</v>
      </c>
      <c r="AM172" s="307"/>
      <c r="AN172" s="307"/>
      <c r="AO172" s="447">
        <f t="shared" si="59"/>
        <v>0</v>
      </c>
      <c r="AP172" s="448"/>
      <c r="AQ172" s="443"/>
      <c r="AR172" s="444">
        <f t="shared" si="60"/>
        <v>0</v>
      </c>
      <c r="AS172" s="307"/>
      <c r="AT172" s="307"/>
      <c r="AU172" s="441">
        <f t="shared" si="61"/>
        <v>0</v>
      </c>
      <c r="AV172" s="442"/>
      <c r="AW172" s="443"/>
      <c r="AX172" s="444">
        <f t="shared" si="62"/>
        <v>0</v>
      </c>
      <c r="AY172" s="307"/>
      <c r="AZ172" s="307"/>
      <c r="BA172" s="445">
        <f t="shared" si="63"/>
        <v>0</v>
      </c>
      <c r="BB172" s="442"/>
      <c r="BC172" s="443"/>
      <c r="BD172" s="444">
        <f t="shared" si="64"/>
        <v>0</v>
      </c>
      <c r="BE172" s="307"/>
      <c r="BF172" s="307"/>
      <c r="BG172" s="445">
        <f t="shared" si="65"/>
        <v>0</v>
      </c>
      <c r="BH172" s="442"/>
      <c r="BI172" s="443"/>
      <c r="BJ172" s="444">
        <f t="shared" si="66"/>
        <v>0</v>
      </c>
      <c r="BK172" s="307"/>
      <c r="BL172" s="307"/>
      <c r="BM172" s="445">
        <f t="shared" si="67"/>
        <v>0</v>
      </c>
      <c r="BN172" s="442"/>
      <c r="BO172" s="443"/>
      <c r="BP172" s="444">
        <f t="shared" si="68"/>
        <v>0</v>
      </c>
      <c r="BQ172" s="307"/>
      <c r="BR172" s="307"/>
      <c r="BS172" s="445">
        <f t="shared" si="69"/>
        <v>0</v>
      </c>
      <c r="BT172" s="442">
        <v>67</v>
      </c>
      <c r="BU172" s="443">
        <v>51495</v>
      </c>
      <c r="BV172" s="444">
        <f t="shared" si="70"/>
        <v>2822925.003</v>
      </c>
      <c r="BW172" s="307">
        <v>71</v>
      </c>
      <c r="BX172" s="307">
        <v>50957</v>
      </c>
      <c r="BY172" s="449">
        <f t="shared" si="71"/>
        <v>2960204.2354000001</v>
      </c>
    </row>
    <row r="173" spans="1:77" s="308" customFormat="1" ht="12.75" customHeight="1">
      <c r="A173" s="338" t="s">
        <v>345</v>
      </c>
      <c r="B173" s="339" t="s">
        <v>671</v>
      </c>
      <c r="C173" s="339"/>
      <c r="D173" s="340">
        <v>248776</v>
      </c>
      <c r="E173" s="460">
        <v>12</v>
      </c>
      <c r="F173" s="453"/>
      <c r="G173" s="454"/>
      <c r="H173" s="439">
        <f t="shared" si="48"/>
        <v>0</v>
      </c>
      <c r="I173" s="311"/>
      <c r="J173" s="311"/>
      <c r="K173" s="441">
        <f t="shared" si="49"/>
        <v>0</v>
      </c>
      <c r="L173" s="442"/>
      <c r="M173" s="443"/>
      <c r="N173" s="444">
        <f t="shared" si="50"/>
        <v>0</v>
      </c>
      <c r="O173" s="307"/>
      <c r="P173" s="307"/>
      <c r="Q173" s="445">
        <f t="shared" si="51"/>
        <v>0</v>
      </c>
      <c r="R173" s="442"/>
      <c r="S173" s="443"/>
      <c r="T173" s="444">
        <f t="shared" si="52"/>
        <v>0</v>
      </c>
      <c r="U173" s="306"/>
      <c r="V173" s="306"/>
      <c r="W173" s="441">
        <f t="shared" si="53"/>
        <v>0</v>
      </c>
      <c r="X173" s="442"/>
      <c r="Y173" s="443"/>
      <c r="Z173" s="444">
        <f t="shared" si="54"/>
        <v>0</v>
      </c>
      <c r="AA173" s="307"/>
      <c r="AB173" s="307"/>
      <c r="AC173" s="445">
        <f t="shared" si="55"/>
        <v>0</v>
      </c>
      <c r="AD173" s="442"/>
      <c r="AE173" s="443"/>
      <c r="AF173" s="444">
        <f t="shared" si="56"/>
        <v>0</v>
      </c>
      <c r="AG173" s="307"/>
      <c r="AH173" s="307"/>
      <c r="AI173" s="445">
        <f t="shared" si="57"/>
        <v>0</v>
      </c>
      <c r="AJ173" s="446">
        <v>2</v>
      </c>
      <c r="AK173" s="443">
        <v>36726</v>
      </c>
      <c r="AL173" s="444">
        <f t="shared" si="58"/>
        <v>73452</v>
      </c>
      <c r="AM173" s="307">
        <v>2</v>
      </c>
      <c r="AN173" s="307">
        <v>36726</v>
      </c>
      <c r="AO173" s="447">
        <f t="shared" si="59"/>
        <v>73452</v>
      </c>
      <c r="AP173" s="448"/>
      <c r="AQ173" s="443"/>
      <c r="AR173" s="444">
        <f t="shared" si="60"/>
        <v>0</v>
      </c>
      <c r="AS173" s="307"/>
      <c r="AT173" s="307"/>
      <c r="AU173" s="441">
        <f t="shared" si="61"/>
        <v>0</v>
      </c>
      <c r="AV173" s="442"/>
      <c r="AW173" s="443"/>
      <c r="AX173" s="444">
        <f t="shared" si="62"/>
        <v>0</v>
      </c>
      <c r="AY173" s="307"/>
      <c r="AZ173" s="307"/>
      <c r="BA173" s="445">
        <f t="shared" si="63"/>
        <v>0</v>
      </c>
      <c r="BB173" s="442"/>
      <c r="BC173" s="443"/>
      <c r="BD173" s="444">
        <f t="shared" si="64"/>
        <v>0</v>
      </c>
      <c r="BE173" s="307"/>
      <c r="BF173" s="307"/>
      <c r="BG173" s="445">
        <f t="shared" si="65"/>
        <v>0</v>
      </c>
      <c r="BH173" s="442"/>
      <c r="BI173" s="443"/>
      <c r="BJ173" s="444">
        <f t="shared" si="66"/>
        <v>0</v>
      </c>
      <c r="BK173" s="307"/>
      <c r="BL173" s="307"/>
      <c r="BM173" s="445">
        <f t="shared" si="67"/>
        <v>0</v>
      </c>
      <c r="BN173" s="442"/>
      <c r="BO173" s="443"/>
      <c r="BP173" s="444">
        <f t="shared" si="68"/>
        <v>0</v>
      </c>
      <c r="BQ173" s="307"/>
      <c r="BR173" s="307"/>
      <c r="BS173" s="445">
        <f t="shared" si="69"/>
        <v>0</v>
      </c>
      <c r="BT173" s="442">
        <v>47</v>
      </c>
      <c r="BU173" s="443">
        <v>48003</v>
      </c>
      <c r="BV173" s="444">
        <f t="shared" si="70"/>
        <v>1845974.5662</v>
      </c>
      <c r="BW173" s="307">
        <v>50</v>
      </c>
      <c r="BX173" s="307">
        <v>47731</v>
      </c>
      <c r="BY173" s="449">
        <f t="shared" si="71"/>
        <v>1952675.2100000002</v>
      </c>
    </row>
    <row r="174" spans="1:77" s="308" customFormat="1" ht="12.75" customHeight="1">
      <c r="A174" s="338" t="s">
        <v>345</v>
      </c>
      <c r="B174" s="339" t="s">
        <v>672</v>
      </c>
      <c r="C174" s="339"/>
      <c r="D174" s="340">
        <v>140942</v>
      </c>
      <c r="E174" s="460">
        <v>12</v>
      </c>
      <c r="F174" s="453"/>
      <c r="G174" s="454"/>
      <c r="H174" s="439">
        <f t="shared" si="48"/>
        <v>0</v>
      </c>
      <c r="I174" s="311"/>
      <c r="J174" s="311"/>
      <c r="K174" s="441">
        <f t="shared" si="49"/>
        <v>0</v>
      </c>
      <c r="L174" s="442"/>
      <c r="M174" s="443"/>
      <c r="N174" s="444">
        <f t="shared" si="50"/>
        <v>0</v>
      </c>
      <c r="O174" s="307"/>
      <c r="P174" s="307"/>
      <c r="Q174" s="445">
        <f t="shared" si="51"/>
        <v>0</v>
      </c>
      <c r="R174" s="442"/>
      <c r="S174" s="443"/>
      <c r="T174" s="444">
        <f t="shared" si="52"/>
        <v>0</v>
      </c>
      <c r="U174" s="306"/>
      <c r="V174" s="306"/>
      <c r="W174" s="441">
        <f t="shared" si="53"/>
        <v>0</v>
      </c>
      <c r="X174" s="442"/>
      <c r="Y174" s="443"/>
      <c r="Z174" s="444">
        <f t="shared" si="54"/>
        <v>0</v>
      </c>
      <c r="AA174" s="307"/>
      <c r="AB174" s="307"/>
      <c r="AC174" s="445">
        <f t="shared" si="55"/>
        <v>0</v>
      </c>
      <c r="AD174" s="442"/>
      <c r="AE174" s="443"/>
      <c r="AF174" s="444">
        <f t="shared" si="56"/>
        <v>0</v>
      </c>
      <c r="AG174" s="307"/>
      <c r="AH174" s="307"/>
      <c r="AI174" s="445">
        <f t="shared" si="57"/>
        <v>0</v>
      </c>
      <c r="AJ174" s="446">
        <v>4</v>
      </c>
      <c r="AK174" s="443">
        <v>37507</v>
      </c>
      <c r="AL174" s="444">
        <f t="shared" si="58"/>
        <v>150028</v>
      </c>
      <c r="AM174" s="307">
        <v>2</v>
      </c>
      <c r="AN174" s="307">
        <v>54546</v>
      </c>
      <c r="AO174" s="447">
        <f t="shared" si="59"/>
        <v>109092</v>
      </c>
      <c r="AP174" s="448"/>
      <c r="AQ174" s="443"/>
      <c r="AR174" s="444">
        <f t="shared" si="60"/>
        <v>0</v>
      </c>
      <c r="AS174" s="307"/>
      <c r="AT174" s="307"/>
      <c r="AU174" s="441">
        <f t="shared" si="61"/>
        <v>0</v>
      </c>
      <c r="AV174" s="442"/>
      <c r="AW174" s="443"/>
      <c r="AX174" s="444">
        <f t="shared" si="62"/>
        <v>0</v>
      </c>
      <c r="AY174" s="307"/>
      <c r="AZ174" s="307"/>
      <c r="BA174" s="445">
        <f t="shared" si="63"/>
        <v>0</v>
      </c>
      <c r="BB174" s="442"/>
      <c r="BC174" s="443"/>
      <c r="BD174" s="444">
        <f t="shared" si="64"/>
        <v>0</v>
      </c>
      <c r="BE174" s="307"/>
      <c r="BF174" s="307"/>
      <c r="BG174" s="445">
        <f t="shared" si="65"/>
        <v>0</v>
      </c>
      <c r="BH174" s="442"/>
      <c r="BI174" s="443"/>
      <c r="BJ174" s="444">
        <f t="shared" si="66"/>
        <v>0</v>
      </c>
      <c r="BK174" s="307"/>
      <c r="BL174" s="307"/>
      <c r="BM174" s="445">
        <f t="shared" si="67"/>
        <v>0</v>
      </c>
      <c r="BN174" s="442"/>
      <c r="BO174" s="443"/>
      <c r="BP174" s="444">
        <f t="shared" si="68"/>
        <v>0</v>
      </c>
      <c r="BQ174" s="307"/>
      <c r="BR174" s="307"/>
      <c r="BS174" s="445">
        <f t="shared" si="69"/>
        <v>0</v>
      </c>
      <c r="BT174" s="442">
        <v>81</v>
      </c>
      <c r="BU174" s="443">
        <v>57150</v>
      </c>
      <c r="BV174" s="444">
        <f t="shared" si="70"/>
        <v>3787570.5300000003</v>
      </c>
      <c r="BW174" s="307">
        <v>90</v>
      </c>
      <c r="BX174" s="307">
        <v>53925</v>
      </c>
      <c r="BY174" s="449">
        <f t="shared" si="71"/>
        <v>3970929.1500000004</v>
      </c>
    </row>
    <row r="175" spans="1:77" s="308" customFormat="1" ht="12.75" customHeight="1">
      <c r="A175" s="338" t="s">
        <v>345</v>
      </c>
      <c r="B175" s="339" t="s">
        <v>673</v>
      </c>
      <c r="C175" s="339"/>
      <c r="D175" s="340">
        <v>141006</v>
      </c>
      <c r="E175" s="460">
        <v>12</v>
      </c>
      <c r="F175" s="453"/>
      <c r="G175" s="454"/>
      <c r="H175" s="439">
        <f t="shared" si="48"/>
        <v>0</v>
      </c>
      <c r="I175" s="311"/>
      <c r="J175" s="311"/>
      <c r="K175" s="441">
        <f t="shared" si="49"/>
        <v>0</v>
      </c>
      <c r="L175" s="442"/>
      <c r="M175" s="443"/>
      <c r="N175" s="444">
        <f t="shared" si="50"/>
        <v>0</v>
      </c>
      <c r="O175" s="307"/>
      <c r="P175" s="307"/>
      <c r="Q175" s="445">
        <f t="shared" si="51"/>
        <v>0</v>
      </c>
      <c r="R175" s="442"/>
      <c r="S175" s="443"/>
      <c r="T175" s="444">
        <f t="shared" si="52"/>
        <v>0</v>
      </c>
      <c r="U175" s="306"/>
      <c r="V175" s="306"/>
      <c r="W175" s="441">
        <f t="shared" si="53"/>
        <v>0</v>
      </c>
      <c r="X175" s="442"/>
      <c r="Y175" s="443"/>
      <c r="Z175" s="444">
        <f t="shared" si="54"/>
        <v>0</v>
      </c>
      <c r="AA175" s="307"/>
      <c r="AB175" s="307"/>
      <c r="AC175" s="445">
        <f t="shared" si="55"/>
        <v>0</v>
      </c>
      <c r="AD175" s="442"/>
      <c r="AE175" s="443"/>
      <c r="AF175" s="444">
        <f t="shared" si="56"/>
        <v>0</v>
      </c>
      <c r="AG175" s="307"/>
      <c r="AH175" s="307"/>
      <c r="AI175" s="445">
        <f t="shared" si="57"/>
        <v>0</v>
      </c>
      <c r="AJ175" s="446"/>
      <c r="AK175" s="443"/>
      <c r="AL175" s="444">
        <f t="shared" si="58"/>
        <v>0</v>
      </c>
      <c r="AM175" s="307"/>
      <c r="AN175" s="307"/>
      <c r="AO175" s="447">
        <f t="shared" si="59"/>
        <v>0</v>
      </c>
      <c r="AP175" s="448"/>
      <c r="AQ175" s="443"/>
      <c r="AR175" s="444">
        <f t="shared" si="60"/>
        <v>0</v>
      </c>
      <c r="AS175" s="307"/>
      <c r="AT175" s="307"/>
      <c r="AU175" s="441">
        <f t="shared" si="61"/>
        <v>0</v>
      </c>
      <c r="AV175" s="442"/>
      <c r="AW175" s="443"/>
      <c r="AX175" s="444">
        <f t="shared" si="62"/>
        <v>0</v>
      </c>
      <c r="AY175" s="307"/>
      <c r="AZ175" s="307"/>
      <c r="BA175" s="445">
        <f t="shared" si="63"/>
        <v>0</v>
      </c>
      <c r="BB175" s="442"/>
      <c r="BC175" s="443"/>
      <c r="BD175" s="444">
        <f t="shared" si="64"/>
        <v>0</v>
      </c>
      <c r="BE175" s="307"/>
      <c r="BF175" s="307"/>
      <c r="BG175" s="445">
        <f t="shared" si="65"/>
        <v>0</v>
      </c>
      <c r="BH175" s="442"/>
      <c r="BI175" s="443"/>
      <c r="BJ175" s="444">
        <f t="shared" si="66"/>
        <v>0</v>
      </c>
      <c r="BK175" s="307"/>
      <c r="BL175" s="307"/>
      <c r="BM175" s="445">
        <f t="shared" si="67"/>
        <v>0</v>
      </c>
      <c r="BN175" s="442"/>
      <c r="BO175" s="443"/>
      <c r="BP175" s="444">
        <f t="shared" si="68"/>
        <v>0</v>
      </c>
      <c r="BQ175" s="307"/>
      <c r="BR175" s="307"/>
      <c r="BS175" s="445">
        <f t="shared" si="69"/>
        <v>0</v>
      </c>
      <c r="BT175" s="442">
        <v>63</v>
      </c>
      <c r="BU175" s="443">
        <v>52170</v>
      </c>
      <c r="BV175" s="444">
        <f t="shared" si="70"/>
        <v>2689186.122</v>
      </c>
      <c r="BW175" s="307">
        <v>64</v>
      </c>
      <c r="BX175" s="307">
        <v>51710</v>
      </c>
      <c r="BY175" s="449">
        <f t="shared" si="71"/>
        <v>2707783.8080000002</v>
      </c>
    </row>
    <row r="176" spans="1:77" s="308" customFormat="1" ht="12.75" customHeight="1">
      <c r="A176" s="338" t="s">
        <v>345</v>
      </c>
      <c r="B176" s="341" t="s">
        <v>674</v>
      </c>
      <c r="C176" s="341"/>
      <c r="D176" s="340">
        <v>368911</v>
      </c>
      <c r="E176" s="460">
        <v>12</v>
      </c>
      <c r="F176" s="453"/>
      <c r="G176" s="454"/>
      <c r="H176" s="439">
        <f t="shared" si="48"/>
        <v>0</v>
      </c>
      <c r="I176" s="311"/>
      <c r="J176" s="311"/>
      <c r="K176" s="441">
        <f t="shared" si="49"/>
        <v>0</v>
      </c>
      <c r="L176" s="442"/>
      <c r="M176" s="443"/>
      <c r="N176" s="444">
        <f t="shared" si="50"/>
        <v>0</v>
      </c>
      <c r="O176" s="307"/>
      <c r="P176" s="307"/>
      <c r="Q176" s="445">
        <f t="shared" si="51"/>
        <v>0</v>
      </c>
      <c r="R176" s="442"/>
      <c r="S176" s="443"/>
      <c r="T176" s="444">
        <f t="shared" si="52"/>
        <v>0</v>
      </c>
      <c r="U176" s="306"/>
      <c r="V176" s="306"/>
      <c r="W176" s="441">
        <f t="shared" si="53"/>
        <v>0</v>
      </c>
      <c r="X176" s="442"/>
      <c r="Y176" s="443"/>
      <c r="Z176" s="444">
        <f t="shared" si="54"/>
        <v>0</v>
      </c>
      <c r="AA176" s="307"/>
      <c r="AB176" s="307"/>
      <c r="AC176" s="445">
        <f t="shared" si="55"/>
        <v>0</v>
      </c>
      <c r="AD176" s="442"/>
      <c r="AE176" s="443"/>
      <c r="AF176" s="444">
        <f t="shared" si="56"/>
        <v>0</v>
      </c>
      <c r="AG176" s="307"/>
      <c r="AH176" s="307"/>
      <c r="AI176" s="445">
        <f t="shared" si="57"/>
        <v>0</v>
      </c>
      <c r="AJ176" s="446">
        <v>0</v>
      </c>
      <c r="AK176" s="443"/>
      <c r="AL176" s="444">
        <f t="shared" si="58"/>
        <v>0</v>
      </c>
      <c r="AM176" s="307"/>
      <c r="AN176" s="307"/>
      <c r="AO176" s="447">
        <f t="shared" si="59"/>
        <v>0</v>
      </c>
      <c r="AP176" s="448"/>
      <c r="AQ176" s="443"/>
      <c r="AR176" s="444">
        <f t="shared" si="60"/>
        <v>0</v>
      </c>
      <c r="AS176" s="307"/>
      <c r="AT176" s="307"/>
      <c r="AU176" s="441">
        <f t="shared" si="61"/>
        <v>0</v>
      </c>
      <c r="AV176" s="442"/>
      <c r="AW176" s="443"/>
      <c r="AX176" s="444">
        <f t="shared" si="62"/>
        <v>0</v>
      </c>
      <c r="AY176" s="307"/>
      <c r="AZ176" s="307"/>
      <c r="BA176" s="445">
        <f t="shared" si="63"/>
        <v>0</v>
      </c>
      <c r="BB176" s="442"/>
      <c r="BC176" s="443"/>
      <c r="BD176" s="444">
        <f t="shared" si="64"/>
        <v>0</v>
      </c>
      <c r="BE176" s="307"/>
      <c r="BF176" s="307"/>
      <c r="BG176" s="445">
        <f t="shared" si="65"/>
        <v>0</v>
      </c>
      <c r="BH176" s="442"/>
      <c r="BI176" s="443"/>
      <c r="BJ176" s="444">
        <f t="shared" si="66"/>
        <v>0</v>
      </c>
      <c r="BK176" s="307"/>
      <c r="BL176" s="307"/>
      <c r="BM176" s="445">
        <f t="shared" si="67"/>
        <v>0</v>
      </c>
      <c r="BN176" s="442"/>
      <c r="BO176" s="443"/>
      <c r="BP176" s="444">
        <f t="shared" si="68"/>
        <v>0</v>
      </c>
      <c r="BQ176" s="307"/>
      <c r="BR176" s="307"/>
      <c r="BS176" s="445">
        <f t="shared" si="69"/>
        <v>0</v>
      </c>
      <c r="BT176" s="442">
        <v>70</v>
      </c>
      <c r="BU176" s="443">
        <v>52238</v>
      </c>
      <c r="BV176" s="444">
        <f t="shared" si="70"/>
        <v>2991879.2120000003</v>
      </c>
      <c r="BW176" s="307">
        <v>70</v>
      </c>
      <c r="BX176" s="307">
        <v>51867</v>
      </c>
      <c r="BY176" s="449">
        <f t="shared" si="71"/>
        <v>2970630.5580000002</v>
      </c>
    </row>
    <row r="177" spans="1:77" s="308" customFormat="1" ht="12.75" customHeight="1">
      <c r="A177" s="338" t="s">
        <v>345</v>
      </c>
      <c r="B177" s="407" t="s">
        <v>910</v>
      </c>
      <c r="C177" s="509" t="s">
        <v>1096</v>
      </c>
      <c r="D177" s="340">
        <v>139986</v>
      </c>
      <c r="E177" s="488">
        <v>12</v>
      </c>
      <c r="F177" s="453"/>
      <c r="G177" s="454"/>
      <c r="H177" s="439">
        <f t="shared" si="48"/>
        <v>0</v>
      </c>
      <c r="I177" s="311"/>
      <c r="J177" s="311"/>
      <c r="K177" s="441">
        <f t="shared" si="49"/>
        <v>0</v>
      </c>
      <c r="L177" s="442"/>
      <c r="M177" s="443"/>
      <c r="N177" s="444">
        <f t="shared" si="50"/>
        <v>0</v>
      </c>
      <c r="O177" s="307"/>
      <c r="P177" s="307"/>
      <c r="Q177" s="445">
        <f t="shared" si="51"/>
        <v>0</v>
      </c>
      <c r="R177" s="442"/>
      <c r="S177" s="443"/>
      <c r="T177" s="444">
        <f t="shared" si="52"/>
        <v>0</v>
      </c>
      <c r="U177" s="306"/>
      <c r="V177" s="306"/>
      <c r="W177" s="441">
        <f t="shared" si="53"/>
        <v>0</v>
      </c>
      <c r="X177" s="442"/>
      <c r="Y177" s="443"/>
      <c r="Z177" s="444">
        <f t="shared" si="54"/>
        <v>0</v>
      </c>
      <c r="AA177" s="307"/>
      <c r="AB177" s="307"/>
      <c r="AC177" s="445">
        <f t="shared" si="55"/>
        <v>0</v>
      </c>
      <c r="AD177" s="442"/>
      <c r="AE177" s="443"/>
      <c r="AF177" s="444">
        <f t="shared" si="56"/>
        <v>0</v>
      </c>
      <c r="AG177" s="307"/>
      <c r="AH177" s="307"/>
      <c r="AI177" s="445">
        <f t="shared" si="57"/>
        <v>0</v>
      </c>
      <c r="AJ177" s="446"/>
      <c r="AK177" s="443"/>
      <c r="AL177" s="444">
        <f t="shared" si="58"/>
        <v>0</v>
      </c>
      <c r="AM177" s="307"/>
      <c r="AN177" s="307"/>
      <c r="AO177" s="447">
        <f t="shared" si="59"/>
        <v>0</v>
      </c>
      <c r="AP177" s="448"/>
      <c r="AQ177" s="443"/>
      <c r="AR177" s="444">
        <f t="shared" si="60"/>
        <v>0</v>
      </c>
      <c r="AS177" s="307"/>
      <c r="AT177" s="307"/>
      <c r="AU177" s="441">
        <f t="shared" si="61"/>
        <v>0</v>
      </c>
      <c r="AV177" s="442"/>
      <c r="AW177" s="443"/>
      <c r="AX177" s="444">
        <f t="shared" si="62"/>
        <v>0</v>
      </c>
      <c r="AY177" s="307"/>
      <c r="AZ177" s="307"/>
      <c r="BA177" s="445">
        <f t="shared" si="63"/>
        <v>0</v>
      </c>
      <c r="BB177" s="442"/>
      <c r="BC177" s="443"/>
      <c r="BD177" s="444">
        <f t="shared" si="64"/>
        <v>0</v>
      </c>
      <c r="BE177" s="307"/>
      <c r="BF177" s="307"/>
      <c r="BG177" s="445">
        <f t="shared" si="65"/>
        <v>0</v>
      </c>
      <c r="BH177" s="442"/>
      <c r="BI177" s="443"/>
      <c r="BJ177" s="444">
        <f t="shared" si="66"/>
        <v>0</v>
      </c>
      <c r="BK177" s="307"/>
      <c r="BL177" s="307"/>
      <c r="BM177" s="445">
        <f t="shared" si="67"/>
        <v>0</v>
      </c>
      <c r="BN177" s="442"/>
      <c r="BO177" s="443"/>
      <c r="BP177" s="444">
        <f t="shared" si="68"/>
        <v>0</v>
      </c>
      <c r="BQ177" s="307"/>
      <c r="BR177" s="307"/>
      <c r="BS177" s="445">
        <f t="shared" si="69"/>
        <v>0</v>
      </c>
      <c r="BT177" s="442">
        <v>98</v>
      </c>
      <c r="BU177" s="443">
        <v>52221.714285714283</v>
      </c>
      <c r="BV177" s="444">
        <f t="shared" si="70"/>
        <v>4187325.0496</v>
      </c>
      <c r="BW177" s="307">
        <v>110</v>
      </c>
      <c r="BX177" s="307">
        <v>53461</v>
      </c>
      <c r="BY177" s="449">
        <f t="shared" si="71"/>
        <v>4811596.9220000003</v>
      </c>
    </row>
    <row r="178" spans="1:77" s="308" customFormat="1" ht="12.75" customHeight="1">
      <c r="A178" s="338" t="s">
        <v>345</v>
      </c>
      <c r="B178" s="341" t="s">
        <v>675</v>
      </c>
      <c r="C178" s="341"/>
      <c r="D178" s="340">
        <v>141158</v>
      </c>
      <c r="E178" s="460">
        <v>12</v>
      </c>
      <c r="F178" s="453"/>
      <c r="G178" s="454"/>
      <c r="H178" s="439">
        <f t="shared" si="48"/>
        <v>0</v>
      </c>
      <c r="I178" s="311"/>
      <c r="J178" s="311"/>
      <c r="K178" s="441">
        <f t="shared" si="49"/>
        <v>0</v>
      </c>
      <c r="L178" s="442"/>
      <c r="M178" s="443"/>
      <c r="N178" s="444">
        <f t="shared" si="50"/>
        <v>0</v>
      </c>
      <c r="O178" s="307"/>
      <c r="P178" s="307"/>
      <c r="Q178" s="445">
        <f t="shared" si="51"/>
        <v>0</v>
      </c>
      <c r="R178" s="442"/>
      <c r="S178" s="443"/>
      <c r="T178" s="444">
        <f t="shared" si="52"/>
        <v>0</v>
      </c>
      <c r="U178" s="306"/>
      <c r="V178" s="306"/>
      <c r="W178" s="441">
        <f t="shared" si="53"/>
        <v>0</v>
      </c>
      <c r="X178" s="442"/>
      <c r="Y178" s="443"/>
      <c r="Z178" s="444">
        <f t="shared" si="54"/>
        <v>0</v>
      </c>
      <c r="AA178" s="307"/>
      <c r="AB178" s="307"/>
      <c r="AC178" s="445">
        <f t="shared" si="55"/>
        <v>0</v>
      </c>
      <c r="AD178" s="442"/>
      <c r="AE178" s="443"/>
      <c r="AF178" s="444">
        <f t="shared" si="56"/>
        <v>0</v>
      </c>
      <c r="AG178" s="307"/>
      <c r="AH178" s="307"/>
      <c r="AI178" s="445">
        <f t="shared" si="57"/>
        <v>0</v>
      </c>
      <c r="AJ178" s="446"/>
      <c r="AK178" s="443"/>
      <c r="AL178" s="444">
        <f t="shared" si="58"/>
        <v>0</v>
      </c>
      <c r="AM178" s="307">
        <v>1</v>
      </c>
      <c r="AN178" s="307">
        <v>42744</v>
      </c>
      <c r="AO178" s="447">
        <f t="shared" si="59"/>
        <v>42744</v>
      </c>
      <c r="AP178" s="448"/>
      <c r="AQ178" s="443"/>
      <c r="AR178" s="444">
        <f t="shared" si="60"/>
        <v>0</v>
      </c>
      <c r="AS178" s="307"/>
      <c r="AT178" s="307"/>
      <c r="AU178" s="441">
        <f t="shared" si="61"/>
        <v>0</v>
      </c>
      <c r="AV178" s="442"/>
      <c r="AW178" s="443"/>
      <c r="AX178" s="444">
        <f t="shared" si="62"/>
        <v>0</v>
      </c>
      <c r="AY178" s="307"/>
      <c r="AZ178" s="307"/>
      <c r="BA178" s="445">
        <f t="shared" si="63"/>
        <v>0</v>
      </c>
      <c r="BB178" s="442"/>
      <c r="BC178" s="443"/>
      <c r="BD178" s="444">
        <f t="shared" si="64"/>
        <v>0</v>
      </c>
      <c r="BE178" s="307"/>
      <c r="BF178" s="307"/>
      <c r="BG178" s="445">
        <f t="shared" si="65"/>
        <v>0</v>
      </c>
      <c r="BH178" s="442"/>
      <c r="BI178" s="443"/>
      <c r="BJ178" s="444">
        <f t="shared" si="66"/>
        <v>0</v>
      </c>
      <c r="BK178" s="307"/>
      <c r="BL178" s="307"/>
      <c r="BM178" s="445">
        <f t="shared" si="67"/>
        <v>0</v>
      </c>
      <c r="BN178" s="442"/>
      <c r="BO178" s="443"/>
      <c r="BP178" s="444">
        <f t="shared" si="68"/>
        <v>0</v>
      </c>
      <c r="BQ178" s="307"/>
      <c r="BR178" s="307"/>
      <c r="BS178" s="445">
        <f t="shared" si="69"/>
        <v>0</v>
      </c>
      <c r="BT178" s="442">
        <v>53</v>
      </c>
      <c r="BU178" s="443">
        <v>55497</v>
      </c>
      <c r="BV178" s="444">
        <f t="shared" si="70"/>
        <v>2406605.2061999999</v>
      </c>
      <c r="BW178" s="307">
        <v>47</v>
      </c>
      <c r="BX178" s="307">
        <v>55004</v>
      </c>
      <c r="BY178" s="449">
        <f t="shared" si="71"/>
        <v>2115200.8215999999</v>
      </c>
    </row>
    <row r="179" spans="1:77" s="308" customFormat="1" ht="12.75" customHeight="1">
      <c r="A179" s="338" t="s">
        <v>345</v>
      </c>
      <c r="B179" s="341" t="s">
        <v>676</v>
      </c>
      <c r="C179" s="341"/>
      <c r="D179" s="340">
        <v>139278</v>
      </c>
      <c r="E179" s="460">
        <v>12</v>
      </c>
      <c r="F179" s="453"/>
      <c r="G179" s="454"/>
      <c r="H179" s="439">
        <f t="shared" si="48"/>
        <v>0</v>
      </c>
      <c r="I179" s="311"/>
      <c r="J179" s="311"/>
      <c r="K179" s="441">
        <f t="shared" si="49"/>
        <v>0</v>
      </c>
      <c r="L179" s="442"/>
      <c r="M179" s="443"/>
      <c r="N179" s="444">
        <f t="shared" si="50"/>
        <v>0</v>
      </c>
      <c r="O179" s="307"/>
      <c r="P179" s="307"/>
      <c r="Q179" s="445">
        <f t="shared" si="51"/>
        <v>0</v>
      </c>
      <c r="R179" s="442"/>
      <c r="S179" s="443"/>
      <c r="T179" s="444">
        <f t="shared" si="52"/>
        <v>0</v>
      </c>
      <c r="U179" s="306"/>
      <c r="V179" s="306"/>
      <c r="W179" s="441">
        <f t="shared" si="53"/>
        <v>0</v>
      </c>
      <c r="X179" s="442"/>
      <c r="Y179" s="443"/>
      <c r="Z179" s="444">
        <f t="shared" si="54"/>
        <v>0</v>
      </c>
      <c r="AA179" s="307"/>
      <c r="AB179" s="307"/>
      <c r="AC179" s="445">
        <f t="shared" si="55"/>
        <v>0</v>
      </c>
      <c r="AD179" s="442"/>
      <c r="AE179" s="443"/>
      <c r="AF179" s="444">
        <f t="shared" si="56"/>
        <v>0</v>
      </c>
      <c r="AG179" s="307"/>
      <c r="AH179" s="307"/>
      <c r="AI179" s="445">
        <f t="shared" si="57"/>
        <v>0</v>
      </c>
      <c r="AJ179" s="446">
        <v>0</v>
      </c>
      <c r="AK179" s="443"/>
      <c r="AL179" s="444">
        <f t="shared" si="58"/>
        <v>0</v>
      </c>
      <c r="AM179" s="307">
        <v>1</v>
      </c>
      <c r="AN179" s="307">
        <v>48858</v>
      </c>
      <c r="AO179" s="447">
        <f t="shared" si="59"/>
        <v>48858</v>
      </c>
      <c r="AP179" s="448"/>
      <c r="AQ179" s="443"/>
      <c r="AR179" s="444">
        <f t="shared" si="60"/>
        <v>0</v>
      </c>
      <c r="AS179" s="307"/>
      <c r="AT179" s="307"/>
      <c r="AU179" s="441">
        <f t="shared" si="61"/>
        <v>0</v>
      </c>
      <c r="AV179" s="442"/>
      <c r="AW179" s="443"/>
      <c r="AX179" s="444">
        <f t="shared" si="62"/>
        <v>0</v>
      </c>
      <c r="AY179" s="307"/>
      <c r="AZ179" s="307"/>
      <c r="BA179" s="445">
        <f t="shared" si="63"/>
        <v>0</v>
      </c>
      <c r="BB179" s="442"/>
      <c r="BC179" s="443"/>
      <c r="BD179" s="444">
        <f t="shared" si="64"/>
        <v>0</v>
      </c>
      <c r="BE179" s="307"/>
      <c r="BF179" s="307"/>
      <c r="BG179" s="445">
        <f t="shared" si="65"/>
        <v>0</v>
      </c>
      <c r="BH179" s="442"/>
      <c r="BI179" s="443"/>
      <c r="BJ179" s="444">
        <f t="shared" si="66"/>
        <v>0</v>
      </c>
      <c r="BK179" s="307"/>
      <c r="BL179" s="307"/>
      <c r="BM179" s="445">
        <f t="shared" si="67"/>
        <v>0</v>
      </c>
      <c r="BN179" s="442"/>
      <c r="BO179" s="443"/>
      <c r="BP179" s="444">
        <f t="shared" si="68"/>
        <v>0</v>
      </c>
      <c r="BQ179" s="307"/>
      <c r="BR179" s="307"/>
      <c r="BS179" s="445">
        <f t="shared" si="69"/>
        <v>0</v>
      </c>
      <c r="BT179" s="442">
        <v>142</v>
      </c>
      <c r="BU179" s="443">
        <v>49911</v>
      </c>
      <c r="BV179" s="444">
        <f t="shared" si="70"/>
        <v>5798879.5884000007</v>
      </c>
      <c r="BW179" s="307">
        <v>145</v>
      </c>
      <c r="BX179" s="307">
        <v>49747</v>
      </c>
      <c r="BY179" s="449">
        <f t="shared" si="71"/>
        <v>5901934.3330000006</v>
      </c>
    </row>
    <row r="180" spans="1:77" s="308" customFormat="1" ht="12.75" customHeight="1">
      <c r="A180" s="338" t="s">
        <v>345</v>
      </c>
      <c r="B180" s="407" t="s">
        <v>1097</v>
      </c>
      <c r="C180" s="509" t="s">
        <v>1098</v>
      </c>
      <c r="D180" s="340">
        <v>141255</v>
      </c>
      <c r="E180" s="488">
        <v>12</v>
      </c>
      <c r="F180" s="453"/>
      <c r="G180" s="454"/>
      <c r="H180" s="439">
        <f t="shared" si="48"/>
        <v>0</v>
      </c>
      <c r="I180" s="311"/>
      <c r="J180" s="311"/>
      <c r="K180" s="441">
        <f t="shared" si="49"/>
        <v>0</v>
      </c>
      <c r="L180" s="442"/>
      <c r="M180" s="443"/>
      <c r="N180" s="444">
        <f t="shared" si="50"/>
        <v>0</v>
      </c>
      <c r="O180" s="307"/>
      <c r="P180" s="307"/>
      <c r="Q180" s="445">
        <f t="shared" si="51"/>
        <v>0</v>
      </c>
      <c r="R180" s="442"/>
      <c r="S180" s="443"/>
      <c r="T180" s="444">
        <f t="shared" si="52"/>
        <v>0</v>
      </c>
      <c r="U180" s="306"/>
      <c r="V180" s="306"/>
      <c r="W180" s="441">
        <f t="shared" si="53"/>
        <v>0</v>
      </c>
      <c r="X180" s="442"/>
      <c r="Y180" s="443"/>
      <c r="Z180" s="444">
        <f t="shared" si="54"/>
        <v>0</v>
      </c>
      <c r="AA180" s="307"/>
      <c r="AB180" s="307"/>
      <c r="AC180" s="445">
        <f t="shared" si="55"/>
        <v>0</v>
      </c>
      <c r="AD180" s="442"/>
      <c r="AE180" s="443"/>
      <c r="AF180" s="444">
        <f t="shared" si="56"/>
        <v>0</v>
      </c>
      <c r="AG180" s="307"/>
      <c r="AH180" s="307"/>
      <c r="AI180" s="445">
        <f t="shared" si="57"/>
        <v>0</v>
      </c>
      <c r="AJ180" s="462">
        <v>2</v>
      </c>
      <c r="AK180" s="461">
        <v>29817</v>
      </c>
      <c r="AL180" s="444">
        <f t="shared" si="58"/>
        <v>59634</v>
      </c>
      <c r="AM180" s="307"/>
      <c r="AN180" s="307"/>
      <c r="AO180" s="447">
        <f t="shared" si="59"/>
        <v>0</v>
      </c>
      <c r="AP180" s="448"/>
      <c r="AQ180" s="443"/>
      <c r="AR180" s="444">
        <f t="shared" si="60"/>
        <v>0</v>
      </c>
      <c r="AS180" s="307"/>
      <c r="AT180" s="307"/>
      <c r="AU180" s="441">
        <f t="shared" si="61"/>
        <v>0</v>
      </c>
      <c r="AV180" s="442"/>
      <c r="AW180" s="443"/>
      <c r="AX180" s="444">
        <f t="shared" si="62"/>
        <v>0</v>
      </c>
      <c r="AY180" s="307"/>
      <c r="AZ180" s="307"/>
      <c r="BA180" s="445">
        <f t="shared" si="63"/>
        <v>0</v>
      </c>
      <c r="BB180" s="442"/>
      <c r="BC180" s="443"/>
      <c r="BD180" s="444">
        <f t="shared" si="64"/>
        <v>0</v>
      </c>
      <c r="BE180" s="307"/>
      <c r="BF180" s="307"/>
      <c r="BG180" s="445">
        <f t="shared" si="65"/>
        <v>0</v>
      </c>
      <c r="BH180" s="442"/>
      <c r="BI180" s="443"/>
      <c r="BJ180" s="444">
        <f t="shared" si="66"/>
        <v>0</v>
      </c>
      <c r="BK180" s="307"/>
      <c r="BL180" s="307"/>
      <c r="BM180" s="445">
        <f t="shared" si="67"/>
        <v>0</v>
      </c>
      <c r="BN180" s="442"/>
      <c r="BO180" s="443"/>
      <c r="BP180" s="444">
        <f t="shared" si="68"/>
        <v>0</v>
      </c>
      <c r="BQ180" s="307"/>
      <c r="BR180" s="307"/>
      <c r="BS180" s="445">
        <f t="shared" si="69"/>
        <v>0</v>
      </c>
      <c r="BT180" s="442">
        <v>115</v>
      </c>
      <c r="BU180" s="443">
        <v>48496.6</v>
      </c>
      <c r="BV180" s="444">
        <f t="shared" si="70"/>
        <v>4563190.5838000001</v>
      </c>
      <c r="BW180" s="307">
        <v>121</v>
      </c>
      <c r="BX180" s="307">
        <v>47846</v>
      </c>
      <c r="BY180" s="449">
        <f t="shared" si="71"/>
        <v>4736859.2612000005</v>
      </c>
    </row>
    <row r="181" spans="1:77" s="308" customFormat="1" ht="12.75" customHeight="1">
      <c r="A181" s="338" t="s">
        <v>345</v>
      </c>
      <c r="B181" s="312" t="s">
        <v>677</v>
      </c>
      <c r="C181" s="312"/>
      <c r="D181" s="340">
        <v>420431</v>
      </c>
      <c r="E181" s="460">
        <v>13</v>
      </c>
      <c r="F181" s="453"/>
      <c r="G181" s="454"/>
      <c r="H181" s="439">
        <f t="shared" si="48"/>
        <v>0</v>
      </c>
      <c r="I181" s="311"/>
      <c r="J181" s="311"/>
      <c r="K181" s="441">
        <f t="shared" si="49"/>
        <v>0</v>
      </c>
      <c r="L181" s="442"/>
      <c r="M181" s="443"/>
      <c r="N181" s="444">
        <f t="shared" si="50"/>
        <v>0</v>
      </c>
      <c r="O181" s="307"/>
      <c r="P181" s="307"/>
      <c r="Q181" s="445">
        <f t="shared" si="51"/>
        <v>0</v>
      </c>
      <c r="R181" s="442"/>
      <c r="S181" s="443"/>
      <c r="T181" s="444">
        <f t="shared" si="52"/>
        <v>0</v>
      </c>
      <c r="U181" s="306"/>
      <c r="V181" s="306"/>
      <c r="W181" s="441">
        <f t="shared" si="53"/>
        <v>0</v>
      </c>
      <c r="X181" s="442"/>
      <c r="Y181" s="443"/>
      <c r="Z181" s="444">
        <f t="shared" si="54"/>
        <v>0</v>
      </c>
      <c r="AA181" s="307"/>
      <c r="AB181" s="307"/>
      <c r="AC181" s="445">
        <f t="shared" si="55"/>
        <v>0</v>
      </c>
      <c r="AD181" s="442"/>
      <c r="AE181" s="443"/>
      <c r="AF181" s="444">
        <f t="shared" si="56"/>
        <v>0</v>
      </c>
      <c r="AG181" s="307"/>
      <c r="AH181" s="307"/>
      <c r="AI181" s="445">
        <f t="shared" si="57"/>
        <v>0</v>
      </c>
      <c r="AJ181" s="446">
        <v>1</v>
      </c>
      <c r="AK181" s="443">
        <v>38400</v>
      </c>
      <c r="AL181" s="444">
        <f t="shared" si="58"/>
        <v>38400</v>
      </c>
      <c r="AM181" s="307"/>
      <c r="AN181" s="307"/>
      <c r="AO181" s="447">
        <f t="shared" si="59"/>
        <v>0</v>
      </c>
      <c r="AP181" s="448"/>
      <c r="AQ181" s="443"/>
      <c r="AR181" s="444">
        <f t="shared" si="60"/>
        <v>0</v>
      </c>
      <c r="AS181" s="307"/>
      <c r="AT181" s="307"/>
      <c r="AU181" s="441">
        <f t="shared" si="61"/>
        <v>0</v>
      </c>
      <c r="AV181" s="442"/>
      <c r="AW181" s="443"/>
      <c r="AX181" s="444">
        <f t="shared" si="62"/>
        <v>0</v>
      </c>
      <c r="AY181" s="307"/>
      <c r="AZ181" s="307"/>
      <c r="BA181" s="445">
        <f t="shared" si="63"/>
        <v>0</v>
      </c>
      <c r="BB181" s="442"/>
      <c r="BC181" s="443"/>
      <c r="BD181" s="444">
        <f t="shared" si="64"/>
        <v>0</v>
      </c>
      <c r="BE181" s="307"/>
      <c r="BF181" s="307"/>
      <c r="BG181" s="445">
        <f t="shared" si="65"/>
        <v>0</v>
      </c>
      <c r="BH181" s="442"/>
      <c r="BI181" s="443"/>
      <c r="BJ181" s="444">
        <f t="shared" si="66"/>
        <v>0</v>
      </c>
      <c r="BK181" s="307"/>
      <c r="BL181" s="307"/>
      <c r="BM181" s="445">
        <f t="shared" si="67"/>
        <v>0</v>
      </c>
      <c r="BN181" s="442"/>
      <c r="BO181" s="443"/>
      <c r="BP181" s="444">
        <f t="shared" si="68"/>
        <v>0</v>
      </c>
      <c r="BQ181" s="307"/>
      <c r="BR181" s="307"/>
      <c r="BS181" s="445">
        <f t="shared" si="69"/>
        <v>0</v>
      </c>
      <c r="BT181" s="442">
        <v>29</v>
      </c>
      <c r="BU181" s="443">
        <v>45881</v>
      </c>
      <c r="BV181" s="444">
        <f t="shared" si="70"/>
        <v>1088655.1918000001</v>
      </c>
      <c r="BW181" s="307">
        <v>29</v>
      </c>
      <c r="BX181" s="307">
        <v>45384</v>
      </c>
      <c r="BY181" s="449">
        <f t="shared" si="71"/>
        <v>1076862.4752</v>
      </c>
    </row>
    <row r="182" spans="1:77" s="308" customFormat="1" ht="12.75" customHeight="1">
      <c r="A182" s="603" t="s">
        <v>345</v>
      </c>
      <c r="B182" s="337" t="s">
        <v>684</v>
      </c>
      <c r="C182" s="508" t="s">
        <v>1094</v>
      </c>
      <c r="D182" s="336">
        <v>447689</v>
      </c>
      <c r="E182" s="458">
        <v>99</v>
      </c>
      <c r="F182" s="453">
        <v>5</v>
      </c>
      <c r="G182" s="454">
        <v>120070</v>
      </c>
      <c r="H182" s="439">
        <f t="shared" si="48"/>
        <v>600350</v>
      </c>
      <c r="I182" s="311">
        <v>11</v>
      </c>
      <c r="J182" s="311">
        <v>107083</v>
      </c>
      <c r="K182" s="441">
        <f t="shared" si="49"/>
        <v>1177913</v>
      </c>
      <c r="L182" s="442">
        <v>26</v>
      </c>
      <c r="M182" s="443">
        <v>76356</v>
      </c>
      <c r="N182" s="444">
        <f t="shared" si="50"/>
        <v>1985256</v>
      </c>
      <c r="O182" s="307">
        <v>30</v>
      </c>
      <c r="P182" s="307">
        <v>77710.399999999994</v>
      </c>
      <c r="Q182" s="445">
        <f t="shared" si="51"/>
        <v>2331312</v>
      </c>
      <c r="R182" s="442">
        <v>88</v>
      </c>
      <c r="S182" s="443">
        <v>61630</v>
      </c>
      <c r="T182" s="444">
        <f t="shared" si="52"/>
        <v>5423440</v>
      </c>
      <c r="U182" s="306">
        <v>142</v>
      </c>
      <c r="V182" s="306">
        <v>60739.5</v>
      </c>
      <c r="W182" s="441">
        <f t="shared" si="53"/>
        <v>8625009</v>
      </c>
      <c r="X182" s="442">
        <v>4</v>
      </c>
      <c r="Y182" s="443">
        <v>43500</v>
      </c>
      <c r="Z182" s="444">
        <f t="shared" si="54"/>
        <v>174000</v>
      </c>
      <c r="AA182" s="307">
        <v>10</v>
      </c>
      <c r="AB182" s="307">
        <v>47403.199999999997</v>
      </c>
      <c r="AC182" s="445">
        <f t="shared" si="55"/>
        <v>474032</v>
      </c>
      <c r="AD182" s="442"/>
      <c r="AE182" s="443"/>
      <c r="AF182" s="444">
        <f t="shared" si="56"/>
        <v>0</v>
      </c>
      <c r="AG182" s="307"/>
      <c r="AH182" s="307"/>
      <c r="AI182" s="445">
        <f t="shared" si="57"/>
        <v>0</v>
      </c>
      <c r="AJ182" s="446"/>
      <c r="AK182" s="443"/>
      <c r="AL182" s="444">
        <f t="shared" si="58"/>
        <v>0</v>
      </c>
      <c r="AM182" s="307"/>
      <c r="AN182" s="307"/>
      <c r="AO182" s="447">
        <f t="shared" si="59"/>
        <v>0</v>
      </c>
      <c r="AP182" s="448"/>
      <c r="AQ182" s="443"/>
      <c r="AR182" s="444">
        <f t="shared" si="60"/>
        <v>0</v>
      </c>
      <c r="AS182" s="307"/>
      <c r="AT182" s="307"/>
      <c r="AU182" s="441">
        <f t="shared" si="61"/>
        <v>0</v>
      </c>
      <c r="AV182" s="442"/>
      <c r="AW182" s="443"/>
      <c r="AX182" s="444">
        <f t="shared" si="62"/>
        <v>0</v>
      </c>
      <c r="AY182" s="307"/>
      <c r="AZ182" s="307"/>
      <c r="BA182" s="445">
        <f t="shared" si="63"/>
        <v>0</v>
      </c>
      <c r="BB182" s="442">
        <v>7</v>
      </c>
      <c r="BC182" s="443">
        <v>53369</v>
      </c>
      <c r="BD182" s="444">
        <f t="shared" si="64"/>
        <v>305665.61060000001</v>
      </c>
      <c r="BE182" s="307">
        <v>6</v>
      </c>
      <c r="BF182" s="307">
        <v>53881.5</v>
      </c>
      <c r="BG182" s="445">
        <f t="shared" si="65"/>
        <v>264515.05979999999</v>
      </c>
      <c r="BH182" s="442">
        <v>2</v>
      </c>
      <c r="BI182" s="443">
        <v>43331</v>
      </c>
      <c r="BJ182" s="444">
        <f t="shared" si="66"/>
        <v>70906.848400000003</v>
      </c>
      <c r="BK182" s="307">
        <v>3</v>
      </c>
      <c r="BL182" s="307">
        <v>43237</v>
      </c>
      <c r="BM182" s="445">
        <f t="shared" si="67"/>
        <v>106129.5402</v>
      </c>
      <c r="BN182" s="442"/>
      <c r="BO182" s="443"/>
      <c r="BP182" s="444">
        <f t="shared" si="68"/>
        <v>0</v>
      </c>
      <c r="BQ182" s="307"/>
      <c r="BR182" s="307"/>
      <c r="BS182" s="445">
        <f t="shared" si="69"/>
        <v>0</v>
      </c>
      <c r="BT182" s="442"/>
      <c r="BU182" s="443"/>
      <c r="BV182" s="444">
        <f t="shared" si="70"/>
        <v>0</v>
      </c>
      <c r="BW182" s="307"/>
      <c r="BX182" s="307"/>
      <c r="BY182" s="449">
        <f t="shared" si="71"/>
        <v>0</v>
      </c>
    </row>
    <row r="183" spans="1:77" s="308" customFormat="1" ht="12.75" customHeight="1">
      <c r="A183" s="353" t="s">
        <v>348</v>
      </c>
      <c r="B183" s="354" t="s">
        <v>926</v>
      </c>
      <c r="C183" s="354"/>
      <c r="D183" s="353">
        <v>157085</v>
      </c>
      <c r="E183" s="415">
        <v>1</v>
      </c>
      <c r="F183" s="453">
        <v>309</v>
      </c>
      <c r="G183" s="454">
        <v>104845.04207119741</v>
      </c>
      <c r="H183" s="439">
        <f t="shared" si="48"/>
        <v>32397118</v>
      </c>
      <c r="I183" s="311">
        <f>254+51</f>
        <v>305</v>
      </c>
      <c r="J183" s="311">
        <f>+(27145133+4871341)/(254+51)</f>
        <v>104972.04590163934</v>
      </c>
      <c r="K183" s="441">
        <f t="shared" si="49"/>
        <v>32016474</v>
      </c>
      <c r="L183" s="442">
        <v>274</v>
      </c>
      <c r="M183" s="443">
        <v>74837.354014598546</v>
      </c>
      <c r="N183" s="444">
        <f t="shared" si="50"/>
        <v>20505435</v>
      </c>
      <c r="O183" s="307">
        <f>172+106</f>
        <v>278</v>
      </c>
      <c r="P183" s="307">
        <f>+(13203352+7740381)/(172+106)</f>
        <v>75337.169064748203</v>
      </c>
      <c r="Q183" s="445">
        <f t="shared" si="51"/>
        <v>20943733</v>
      </c>
      <c r="R183" s="442">
        <v>219</v>
      </c>
      <c r="S183" s="443">
        <v>69036.479452054788</v>
      </c>
      <c r="T183" s="444">
        <f t="shared" si="52"/>
        <v>15118988.999999998</v>
      </c>
      <c r="U183" s="306">
        <f>125+95</f>
        <v>220</v>
      </c>
      <c r="V183" s="306">
        <f>+(8986831+6265497)/(125+95)</f>
        <v>69328.763636363641</v>
      </c>
      <c r="W183" s="441">
        <f t="shared" si="53"/>
        <v>15252328.000000002</v>
      </c>
      <c r="X183" s="442">
        <v>2</v>
      </c>
      <c r="Y183" s="443">
        <v>59250</v>
      </c>
      <c r="Z183" s="444">
        <f t="shared" si="54"/>
        <v>118500</v>
      </c>
      <c r="AA183" s="307">
        <v>1</v>
      </c>
      <c r="AB183" s="307">
        <v>50000</v>
      </c>
      <c r="AC183" s="445">
        <f t="shared" si="55"/>
        <v>50000</v>
      </c>
      <c r="AD183" s="442">
        <v>103</v>
      </c>
      <c r="AE183" s="443">
        <v>45350.097087378643</v>
      </c>
      <c r="AF183" s="444">
        <f t="shared" si="56"/>
        <v>4671060</v>
      </c>
      <c r="AG183" s="307">
        <f>52+82</f>
        <v>134</v>
      </c>
      <c r="AH183" s="307">
        <f>+(2612670+3948384)/(52+82)</f>
        <v>48963.089552238809</v>
      </c>
      <c r="AI183" s="445">
        <f t="shared" si="57"/>
        <v>6561054</v>
      </c>
      <c r="AJ183" s="446"/>
      <c r="AK183" s="443"/>
      <c r="AL183" s="444">
        <f t="shared" si="58"/>
        <v>0</v>
      </c>
      <c r="AM183" s="307"/>
      <c r="AN183" s="307"/>
      <c r="AO183" s="447">
        <f t="shared" si="59"/>
        <v>0</v>
      </c>
      <c r="AP183" s="448">
        <v>142</v>
      </c>
      <c r="AQ183" s="443">
        <v>125246.71126760563</v>
      </c>
      <c r="AR183" s="444">
        <f t="shared" si="60"/>
        <v>14551714.000600001</v>
      </c>
      <c r="AS183" s="307">
        <f>118+25</f>
        <v>143</v>
      </c>
      <c r="AT183" s="307">
        <f>+(15246949+3011153)/(118+25)</f>
        <v>127679.03496503497</v>
      </c>
      <c r="AU183" s="441">
        <f t="shared" si="61"/>
        <v>14938779.056400001</v>
      </c>
      <c r="AV183" s="442">
        <v>119</v>
      </c>
      <c r="AW183" s="443">
        <v>94824.806722689071</v>
      </c>
      <c r="AX183" s="444">
        <f t="shared" si="62"/>
        <v>9232693.1664000005</v>
      </c>
      <c r="AY183" s="307">
        <f>75+42</f>
        <v>117</v>
      </c>
      <c r="AZ183" s="307">
        <f>+(7073138+4027382)/(75+42)</f>
        <v>94876.239316239313</v>
      </c>
      <c r="BA183" s="445">
        <f t="shared" si="63"/>
        <v>9082445.4639999997</v>
      </c>
      <c r="BB183" s="442">
        <v>95</v>
      </c>
      <c r="BC183" s="443">
        <v>80690.84210526316</v>
      </c>
      <c r="BD183" s="444">
        <f t="shared" si="64"/>
        <v>6272018.466</v>
      </c>
      <c r="BE183" s="307">
        <f>50+52</f>
        <v>102</v>
      </c>
      <c r="BF183" s="307">
        <f>+(4003097+4349918)/(50+52)</f>
        <v>81892.303921568629</v>
      </c>
      <c r="BG183" s="445">
        <f t="shared" si="65"/>
        <v>6834436.8730000006</v>
      </c>
      <c r="BH183" s="442"/>
      <c r="BI183" s="443"/>
      <c r="BJ183" s="444">
        <f t="shared" si="66"/>
        <v>0</v>
      </c>
      <c r="BK183" s="307"/>
      <c r="BL183" s="307"/>
      <c r="BM183" s="445">
        <f t="shared" si="67"/>
        <v>0</v>
      </c>
      <c r="BN183" s="442">
        <v>13</v>
      </c>
      <c r="BO183" s="443">
        <v>68642.923076923078</v>
      </c>
      <c r="BP183" s="444">
        <f t="shared" si="68"/>
        <v>730127.31560000009</v>
      </c>
      <c r="BQ183" s="307">
        <f>5+8</f>
        <v>13</v>
      </c>
      <c r="BR183" s="307">
        <f>+(365210+457941)/(5+8)</f>
        <v>63319.307692307695</v>
      </c>
      <c r="BS183" s="445">
        <f t="shared" si="69"/>
        <v>673502.14820000005</v>
      </c>
      <c r="BT183" s="442"/>
      <c r="BU183" s="443"/>
      <c r="BV183" s="444">
        <f t="shared" si="70"/>
        <v>0</v>
      </c>
      <c r="BW183" s="307"/>
      <c r="BX183" s="307"/>
      <c r="BY183" s="449">
        <f t="shared" si="71"/>
        <v>0</v>
      </c>
    </row>
    <row r="184" spans="1:77" s="308" customFormat="1" ht="12.75" customHeight="1">
      <c r="A184" s="353" t="s">
        <v>348</v>
      </c>
      <c r="B184" s="354" t="s">
        <v>927</v>
      </c>
      <c r="C184" s="354"/>
      <c r="D184" s="353">
        <v>157289</v>
      </c>
      <c r="E184" s="415">
        <v>1</v>
      </c>
      <c r="F184" s="453">
        <v>175</v>
      </c>
      <c r="G184" s="454">
        <v>99835.731428571424</v>
      </c>
      <c r="H184" s="439">
        <f t="shared" si="48"/>
        <v>17471253</v>
      </c>
      <c r="I184" s="311">
        <f>138+46</f>
        <v>184</v>
      </c>
      <c r="J184" s="311">
        <f>+(14583085+4824564)/(138+46)</f>
        <v>105476.35326086957</v>
      </c>
      <c r="K184" s="441">
        <f t="shared" si="49"/>
        <v>19407649</v>
      </c>
      <c r="L184" s="442">
        <v>163</v>
      </c>
      <c r="M184" s="443">
        <v>74537.257668711653</v>
      </c>
      <c r="N184" s="444">
        <f t="shared" si="50"/>
        <v>12149573</v>
      </c>
      <c r="O184" s="307">
        <f>99+68</f>
        <v>167</v>
      </c>
      <c r="P184" s="307">
        <f>+(7529814+4853003)/(99+68)</f>
        <v>74148.604790419166</v>
      </c>
      <c r="Q184" s="445">
        <f t="shared" si="51"/>
        <v>12382817</v>
      </c>
      <c r="R184" s="442">
        <v>161</v>
      </c>
      <c r="S184" s="443">
        <v>57641.515527950309</v>
      </c>
      <c r="T184" s="444">
        <f t="shared" si="52"/>
        <v>9280284</v>
      </c>
      <c r="U184" s="306">
        <f>78+85</f>
        <v>163</v>
      </c>
      <c r="V184" s="306">
        <f>+(4678231+5054928)/(78+85)</f>
        <v>59712.63190184049</v>
      </c>
      <c r="W184" s="441">
        <f t="shared" si="53"/>
        <v>9733159</v>
      </c>
      <c r="X184" s="442">
        <v>57</v>
      </c>
      <c r="Y184" s="443">
        <v>47944.052631578947</v>
      </c>
      <c r="Z184" s="444">
        <f t="shared" si="54"/>
        <v>2732811</v>
      </c>
      <c r="AA184" s="307">
        <f>20+42</f>
        <v>62</v>
      </c>
      <c r="AB184" s="307">
        <f>+(986823+1980001)/(20+42)</f>
        <v>47852</v>
      </c>
      <c r="AC184" s="445">
        <f t="shared" si="55"/>
        <v>2966824</v>
      </c>
      <c r="AD184" s="442"/>
      <c r="AE184" s="443"/>
      <c r="AF184" s="444">
        <f t="shared" si="56"/>
        <v>0</v>
      </c>
      <c r="AG184" s="307"/>
      <c r="AH184" s="307"/>
      <c r="AI184" s="445">
        <f t="shared" si="57"/>
        <v>0</v>
      </c>
      <c r="AJ184" s="446"/>
      <c r="AK184" s="443"/>
      <c r="AL184" s="444">
        <f t="shared" si="58"/>
        <v>0</v>
      </c>
      <c r="AM184" s="307"/>
      <c r="AN184" s="307"/>
      <c r="AO184" s="447">
        <f t="shared" si="59"/>
        <v>0</v>
      </c>
      <c r="AP184" s="448">
        <v>125</v>
      </c>
      <c r="AQ184" s="443">
        <v>120786.912</v>
      </c>
      <c r="AR184" s="444">
        <f t="shared" si="60"/>
        <v>12353481.424800001</v>
      </c>
      <c r="AS184" s="307">
        <f>99+27</f>
        <v>126</v>
      </c>
      <c r="AT184" s="307">
        <f>+(12810619+3244397)/(99+27)</f>
        <v>127420.76190476191</v>
      </c>
      <c r="AU184" s="441">
        <f t="shared" si="61"/>
        <v>13136214.091200002</v>
      </c>
      <c r="AV184" s="442">
        <v>55</v>
      </c>
      <c r="AW184" s="443">
        <v>98255.090909090912</v>
      </c>
      <c r="AX184" s="444">
        <f t="shared" si="62"/>
        <v>4421577.3459999999</v>
      </c>
      <c r="AY184" s="307">
        <f>35+21</f>
        <v>56</v>
      </c>
      <c r="AZ184" s="307">
        <f>+(3620402+1988055)/(35+21)</f>
        <v>100151.01785714286</v>
      </c>
      <c r="BA184" s="445">
        <f t="shared" si="63"/>
        <v>4588839.5174000002</v>
      </c>
      <c r="BB184" s="442">
        <v>89</v>
      </c>
      <c r="BC184" s="443">
        <v>69472.370786516854</v>
      </c>
      <c r="BD184" s="444">
        <f t="shared" si="64"/>
        <v>5058964.1462000003</v>
      </c>
      <c r="BE184" s="307">
        <f>50+50</f>
        <v>100</v>
      </c>
      <c r="BF184" s="307">
        <f>+(3943682+3632376)/(50+50)</f>
        <v>75760.58</v>
      </c>
      <c r="BG184" s="445">
        <f t="shared" si="65"/>
        <v>6198730.6556000002</v>
      </c>
      <c r="BH184" s="442">
        <v>37</v>
      </c>
      <c r="BI184" s="443">
        <v>60714.513513513513</v>
      </c>
      <c r="BJ184" s="444">
        <f t="shared" si="66"/>
        <v>1838034.7534</v>
      </c>
      <c r="BK184" s="307">
        <f>11+20</f>
        <v>31</v>
      </c>
      <c r="BL184" s="307">
        <f>+(916185+1240763)/(11+20)</f>
        <v>69578.967741935485</v>
      </c>
      <c r="BM184" s="445">
        <f t="shared" si="67"/>
        <v>1764814.8536</v>
      </c>
      <c r="BN184" s="442">
        <v>5</v>
      </c>
      <c r="BO184" s="443">
        <v>53452</v>
      </c>
      <c r="BP184" s="444">
        <f t="shared" si="68"/>
        <v>218672.13200000001</v>
      </c>
      <c r="BQ184" s="307">
        <v>5</v>
      </c>
      <c r="BR184" s="307">
        <f>+(178110+25000)/5</f>
        <v>40622</v>
      </c>
      <c r="BS184" s="445">
        <f t="shared" si="69"/>
        <v>166184.60200000001</v>
      </c>
      <c r="BT184" s="442"/>
      <c r="BU184" s="443"/>
      <c r="BV184" s="444">
        <f t="shared" si="70"/>
        <v>0</v>
      </c>
      <c r="BW184" s="307"/>
      <c r="BX184" s="307"/>
      <c r="BY184" s="449">
        <f t="shared" si="71"/>
        <v>0</v>
      </c>
    </row>
    <row r="185" spans="1:77" s="308" customFormat="1" ht="12.75" customHeight="1">
      <c r="A185" s="353" t="s">
        <v>348</v>
      </c>
      <c r="B185" s="354" t="s">
        <v>928</v>
      </c>
      <c r="C185" s="354"/>
      <c r="D185" s="353">
        <v>156620</v>
      </c>
      <c r="E185" s="415">
        <v>3</v>
      </c>
      <c r="F185" s="453">
        <v>94</v>
      </c>
      <c r="G185" s="454">
        <v>84018.638297872341</v>
      </c>
      <c r="H185" s="439">
        <f t="shared" si="48"/>
        <v>7897752</v>
      </c>
      <c r="I185" s="311">
        <f>60+32</f>
        <v>92</v>
      </c>
      <c r="J185" s="311">
        <f>+(5076149+2400285)/(60+32)</f>
        <v>81265.586956521744</v>
      </c>
      <c r="K185" s="441">
        <f t="shared" si="49"/>
        <v>7476434</v>
      </c>
      <c r="L185" s="442">
        <v>126</v>
      </c>
      <c r="M185" s="443">
        <v>65602.39682539682</v>
      </c>
      <c r="N185" s="444">
        <f t="shared" si="50"/>
        <v>8265901.9999999991</v>
      </c>
      <c r="O185" s="307">
        <f>61+62</f>
        <v>123</v>
      </c>
      <c r="P185" s="307">
        <f>+(4153393+3797499)/(61+62)</f>
        <v>64641.398373983742</v>
      </c>
      <c r="Q185" s="445">
        <f t="shared" si="51"/>
        <v>7950892</v>
      </c>
      <c r="R185" s="442">
        <v>153</v>
      </c>
      <c r="S185" s="443">
        <v>55676.660130718956</v>
      </c>
      <c r="T185" s="444">
        <f t="shared" si="52"/>
        <v>8518529</v>
      </c>
      <c r="U185" s="306">
        <f>70+96</f>
        <v>166</v>
      </c>
      <c r="V185" s="306">
        <f>+(4029772+5315577)/(70+96)</f>
        <v>56297.283132530123</v>
      </c>
      <c r="W185" s="441">
        <f t="shared" si="53"/>
        <v>9345349</v>
      </c>
      <c r="X185" s="442">
        <v>52</v>
      </c>
      <c r="Y185" s="443">
        <v>50807.038461538461</v>
      </c>
      <c r="Z185" s="444">
        <f t="shared" si="54"/>
        <v>2641966</v>
      </c>
      <c r="AA185" s="307">
        <f>14+40</f>
        <v>54</v>
      </c>
      <c r="AB185" s="307">
        <f>+(736223+1964713)/(14+40)</f>
        <v>50017.333333333336</v>
      </c>
      <c r="AC185" s="445">
        <f t="shared" si="55"/>
        <v>2700936</v>
      </c>
      <c r="AD185" s="442">
        <v>181</v>
      </c>
      <c r="AE185" s="443">
        <v>49993.386740331494</v>
      </c>
      <c r="AF185" s="444">
        <f t="shared" si="56"/>
        <v>9048803</v>
      </c>
      <c r="AG185" s="307">
        <f>14+62+6+79</f>
        <v>161</v>
      </c>
      <c r="AH185" s="307">
        <f>+(613445+3219147+239135+3952367)/(14+62+6+79)</f>
        <v>49839.09316770186</v>
      </c>
      <c r="AI185" s="445">
        <f t="shared" si="57"/>
        <v>8024093.9999999991</v>
      </c>
      <c r="AJ185" s="446"/>
      <c r="AK185" s="443"/>
      <c r="AL185" s="444">
        <f t="shared" si="58"/>
        <v>0</v>
      </c>
      <c r="AM185" s="307"/>
      <c r="AN185" s="307"/>
      <c r="AO185" s="447">
        <f t="shared" si="59"/>
        <v>0</v>
      </c>
      <c r="AP185" s="448">
        <v>17</v>
      </c>
      <c r="AQ185" s="443">
        <v>99160.470588235301</v>
      </c>
      <c r="AR185" s="444">
        <f t="shared" si="60"/>
        <v>1379262.6496000001</v>
      </c>
      <c r="AS185" s="307">
        <f>12+10</f>
        <v>22</v>
      </c>
      <c r="AT185" s="307">
        <f>+(1223626+915964)/(12+10)</f>
        <v>97254.090909090912</v>
      </c>
      <c r="AU185" s="441">
        <f t="shared" si="61"/>
        <v>1750612.5380000002</v>
      </c>
      <c r="AV185" s="442">
        <v>10</v>
      </c>
      <c r="AW185" s="443">
        <v>83208.3</v>
      </c>
      <c r="AX185" s="444">
        <f t="shared" si="62"/>
        <v>680810.31060000008</v>
      </c>
      <c r="AY185" s="307">
        <v>8</v>
      </c>
      <c r="AZ185" s="307">
        <f>+(485677+247837)/8</f>
        <v>91689.25</v>
      </c>
      <c r="BA185" s="445">
        <f t="shared" si="63"/>
        <v>600161.15480000002</v>
      </c>
      <c r="BB185" s="442">
        <v>4</v>
      </c>
      <c r="BC185" s="443">
        <v>70247.25</v>
      </c>
      <c r="BD185" s="444">
        <f t="shared" si="64"/>
        <v>229905.1998</v>
      </c>
      <c r="BE185" s="307">
        <v>5</v>
      </c>
      <c r="BF185" s="307">
        <f>+(204592+142647)/5</f>
        <v>69447.8</v>
      </c>
      <c r="BG185" s="445">
        <f t="shared" si="65"/>
        <v>284110.9498</v>
      </c>
      <c r="BH185" s="442"/>
      <c r="BI185" s="443"/>
      <c r="BJ185" s="444">
        <f t="shared" si="66"/>
        <v>0</v>
      </c>
      <c r="BK185" s="307"/>
      <c r="BL185" s="307"/>
      <c r="BM185" s="445">
        <f t="shared" si="67"/>
        <v>0</v>
      </c>
      <c r="BN185" s="442">
        <v>10</v>
      </c>
      <c r="BO185" s="443">
        <v>75758.600000000006</v>
      </c>
      <c r="BP185" s="444">
        <f t="shared" si="68"/>
        <v>619856.8652</v>
      </c>
      <c r="BQ185" s="307">
        <v>11</v>
      </c>
      <c r="BR185" s="307">
        <f>+(615475+187111)/11</f>
        <v>72962.363636363632</v>
      </c>
      <c r="BS185" s="445">
        <f t="shared" si="69"/>
        <v>656675.8652</v>
      </c>
      <c r="BT185" s="442"/>
      <c r="BU185" s="443"/>
      <c r="BV185" s="444">
        <f t="shared" si="70"/>
        <v>0</v>
      </c>
      <c r="BW185" s="307"/>
      <c r="BX185" s="307"/>
      <c r="BY185" s="449">
        <f t="shared" si="71"/>
        <v>0</v>
      </c>
    </row>
    <row r="186" spans="1:77" s="308" customFormat="1" ht="12.75" customHeight="1">
      <c r="A186" s="353" t="s">
        <v>348</v>
      </c>
      <c r="B186" s="510" t="s">
        <v>931</v>
      </c>
      <c r="C186" s="511" t="s">
        <v>1099</v>
      </c>
      <c r="D186" s="353">
        <v>157386</v>
      </c>
      <c r="E186" s="493">
        <v>3</v>
      </c>
      <c r="F186" s="453">
        <v>49</v>
      </c>
      <c r="G186" s="454">
        <v>72124.306122448979</v>
      </c>
      <c r="H186" s="439">
        <f t="shared" si="48"/>
        <v>3534091</v>
      </c>
      <c r="I186" s="311">
        <f>34+15</f>
        <v>49</v>
      </c>
      <c r="J186" s="311">
        <f>+(2472288+1042298)/(34+15)</f>
        <v>71726.244897959186</v>
      </c>
      <c r="K186" s="441">
        <f t="shared" si="49"/>
        <v>3514586</v>
      </c>
      <c r="L186" s="442">
        <v>133</v>
      </c>
      <c r="M186" s="443">
        <v>60112.962406015038</v>
      </c>
      <c r="N186" s="444">
        <f t="shared" si="50"/>
        <v>7995024</v>
      </c>
      <c r="O186" s="307">
        <f>75+56</f>
        <v>131</v>
      </c>
      <c r="P186" s="307">
        <f>+(4601366+3280888)/(75+56)</f>
        <v>60169.877862595422</v>
      </c>
      <c r="Q186" s="445">
        <f t="shared" si="51"/>
        <v>7882254</v>
      </c>
      <c r="R186" s="442">
        <v>95</v>
      </c>
      <c r="S186" s="443">
        <v>51137.189473684208</v>
      </c>
      <c r="T186" s="444">
        <f t="shared" si="52"/>
        <v>4858033</v>
      </c>
      <c r="U186" s="306">
        <f>35+59</f>
        <v>94</v>
      </c>
      <c r="V186" s="306">
        <f>+(1804372+2956216)/(35+59)</f>
        <v>50644.553191489358</v>
      </c>
      <c r="W186" s="441">
        <f t="shared" si="53"/>
        <v>4760588</v>
      </c>
      <c r="X186" s="442">
        <v>66</v>
      </c>
      <c r="Y186" s="443">
        <v>37089.181818181816</v>
      </c>
      <c r="Z186" s="444">
        <f t="shared" si="54"/>
        <v>2447886</v>
      </c>
      <c r="AA186" s="307">
        <f>30+40</f>
        <v>70</v>
      </c>
      <c r="AB186" s="307">
        <f>+(1118621+1504400)/(30+40)</f>
        <v>37471.728571428568</v>
      </c>
      <c r="AC186" s="445">
        <f t="shared" si="55"/>
        <v>2623021</v>
      </c>
      <c r="AD186" s="442"/>
      <c r="AE186" s="443"/>
      <c r="AF186" s="444">
        <f t="shared" si="56"/>
        <v>0</v>
      </c>
      <c r="AG186" s="307"/>
      <c r="AH186" s="307"/>
      <c r="AI186" s="445">
        <f t="shared" si="57"/>
        <v>0</v>
      </c>
      <c r="AJ186" s="446"/>
      <c r="AK186" s="443"/>
      <c r="AL186" s="444">
        <f t="shared" si="58"/>
        <v>0</v>
      </c>
      <c r="AM186" s="307"/>
      <c r="AN186" s="307"/>
      <c r="AO186" s="447">
        <f t="shared" si="59"/>
        <v>0</v>
      </c>
      <c r="AP186" s="448">
        <v>14</v>
      </c>
      <c r="AQ186" s="443">
        <v>98887.5</v>
      </c>
      <c r="AR186" s="444">
        <f t="shared" si="60"/>
        <v>1132736.5350000001</v>
      </c>
      <c r="AS186" s="307">
        <v>15</v>
      </c>
      <c r="AT186" s="307">
        <f>+(1066024+88114)/15</f>
        <v>76942.53333333334</v>
      </c>
      <c r="AU186" s="441">
        <f t="shared" si="61"/>
        <v>944315.71160000004</v>
      </c>
      <c r="AV186" s="442">
        <v>6</v>
      </c>
      <c r="AW186" s="443">
        <v>87225.166666666672</v>
      </c>
      <c r="AX186" s="444">
        <f t="shared" si="62"/>
        <v>428205.78820000001</v>
      </c>
      <c r="AY186" s="307">
        <v>10</v>
      </c>
      <c r="AZ186" s="307">
        <f>+(242555+365013)/10</f>
        <v>60756.800000000003</v>
      </c>
      <c r="BA186" s="445">
        <f t="shared" si="63"/>
        <v>497112.13760000002</v>
      </c>
      <c r="BB186" s="442">
        <v>3</v>
      </c>
      <c r="BC186" s="443">
        <v>51179.333333333336</v>
      </c>
      <c r="BD186" s="444">
        <f t="shared" si="64"/>
        <v>125624.79160000001</v>
      </c>
      <c r="BE186" s="307">
        <v>3</v>
      </c>
      <c r="BF186" s="307">
        <f>+(100460+76000)/3</f>
        <v>58820</v>
      </c>
      <c r="BG186" s="445">
        <f t="shared" si="65"/>
        <v>144379.57200000001</v>
      </c>
      <c r="BH186" s="442">
        <v>4</v>
      </c>
      <c r="BI186" s="443">
        <v>53915.75</v>
      </c>
      <c r="BJ186" s="444">
        <f t="shared" si="66"/>
        <v>176455.46660000001</v>
      </c>
      <c r="BK186" s="307">
        <v>2</v>
      </c>
      <c r="BL186" s="307">
        <f>92845/2</f>
        <v>46422.5</v>
      </c>
      <c r="BM186" s="445">
        <f t="shared" si="67"/>
        <v>75965.77900000001</v>
      </c>
      <c r="BN186" s="442"/>
      <c r="BO186" s="443"/>
      <c r="BP186" s="444">
        <f t="shared" si="68"/>
        <v>0</v>
      </c>
      <c r="BQ186" s="307"/>
      <c r="BR186" s="307"/>
      <c r="BS186" s="445">
        <f t="shared" si="69"/>
        <v>0</v>
      </c>
      <c r="BT186" s="442"/>
      <c r="BU186" s="443"/>
      <c r="BV186" s="444">
        <f t="shared" si="70"/>
        <v>0</v>
      </c>
      <c r="BW186" s="307"/>
      <c r="BX186" s="307"/>
      <c r="BY186" s="449">
        <f t="shared" si="71"/>
        <v>0</v>
      </c>
    </row>
    <row r="187" spans="1:77" s="308" customFormat="1" ht="12.75" customHeight="1">
      <c r="A187" s="353" t="s">
        <v>348</v>
      </c>
      <c r="B187" s="354" t="s">
        <v>929</v>
      </c>
      <c r="C187" s="354"/>
      <c r="D187" s="353">
        <v>157401</v>
      </c>
      <c r="E187" s="415">
        <v>3</v>
      </c>
      <c r="F187" s="453">
        <v>79</v>
      </c>
      <c r="G187" s="454">
        <v>79904.582278481015</v>
      </c>
      <c r="H187" s="439">
        <f t="shared" si="48"/>
        <v>6312462</v>
      </c>
      <c r="I187" s="311">
        <f>54+20</f>
        <v>74</v>
      </c>
      <c r="J187" s="311">
        <f>+(4500143+1479624)/(54+20)</f>
        <v>80807.66216216216</v>
      </c>
      <c r="K187" s="441">
        <f t="shared" si="49"/>
        <v>5979767</v>
      </c>
      <c r="L187" s="442">
        <v>81</v>
      </c>
      <c r="M187" s="443">
        <v>61907.172839506173</v>
      </c>
      <c r="N187" s="444">
        <f t="shared" si="50"/>
        <v>5014481</v>
      </c>
      <c r="O187" s="307">
        <f>49+35</f>
        <v>84</v>
      </c>
      <c r="P187" s="307">
        <f>+(3140404+2082310)/(49+35)</f>
        <v>62175.166666666664</v>
      </c>
      <c r="Q187" s="445">
        <f t="shared" si="51"/>
        <v>5222714</v>
      </c>
      <c r="R187" s="442">
        <v>116</v>
      </c>
      <c r="S187" s="443">
        <v>52790.90517241379</v>
      </c>
      <c r="T187" s="444">
        <f t="shared" si="52"/>
        <v>6123745</v>
      </c>
      <c r="U187" s="306">
        <f>67+49</f>
        <v>116</v>
      </c>
      <c r="V187" s="306">
        <f>+(3559472+2581559)/(67+49)</f>
        <v>52939.922413793101</v>
      </c>
      <c r="W187" s="441">
        <f t="shared" si="53"/>
        <v>6141031</v>
      </c>
      <c r="X187" s="442"/>
      <c r="Y187" s="443"/>
      <c r="Z187" s="444">
        <f t="shared" si="54"/>
        <v>0</v>
      </c>
      <c r="AA187" s="307"/>
      <c r="AB187" s="307"/>
      <c r="AC187" s="445">
        <f t="shared" si="55"/>
        <v>0</v>
      </c>
      <c r="AD187" s="442">
        <v>73</v>
      </c>
      <c r="AE187" s="443">
        <v>43568.643835616436</v>
      </c>
      <c r="AF187" s="444">
        <f t="shared" si="56"/>
        <v>3180511</v>
      </c>
      <c r="AG187" s="307">
        <f>28+43</f>
        <v>71</v>
      </c>
      <c r="AH187" s="307">
        <f>+(1182379+1850096)/(28+43)</f>
        <v>42710.915492957749</v>
      </c>
      <c r="AI187" s="445">
        <f t="shared" si="57"/>
        <v>3032475</v>
      </c>
      <c r="AJ187" s="446"/>
      <c r="AK187" s="443"/>
      <c r="AL187" s="444">
        <f t="shared" si="58"/>
        <v>0</v>
      </c>
      <c r="AM187" s="307"/>
      <c r="AN187" s="307"/>
      <c r="AO187" s="447">
        <f t="shared" si="59"/>
        <v>0</v>
      </c>
      <c r="AP187" s="448">
        <v>23</v>
      </c>
      <c r="AQ187" s="443">
        <v>98492</v>
      </c>
      <c r="AR187" s="444">
        <f t="shared" si="60"/>
        <v>1853481.5512000001</v>
      </c>
      <c r="AS187" s="307">
        <f>19+5</f>
        <v>24</v>
      </c>
      <c r="AT187" s="307">
        <f>+(1906227+437320)/(19+5)</f>
        <v>97647.791666666672</v>
      </c>
      <c r="AU187" s="441">
        <f t="shared" si="61"/>
        <v>1917490.1554</v>
      </c>
      <c r="AV187" s="442">
        <v>15</v>
      </c>
      <c r="AW187" s="443">
        <v>85371</v>
      </c>
      <c r="AX187" s="444">
        <f t="shared" si="62"/>
        <v>1047758.2830000001</v>
      </c>
      <c r="AY187" s="307">
        <v>12</v>
      </c>
      <c r="AZ187" s="307">
        <f>+(888582+156698)/12</f>
        <v>87106.666666666672</v>
      </c>
      <c r="BA187" s="445">
        <f t="shared" si="63"/>
        <v>855248.09600000002</v>
      </c>
      <c r="BB187" s="442">
        <v>2</v>
      </c>
      <c r="BC187" s="443">
        <v>49393</v>
      </c>
      <c r="BD187" s="444">
        <f t="shared" si="64"/>
        <v>80826.705199999997</v>
      </c>
      <c r="BE187" s="307">
        <v>3</v>
      </c>
      <c r="BF187" s="307">
        <f>+(100970+56346)/3</f>
        <v>52438.666666666664</v>
      </c>
      <c r="BG187" s="445">
        <f t="shared" si="65"/>
        <v>128715.95120000001</v>
      </c>
      <c r="BH187" s="442"/>
      <c r="BI187" s="443"/>
      <c r="BJ187" s="444">
        <f t="shared" si="66"/>
        <v>0</v>
      </c>
      <c r="BK187" s="307"/>
      <c r="BL187" s="307"/>
      <c r="BM187" s="445">
        <f t="shared" si="67"/>
        <v>0</v>
      </c>
      <c r="BN187" s="442">
        <v>17</v>
      </c>
      <c r="BO187" s="443">
        <v>52246.823529411762</v>
      </c>
      <c r="BP187" s="444">
        <f t="shared" si="68"/>
        <v>726721.96720000007</v>
      </c>
      <c r="BQ187" s="307">
        <v>17</v>
      </c>
      <c r="BR187" s="307">
        <f>+(393173+522071)/17</f>
        <v>53837.882352941175</v>
      </c>
      <c r="BS187" s="445">
        <f t="shared" si="69"/>
        <v>748852.64080000005</v>
      </c>
      <c r="BT187" s="442"/>
      <c r="BU187" s="443"/>
      <c r="BV187" s="444">
        <f t="shared" si="70"/>
        <v>0</v>
      </c>
      <c r="BW187" s="307"/>
      <c r="BX187" s="307"/>
      <c r="BY187" s="449">
        <f t="shared" si="71"/>
        <v>0</v>
      </c>
    </row>
    <row r="188" spans="1:77" s="308" customFormat="1" ht="12.75" customHeight="1">
      <c r="A188" s="353" t="s">
        <v>348</v>
      </c>
      <c r="B188" s="354" t="s">
        <v>930</v>
      </c>
      <c r="C188" s="354"/>
      <c r="D188" s="353">
        <v>157951</v>
      </c>
      <c r="E188" s="415">
        <v>3</v>
      </c>
      <c r="F188" s="453">
        <v>129</v>
      </c>
      <c r="G188" s="454">
        <v>82136.937984496122</v>
      </c>
      <c r="H188" s="439">
        <f t="shared" si="48"/>
        <v>10595665</v>
      </c>
      <c r="I188" s="311">
        <f>40+96</f>
        <v>136</v>
      </c>
      <c r="J188" s="311">
        <f>+(8127924+3168768)/(96+40)</f>
        <v>83063.911764705888</v>
      </c>
      <c r="K188" s="441">
        <f t="shared" si="49"/>
        <v>11296692</v>
      </c>
      <c r="L188" s="442">
        <v>177</v>
      </c>
      <c r="M188" s="443">
        <v>63420.124293785309</v>
      </c>
      <c r="N188" s="444">
        <f t="shared" si="50"/>
        <v>11225362</v>
      </c>
      <c r="O188" s="307">
        <f>109+70</f>
        <v>179</v>
      </c>
      <c r="P188" s="307">
        <f>+(7294812+4337184)/(109+70)</f>
        <v>64983.217877094969</v>
      </c>
      <c r="Q188" s="445">
        <f t="shared" si="51"/>
        <v>11631996</v>
      </c>
      <c r="R188" s="442">
        <v>224</v>
      </c>
      <c r="S188" s="443">
        <v>52982.089285714283</v>
      </c>
      <c r="T188" s="444">
        <f t="shared" si="52"/>
        <v>11867988</v>
      </c>
      <c r="U188" s="306">
        <f>101+121</f>
        <v>222</v>
      </c>
      <c r="V188" s="306">
        <f>+(5653668+6428736)/(101+121)</f>
        <v>54425.24324324324</v>
      </c>
      <c r="W188" s="441">
        <f t="shared" si="53"/>
        <v>12082404</v>
      </c>
      <c r="X188" s="442">
        <v>135</v>
      </c>
      <c r="Y188" s="443">
        <v>39996.029629629629</v>
      </c>
      <c r="Z188" s="444">
        <f t="shared" si="54"/>
        <v>5399464</v>
      </c>
      <c r="AA188" s="307">
        <f>40+98</f>
        <v>138</v>
      </c>
      <c r="AB188" s="307">
        <f>+(1674372+4065948)/(40+98)</f>
        <v>41596.521739130432</v>
      </c>
      <c r="AC188" s="445">
        <f t="shared" si="55"/>
        <v>5740320</v>
      </c>
      <c r="AD188" s="442">
        <v>18</v>
      </c>
      <c r="AE188" s="443">
        <v>51994.666666666664</v>
      </c>
      <c r="AF188" s="444">
        <f t="shared" si="56"/>
        <v>935904</v>
      </c>
      <c r="AG188" s="307">
        <f>10+12</f>
        <v>22</v>
      </c>
      <c r="AH188" s="307">
        <f>+(607188+596808)/(10+12)</f>
        <v>54727.090909090912</v>
      </c>
      <c r="AI188" s="445">
        <f t="shared" si="57"/>
        <v>1203996</v>
      </c>
      <c r="AJ188" s="446"/>
      <c r="AK188" s="443"/>
      <c r="AL188" s="444">
        <f t="shared" si="58"/>
        <v>0</v>
      </c>
      <c r="AM188" s="307"/>
      <c r="AN188" s="307"/>
      <c r="AO188" s="447">
        <f t="shared" si="59"/>
        <v>0</v>
      </c>
      <c r="AP188" s="448">
        <v>22</v>
      </c>
      <c r="AQ188" s="443">
        <v>107117.45454545454</v>
      </c>
      <c r="AR188" s="444">
        <f t="shared" si="60"/>
        <v>1928157.0288000002</v>
      </c>
      <c r="AS188" s="307">
        <f>15+8</f>
        <v>23</v>
      </c>
      <c r="AT188" s="307">
        <f>+(1666584+885420)/(15+8)</f>
        <v>110956.69565217392</v>
      </c>
      <c r="AU188" s="441">
        <f t="shared" si="61"/>
        <v>2088049.6728000001</v>
      </c>
      <c r="AV188" s="442">
        <v>16</v>
      </c>
      <c r="AW188" s="443">
        <v>92178</v>
      </c>
      <c r="AX188" s="444">
        <f t="shared" si="62"/>
        <v>1206720.6336000001</v>
      </c>
      <c r="AY188" s="307">
        <f>9+6</f>
        <v>15</v>
      </c>
      <c r="AZ188" s="307">
        <f>+(864792+518868)/(9+6)</f>
        <v>92244</v>
      </c>
      <c r="BA188" s="445">
        <f t="shared" si="63"/>
        <v>1132110.612</v>
      </c>
      <c r="BB188" s="442">
        <v>3</v>
      </c>
      <c r="BC188" s="443">
        <v>66112</v>
      </c>
      <c r="BD188" s="444">
        <f t="shared" si="64"/>
        <v>162278.51519999999</v>
      </c>
      <c r="BE188" s="307">
        <v>4</v>
      </c>
      <c r="BF188" s="307">
        <f>+(140748+120744)/4</f>
        <v>65373</v>
      </c>
      <c r="BG188" s="445">
        <f t="shared" si="65"/>
        <v>213952.75440000001</v>
      </c>
      <c r="BH188" s="442">
        <v>4</v>
      </c>
      <c r="BI188" s="443">
        <v>57405</v>
      </c>
      <c r="BJ188" s="444">
        <f t="shared" si="66"/>
        <v>187875.084</v>
      </c>
      <c r="BK188" s="307">
        <v>3</v>
      </c>
      <c r="BL188" s="307">
        <f>180792/3</f>
        <v>60264</v>
      </c>
      <c r="BM188" s="445">
        <f t="shared" si="67"/>
        <v>147924.01440000001</v>
      </c>
      <c r="BN188" s="442"/>
      <c r="BO188" s="443"/>
      <c r="BP188" s="444">
        <f t="shared" si="68"/>
        <v>0</v>
      </c>
      <c r="BQ188" s="307"/>
      <c r="BR188" s="307"/>
      <c r="BS188" s="445">
        <f t="shared" si="69"/>
        <v>0</v>
      </c>
      <c r="BT188" s="442"/>
      <c r="BU188" s="443"/>
      <c r="BV188" s="444">
        <f t="shared" si="70"/>
        <v>0</v>
      </c>
      <c r="BW188" s="307"/>
      <c r="BX188" s="307"/>
      <c r="BY188" s="449">
        <f t="shared" si="71"/>
        <v>0</v>
      </c>
    </row>
    <row r="189" spans="1:77" s="308" customFormat="1" ht="12.75" customHeight="1">
      <c r="A189" s="353" t="s">
        <v>348</v>
      </c>
      <c r="B189" s="510" t="s">
        <v>933</v>
      </c>
      <c r="C189" s="511" t="s">
        <v>1100</v>
      </c>
      <c r="D189" s="353">
        <v>157058</v>
      </c>
      <c r="E189" s="493">
        <v>4</v>
      </c>
      <c r="F189" s="453">
        <v>18</v>
      </c>
      <c r="G189" s="454">
        <v>73668.5</v>
      </c>
      <c r="H189" s="439">
        <f t="shared" si="48"/>
        <v>1326033</v>
      </c>
      <c r="I189" s="311">
        <v>20</v>
      </c>
      <c r="J189" s="311">
        <f>+(1278476+203863)/20</f>
        <v>74116.95</v>
      </c>
      <c r="K189" s="441">
        <f t="shared" si="49"/>
        <v>1482339</v>
      </c>
      <c r="L189" s="442">
        <v>31</v>
      </c>
      <c r="M189" s="443">
        <v>61634.06451612903</v>
      </c>
      <c r="N189" s="444">
        <f t="shared" si="50"/>
        <v>1910656</v>
      </c>
      <c r="O189" s="307">
        <f>28+9</f>
        <v>37</v>
      </c>
      <c r="P189" s="307">
        <f>+(1628793+528416)/(28+9)</f>
        <v>58302.945945945947</v>
      </c>
      <c r="Q189" s="445">
        <f t="shared" si="51"/>
        <v>2157209</v>
      </c>
      <c r="R189" s="442">
        <v>52</v>
      </c>
      <c r="S189" s="443">
        <v>49128.153846153844</v>
      </c>
      <c r="T189" s="444">
        <f t="shared" si="52"/>
        <v>2554664</v>
      </c>
      <c r="U189" s="306">
        <f>18+28</f>
        <v>46</v>
      </c>
      <c r="V189" s="306">
        <f>+(886772+1292394)/(18+28)</f>
        <v>47373.17391304348</v>
      </c>
      <c r="W189" s="441">
        <f t="shared" si="53"/>
        <v>2179166</v>
      </c>
      <c r="X189" s="442">
        <v>16</v>
      </c>
      <c r="Y189" s="443">
        <v>41180</v>
      </c>
      <c r="Z189" s="444">
        <f t="shared" si="54"/>
        <v>658880</v>
      </c>
      <c r="AA189" s="307">
        <v>15</v>
      </c>
      <c r="AB189" s="307">
        <f>+(195183+423541)/15</f>
        <v>41248.26666666667</v>
      </c>
      <c r="AC189" s="445">
        <f t="shared" si="55"/>
        <v>618724</v>
      </c>
      <c r="AD189" s="442"/>
      <c r="AE189" s="443"/>
      <c r="AF189" s="444">
        <f t="shared" si="56"/>
        <v>0</v>
      </c>
      <c r="AG189" s="307"/>
      <c r="AH189" s="307"/>
      <c r="AI189" s="445">
        <f t="shared" si="57"/>
        <v>0</v>
      </c>
      <c r="AJ189" s="446"/>
      <c r="AK189" s="443"/>
      <c r="AL189" s="444">
        <f t="shared" si="58"/>
        <v>0</v>
      </c>
      <c r="AM189" s="307"/>
      <c r="AN189" s="307"/>
      <c r="AO189" s="447">
        <f t="shared" si="59"/>
        <v>0</v>
      </c>
      <c r="AP189" s="448">
        <v>2</v>
      </c>
      <c r="AQ189" s="443">
        <v>84626</v>
      </c>
      <c r="AR189" s="444">
        <f t="shared" si="60"/>
        <v>138481.98639999999</v>
      </c>
      <c r="AS189" s="307">
        <v>2</v>
      </c>
      <c r="AT189" s="307">
        <f>+(169252)/2</f>
        <v>84626</v>
      </c>
      <c r="AU189" s="441">
        <f t="shared" si="61"/>
        <v>138481.98639999999</v>
      </c>
      <c r="AV189" s="442">
        <v>7</v>
      </c>
      <c r="AW189" s="443">
        <v>79604.142857142855</v>
      </c>
      <c r="AX189" s="444">
        <f t="shared" si="62"/>
        <v>455924.76780000003</v>
      </c>
      <c r="AY189" s="307">
        <v>7</v>
      </c>
      <c r="AZ189" s="307">
        <f>+(165474+402972)/7</f>
        <v>81206.571428571435</v>
      </c>
      <c r="BA189" s="445">
        <f t="shared" si="63"/>
        <v>465102.5172</v>
      </c>
      <c r="BB189" s="442">
        <v>2</v>
      </c>
      <c r="BC189" s="443">
        <v>55137.5</v>
      </c>
      <c r="BD189" s="444">
        <f t="shared" si="64"/>
        <v>90227.005000000005</v>
      </c>
      <c r="BE189" s="307">
        <v>2</v>
      </c>
      <c r="BF189" s="307">
        <f>123837/2</f>
        <v>61918.5</v>
      </c>
      <c r="BG189" s="445">
        <f t="shared" si="65"/>
        <v>101323.43340000001</v>
      </c>
      <c r="BH189" s="442"/>
      <c r="BI189" s="443"/>
      <c r="BJ189" s="444">
        <f t="shared" si="66"/>
        <v>0</v>
      </c>
      <c r="BK189" s="307"/>
      <c r="BL189" s="307"/>
      <c r="BM189" s="445">
        <f t="shared" si="67"/>
        <v>0</v>
      </c>
      <c r="BN189" s="442"/>
      <c r="BO189" s="443"/>
      <c r="BP189" s="444">
        <f t="shared" si="68"/>
        <v>0</v>
      </c>
      <c r="BQ189" s="307"/>
      <c r="BR189" s="307"/>
      <c r="BS189" s="445">
        <f t="shared" si="69"/>
        <v>0</v>
      </c>
      <c r="BT189" s="442"/>
      <c r="BU189" s="443"/>
      <c r="BV189" s="444">
        <f t="shared" si="70"/>
        <v>0</v>
      </c>
      <c r="BW189" s="307"/>
      <c r="BX189" s="307"/>
      <c r="BY189" s="449">
        <f t="shared" si="71"/>
        <v>0</v>
      </c>
    </row>
    <row r="190" spans="1:77" s="308" customFormat="1" ht="12.75" customHeight="1">
      <c r="A190" s="353" t="s">
        <v>348</v>
      </c>
      <c r="B190" s="354" t="s">
        <v>932</v>
      </c>
      <c r="C190" s="354"/>
      <c r="D190" s="353">
        <v>157447</v>
      </c>
      <c r="E190" s="415">
        <v>4</v>
      </c>
      <c r="F190" s="453">
        <v>85</v>
      </c>
      <c r="G190" s="454">
        <v>93242.317647058822</v>
      </c>
      <c r="H190" s="439">
        <f t="shared" si="48"/>
        <v>7925597</v>
      </c>
      <c r="I190" s="311">
        <f>56+32</f>
        <v>88</v>
      </c>
      <c r="J190" s="311">
        <f>+(5461629+2829254)/(56+32)</f>
        <v>94214.579545454544</v>
      </c>
      <c r="K190" s="441">
        <f t="shared" si="49"/>
        <v>8290883</v>
      </c>
      <c r="L190" s="442">
        <v>131</v>
      </c>
      <c r="M190" s="443">
        <v>69903.625954198476</v>
      </c>
      <c r="N190" s="444">
        <f t="shared" si="50"/>
        <v>9157375</v>
      </c>
      <c r="O190" s="307">
        <f>80+63</f>
        <v>143</v>
      </c>
      <c r="P190" s="307">
        <f>+(5616369+4242678)/(80+63)</f>
        <v>68944.38461538461</v>
      </c>
      <c r="Q190" s="445">
        <f t="shared" si="51"/>
        <v>9859047</v>
      </c>
      <c r="R190" s="442">
        <v>148</v>
      </c>
      <c r="S190" s="443">
        <v>62625.736486486487</v>
      </c>
      <c r="T190" s="444">
        <f t="shared" si="52"/>
        <v>9268609</v>
      </c>
      <c r="U190" s="306">
        <f>56+82</f>
        <v>138</v>
      </c>
      <c r="V190" s="306">
        <f>+(3668391+4983210)/(56+82)</f>
        <v>62692.760869565216</v>
      </c>
      <c r="W190" s="441">
        <f t="shared" si="53"/>
        <v>8651601</v>
      </c>
      <c r="X190" s="442">
        <v>2</v>
      </c>
      <c r="Y190" s="443">
        <v>55175.5</v>
      </c>
      <c r="Z190" s="444">
        <f t="shared" si="54"/>
        <v>110351</v>
      </c>
      <c r="AA190" s="307">
        <v>1</v>
      </c>
      <c r="AB190" s="307">
        <v>50351</v>
      </c>
      <c r="AC190" s="445">
        <f t="shared" si="55"/>
        <v>50351</v>
      </c>
      <c r="AD190" s="442">
        <v>132</v>
      </c>
      <c r="AE190" s="443">
        <v>43916.742424242424</v>
      </c>
      <c r="AF190" s="444">
        <f t="shared" si="56"/>
        <v>5797010</v>
      </c>
      <c r="AG190" s="307">
        <f>56+67</f>
        <v>123</v>
      </c>
      <c r="AH190" s="307">
        <f>+(2558548+2892672)/(56+67)</f>
        <v>44318.861788617884</v>
      </c>
      <c r="AI190" s="445">
        <f t="shared" si="57"/>
        <v>5451220</v>
      </c>
      <c r="AJ190" s="446"/>
      <c r="AK190" s="443"/>
      <c r="AL190" s="444">
        <f t="shared" si="58"/>
        <v>0</v>
      </c>
      <c r="AM190" s="307"/>
      <c r="AN190" s="307"/>
      <c r="AO190" s="447">
        <f t="shared" si="59"/>
        <v>0</v>
      </c>
      <c r="AP190" s="448">
        <v>5</v>
      </c>
      <c r="AQ190" s="443">
        <v>85522</v>
      </c>
      <c r="AR190" s="444">
        <f t="shared" si="60"/>
        <v>349870.50200000004</v>
      </c>
      <c r="AS190" s="307">
        <v>1</v>
      </c>
      <c r="AT190" s="307">
        <v>58072</v>
      </c>
      <c r="AU190" s="441">
        <f t="shared" si="61"/>
        <v>47514.510399999999</v>
      </c>
      <c r="AV190" s="442">
        <v>6</v>
      </c>
      <c r="AW190" s="443">
        <v>76615</v>
      </c>
      <c r="AX190" s="444">
        <f t="shared" si="62"/>
        <v>376118.35800000001</v>
      </c>
      <c r="AY190" s="307">
        <v>5</v>
      </c>
      <c r="AZ190" s="307">
        <f>+(77279+319701)/5</f>
        <v>79396</v>
      </c>
      <c r="BA190" s="445">
        <f t="shared" si="63"/>
        <v>324809.03600000002</v>
      </c>
      <c r="BB190" s="442">
        <v>1</v>
      </c>
      <c r="BC190" s="443">
        <v>65681</v>
      </c>
      <c r="BD190" s="444">
        <f t="shared" si="64"/>
        <v>53740.194200000005</v>
      </c>
      <c r="BE190" s="307">
        <v>4</v>
      </c>
      <c r="BF190" s="307">
        <f>+(98225+212582)/4</f>
        <v>77701.75</v>
      </c>
      <c r="BG190" s="445">
        <f t="shared" si="65"/>
        <v>254302.2874</v>
      </c>
      <c r="BH190" s="442">
        <v>1</v>
      </c>
      <c r="BI190" s="443">
        <v>84396</v>
      </c>
      <c r="BJ190" s="444">
        <f t="shared" si="66"/>
        <v>69052.80720000001</v>
      </c>
      <c r="BK190" s="307">
        <v>2</v>
      </c>
      <c r="BL190" s="307">
        <f>146667/2</f>
        <v>73333.5</v>
      </c>
      <c r="BM190" s="445">
        <f t="shared" si="67"/>
        <v>120002.9394</v>
      </c>
      <c r="BN190" s="442">
        <v>21</v>
      </c>
      <c r="BO190" s="443">
        <v>56398.476190476191</v>
      </c>
      <c r="BP190" s="444">
        <f t="shared" si="68"/>
        <v>969049.89760000003</v>
      </c>
      <c r="BQ190" s="307">
        <v>20</v>
      </c>
      <c r="BR190" s="307">
        <f>+(335588+774716)/20</f>
        <v>55515.199999999997</v>
      </c>
      <c r="BS190" s="445">
        <f t="shared" si="69"/>
        <v>908450.7328</v>
      </c>
      <c r="BT190" s="442"/>
      <c r="BU190" s="443"/>
      <c r="BV190" s="444">
        <f t="shared" si="70"/>
        <v>0</v>
      </c>
      <c r="BW190" s="307"/>
      <c r="BX190" s="307"/>
      <c r="BY190" s="449">
        <f t="shared" si="71"/>
        <v>0</v>
      </c>
    </row>
    <row r="191" spans="1:77" s="308" customFormat="1" ht="12.75" customHeight="1">
      <c r="A191" s="353" t="s">
        <v>348</v>
      </c>
      <c r="B191" s="354" t="s">
        <v>934</v>
      </c>
      <c r="C191" s="354"/>
      <c r="D191" s="353">
        <v>157173</v>
      </c>
      <c r="E191" s="415">
        <v>8</v>
      </c>
      <c r="F191" s="453">
        <v>51</v>
      </c>
      <c r="G191" s="454">
        <v>57062.23529411765</v>
      </c>
      <c r="H191" s="439">
        <f t="shared" si="48"/>
        <v>2910174</v>
      </c>
      <c r="I191" s="311">
        <f>20+31</f>
        <v>51</v>
      </c>
      <c r="J191" s="311">
        <f>+(1199442+1751000)/(20+31)</f>
        <v>57851.803921568629</v>
      </c>
      <c r="K191" s="441">
        <f t="shared" si="49"/>
        <v>2950442</v>
      </c>
      <c r="L191" s="442">
        <v>110</v>
      </c>
      <c r="M191" s="443">
        <v>50792.481818181819</v>
      </c>
      <c r="N191" s="444">
        <f t="shared" si="50"/>
        <v>5587173</v>
      </c>
      <c r="O191" s="307">
        <f>57+57</f>
        <v>114</v>
      </c>
      <c r="P191" s="307">
        <f>+(2952149+2733024)/(57+57)</f>
        <v>49869.938596491229</v>
      </c>
      <c r="Q191" s="445">
        <f t="shared" si="51"/>
        <v>5685173</v>
      </c>
      <c r="R191" s="442">
        <v>40</v>
      </c>
      <c r="S191" s="443">
        <v>41034.224999999999</v>
      </c>
      <c r="T191" s="444">
        <f t="shared" si="52"/>
        <v>1641369</v>
      </c>
      <c r="U191" s="306">
        <f>16+18</f>
        <v>34</v>
      </c>
      <c r="V191" s="306">
        <f>+(674068+730284)/(16+18)</f>
        <v>41304.470588235294</v>
      </c>
      <c r="W191" s="441">
        <f t="shared" si="53"/>
        <v>1404352</v>
      </c>
      <c r="X191" s="442">
        <v>20</v>
      </c>
      <c r="Y191" s="443">
        <v>38502.550000000003</v>
      </c>
      <c r="Z191" s="444">
        <f t="shared" si="54"/>
        <v>770051</v>
      </c>
      <c r="AA191" s="307">
        <f>8+9</f>
        <v>17</v>
      </c>
      <c r="AB191" s="307">
        <f>+(326791+324762)/(8+9)</f>
        <v>38326.647058823532</v>
      </c>
      <c r="AC191" s="445">
        <f t="shared" si="55"/>
        <v>651553</v>
      </c>
      <c r="AD191" s="442"/>
      <c r="AE191" s="443"/>
      <c r="AF191" s="444">
        <f t="shared" si="56"/>
        <v>0</v>
      </c>
      <c r="AG191" s="307"/>
      <c r="AH191" s="307"/>
      <c r="AI191" s="445">
        <f t="shared" si="57"/>
        <v>0</v>
      </c>
      <c r="AJ191" s="446"/>
      <c r="AK191" s="443"/>
      <c r="AL191" s="444">
        <f t="shared" si="58"/>
        <v>0</v>
      </c>
      <c r="AM191" s="307"/>
      <c r="AN191" s="307"/>
      <c r="AO191" s="447">
        <f t="shared" si="59"/>
        <v>0</v>
      </c>
      <c r="AP191" s="448">
        <v>4</v>
      </c>
      <c r="AQ191" s="443">
        <v>67446.5</v>
      </c>
      <c r="AR191" s="444">
        <f t="shared" si="60"/>
        <v>220738.90520000001</v>
      </c>
      <c r="AS191" s="307">
        <v>4</v>
      </c>
      <c r="AT191" s="307">
        <f>+(139120+141220)/4</f>
        <v>70085</v>
      </c>
      <c r="AU191" s="441">
        <f t="shared" si="61"/>
        <v>229374.18800000002</v>
      </c>
      <c r="AV191" s="442">
        <v>4</v>
      </c>
      <c r="AW191" s="443">
        <v>57549.75</v>
      </c>
      <c r="AX191" s="444">
        <f t="shared" si="62"/>
        <v>188348.82180000001</v>
      </c>
      <c r="AY191" s="307">
        <v>2</v>
      </c>
      <c r="AZ191" s="307">
        <f>120275/2</f>
        <v>60137.5</v>
      </c>
      <c r="BA191" s="445">
        <f t="shared" si="63"/>
        <v>98409.005000000005</v>
      </c>
      <c r="BB191" s="442">
        <v>9</v>
      </c>
      <c r="BC191" s="443">
        <v>49645.555555555555</v>
      </c>
      <c r="BD191" s="444">
        <f t="shared" si="64"/>
        <v>365579.94200000004</v>
      </c>
      <c r="BE191" s="307">
        <v>6</v>
      </c>
      <c r="BF191" s="307">
        <f>+(151770+153732)/6</f>
        <v>50917</v>
      </c>
      <c r="BG191" s="445">
        <f t="shared" si="65"/>
        <v>249961.73640000002</v>
      </c>
      <c r="BH191" s="442">
        <v>1</v>
      </c>
      <c r="BI191" s="443">
        <v>47090</v>
      </c>
      <c r="BJ191" s="444">
        <f t="shared" si="66"/>
        <v>38529.038</v>
      </c>
      <c r="BK191" s="307">
        <v>4</v>
      </c>
      <c r="BL191" s="307">
        <f>+(83020+77220)/4</f>
        <v>40060</v>
      </c>
      <c r="BM191" s="445">
        <f t="shared" si="67"/>
        <v>131108.36800000002</v>
      </c>
      <c r="BN191" s="442"/>
      <c r="BO191" s="443"/>
      <c r="BP191" s="444">
        <f t="shared" si="68"/>
        <v>0</v>
      </c>
      <c r="BQ191" s="307"/>
      <c r="BR191" s="307"/>
      <c r="BS191" s="445">
        <f t="shared" si="69"/>
        <v>0</v>
      </c>
      <c r="BT191" s="442"/>
      <c r="BU191" s="443"/>
      <c r="BV191" s="444">
        <f t="shared" si="70"/>
        <v>0</v>
      </c>
      <c r="BW191" s="307"/>
      <c r="BX191" s="307"/>
      <c r="BY191" s="449">
        <f t="shared" si="71"/>
        <v>0</v>
      </c>
    </row>
    <row r="192" spans="1:77" s="308" customFormat="1" ht="12.75" customHeight="1">
      <c r="A192" s="353" t="s">
        <v>348</v>
      </c>
      <c r="B192" s="354" t="s">
        <v>935</v>
      </c>
      <c r="C192" s="354"/>
      <c r="D192" s="353">
        <v>156921</v>
      </c>
      <c r="E192" s="415">
        <v>8</v>
      </c>
      <c r="F192" s="453">
        <v>83</v>
      </c>
      <c r="G192" s="454">
        <v>58072.204819277111</v>
      </c>
      <c r="H192" s="439">
        <f t="shared" si="48"/>
        <v>4819993</v>
      </c>
      <c r="I192" s="311">
        <f>33+47</f>
        <v>80</v>
      </c>
      <c r="J192" s="311">
        <f>+(1890705+2782941)/(33+47)</f>
        <v>58420.574999999997</v>
      </c>
      <c r="K192" s="441">
        <f t="shared" si="49"/>
        <v>4673646</v>
      </c>
      <c r="L192" s="442">
        <v>86</v>
      </c>
      <c r="M192" s="443">
        <v>49473.534883720931</v>
      </c>
      <c r="N192" s="444">
        <f t="shared" si="50"/>
        <v>4254724</v>
      </c>
      <c r="O192" s="307">
        <f>39+49</f>
        <v>88</v>
      </c>
      <c r="P192" s="307">
        <f>+(1924637+2378635)/(39+49)</f>
        <v>48900.818181818184</v>
      </c>
      <c r="Q192" s="445">
        <f t="shared" si="51"/>
        <v>4303272</v>
      </c>
      <c r="R192" s="442">
        <v>34</v>
      </c>
      <c r="S192" s="443">
        <v>44586.176470588238</v>
      </c>
      <c r="T192" s="444">
        <f t="shared" si="52"/>
        <v>1515930</v>
      </c>
      <c r="U192" s="306">
        <f>14+11</f>
        <v>25</v>
      </c>
      <c r="V192" s="306">
        <f>+(638555+487940)/(14+11)</f>
        <v>45059.8</v>
      </c>
      <c r="W192" s="441">
        <f t="shared" si="53"/>
        <v>1126495</v>
      </c>
      <c r="X192" s="442">
        <v>34</v>
      </c>
      <c r="Y192" s="443">
        <v>41130.676470588238</v>
      </c>
      <c r="Z192" s="444">
        <f t="shared" si="54"/>
        <v>1398443</v>
      </c>
      <c r="AA192" s="307">
        <f>16+17</f>
        <v>33</v>
      </c>
      <c r="AB192" s="307">
        <f>+(678094+653353)/(17+16)</f>
        <v>40346.878787878784</v>
      </c>
      <c r="AC192" s="445">
        <f t="shared" si="55"/>
        <v>1331447</v>
      </c>
      <c r="AD192" s="442"/>
      <c r="AE192" s="443"/>
      <c r="AF192" s="444">
        <f t="shared" si="56"/>
        <v>0</v>
      </c>
      <c r="AG192" s="307"/>
      <c r="AH192" s="307"/>
      <c r="AI192" s="445">
        <f t="shared" si="57"/>
        <v>0</v>
      </c>
      <c r="AJ192" s="446"/>
      <c r="AK192" s="443"/>
      <c r="AL192" s="444">
        <f t="shared" si="58"/>
        <v>0</v>
      </c>
      <c r="AM192" s="307"/>
      <c r="AN192" s="307"/>
      <c r="AO192" s="447">
        <f t="shared" si="59"/>
        <v>0</v>
      </c>
      <c r="AP192" s="448">
        <v>16</v>
      </c>
      <c r="AQ192" s="443">
        <v>75242.5</v>
      </c>
      <c r="AR192" s="444">
        <f t="shared" si="60"/>
        <v>985014.61600000004</v>
      </c>
      <c r="AS192" s="307">
        <v>19</v>
      </c>
      <c r="AT192" s="307">
        <f>+(465429+942856)/19</f>
        <v>74120.263157894733</v>
      </c>
      <c r="AU192" s="441">
        <f t="shared" si="61"/>
        <v>1152258.787</v>
      </c>
      <c r="AV192" s="442">
        <v>17</v>
      </c>
      <c r="AW192" s="443">
        <v>57263.529411764706</v>
      </c>
      <c r="AX192" s="444">
        <f t="shared" si="62"/>
        <v>796501.33600000001</v>
      </c>
      <c r="AY192" s="307">
        <v>14</v>
      </c>
      <c r="AZ192" s="307">
        <f>+(239488+554244)/14</f>
        <v>56695.142857142855</v>
      </c>
      <c r="BA192" s="445">
        <f t="shared" si="63"/>
        <v>649431.52240000002</v>
      </c>
      <c r="BB192" s="442">
        <v>13</v>
      </c>
      <c r="BC192" s="443">
        <v>52807.846153846156</v>
      </c>
      <c r="BD192" s="444">
        <f t="shared" si="64"/>
        <v>561695.93640000001</v>
      </c>
      <c r="BE192" s="307">
        <v>9</v>
      </c>
      <c r="BF192" s="307">
        <f>+(192159+286701)/9</f>
        <v>53206.666666666664</v>
      </c>
      <c r="BG192" s="445">
        <f t="shared" si="65"/>
        <v>391803.25200000004</v>
      </c>
      <c r="BH192" s="442">
        <v>14</v>
      </c>
      <c r="BI192" s="443">
        <v>47015.357142857145</v>
      </c>
      <c r="BJ192" s="444">
        <f t="shared" si="66"/>
        <v>538551.51300000004</v>
      </c>
      <c r="BK192" s="307">
        <v>12</v>
      </c>
      <c r="BL192" s="307">
        <f>+(266703+346910)/12</f>
        <v>51134.416666666664</v>
      </c>
      <c r="BM192" s="445">
        <f t="shared" si="67"/>
        <v>502058.15660000005</v>
      </c>
      <c r="BN192" s="442"/>
      <c r="BO192" s="443"/>
      <c r="BP192" s="444">
        <f t="shared" si="68"/>
        <v>0</v>
      </c>
      <c r="BQ192" s="307"/>
      <c r="BR192" s="307"/>
      <c r="BS192" s="445">
        <f t="shared" si="69"/>
        <v>0</v>
      </c>
      <c r="BT192" s="442"/>
      <c r="BU192" s="443"/>
      <c r="BV192" s="444">
        <f t="shared" si="70"/>
        <v>0</v>
      </c>
      <c r="BW192" s="307"/>
      <c r="BX192" s="307"/>
      <c r="BY192" s="449">
        <f t="shared" si="71"/>
        <v>0</v>
      </c>
    </row>
    <row r="193" spans="1:77" s="308" customFormat="1" ht="12.75" customHeight="1">
      <c r="A193" s="353" t="s">
        <v>348</v>
      </c>
      <c r="B193" s="354" t="s">
        <v>936</v>
      </c>
      <c r="C193" s="354"/>
      <c r="D193" s="353">
        <v>156231</v>
      </c>
      <c r="E193" s="415">
        <v>9</v>
      </c>
      <c r="F193" s="453">
        <v>26</v>
      </c>
      <c r="G193" s="454">
        <v>59685.730769230766</v>
      </c>
      <c r="H193" s="439">
        <f t="shared" si="48"/>
        <v>1551829</v>
      </c>
      <c r="I193" s="311">
        <f>15+10</f>
        <v>25</v>
      </c>
      <c r="J193" s="311">
        <f>+(911404+613417)/(15+10)</f>
        <v>60992.84</v>
      </c>
      <c r="K193" s="441">
        <f t="shared" si="49"/>
        <v>1524821</v>
      </c>
      <c r="L193" s="442">
        <v>25</v>
      </c>
      <c r="M193" s="443">
        <v>48441.599999999999</v>
      </c>
      <c r="N193" s="444">
        <f t="shared" si="50"/>
        <v>1211040</v>
      </c>
      <c r="O193" s="307">
        <f>12+15</f>
        <v>27</v>
      </c>
      <c r="P193" s="307">
        <f>+(600410+676143)/(12+15)</f>
        <v>47279.740740740737</v>
      </c>
      <c r="Q193" s="445">
        <f t="shared" si="51"/>
        <v>1276553</v>
      </c>
      <c r="R193" s="442">
        <v>18</v>
      </c>
      <c r="S193" s="443">
        <v>40037.833333333336</v>
      </c>
      <c r="T193" s="444">
        <f t="shared" si="52"/>
        <v>720681</v>
      </c>
      <c r="U193" s="306">
        <f>10+6</f>
        <v>16</v>
      </c>
      <c r="V193" s="306">
        <f>+(403534+243272)/(10+6)</f>
        <v>40425.375</v>
      </c>
      <c r="W193" s="441">
        <f t="shared" si="53"/>
        <v>646806</v>
      </c>
      <c r="X193" s="442">
        <v>13</v>
      </c>
      <c r="Y193" s="443">
        <v>38099.461538461539</v>
      </c>
      <c r="Z193" s="444">
        <f t="shared" si="54"/>
        <v>495293</v>
      </c>
      <c r="AA193" s="307">
        <f>4+10</f>
        <v>14</v>
      </c>
      <c r="AB193" s="307">
        <f>+(158455+390000)/(4+10)</f>
        <v>39175.357142857145</v>
      </c>
      <c r="AC193" s="445">
        <f t="shared" si="55"/>
        <v>548455</v>
      </c>
      <c r="AD193" s="442"/>
      <c r="AE193" s="443"/>
      <c r="AF193" s="444">
        <f t="shared" si="56"/>
        <v>0</v>
      </c>
      <c r="AG193" s="307"/>
      <c r="AH193" s="307"/>
      <c r="AI193" s="445">
        <f t="shared" si="57"/>
        <v>0</v>
      </c>
      <c r="AJ193" s="446"/>
      <c r="AK193" s="443"/>
      <c r="AL193" s="444">
        <f t="shared" si="58"/>
        <v>0</v>
      </c>
      <c r="AM193" s="307"/>
      <c r="AN193" s="307"/>
      <c r="AO193" s="447">
        <f t="shared" si="59"/>
        <v>0</v>
      </c>
      <c r="AP193" s="448">
        <v>5</v>
      </c>
      <c r="AQ193" s="443">
        <v>73704</v>
      </c>
      <c r="AR193" s="444">
        <f t="shared" si="60"/>
        <v>301523.06400000001</v>
      </c>
      <c r="AS193" s="307">
        <v>5</v>
      </c>
      <c r="AT193" s="307">
        <f>+(238144+134938)/5</f>
        <v>74616.399999999994</v>
      </c>
      <c r="AU193" s="441">
        <f t="shared" si="61"/>
        <v>305255.6924</v>
      </c>
      <c r="AV193" s="442">
        <v>6</v>
      </c>
      <c r="AW193" s="443">
        <v>58954.5</v>
      </c>
      <c r="AX193" s="444">
        <f t="shared" si="62"/>
        <v>289419.4314</v>
      </c>
      <c r="AY193" s="307">
        <v>7</v>
      </c>
      <c r="AZ193" s="307">
        <f>+(296440+110448)/7</f>
        <v>58126.857142857145</v>
      </c>
      <c r="BA193" s="445">
        <f t="shared" si="63"/>
        <v>332915.76160000003</v>
      </c>
      <c r="BB193" s="442">
        <v>2</v>
      </c>
      <c r="BC193" s="443">
        <v>50084</v>
      </c>
      <c r="BD193" s="444">
        <f t="shared" si="64"/>
        <v>81957.457600000009</v>
      </c>
      <c r="BE193" s="307">
        <v>1</v>
      </c>
      <c r="BF193" s="307">
        <v>57465</v>
      </c>
      <c r="BG193" s="445">
        <f t="shared" si="65"/>
        <v>47017.863000000005</v>
      </c>
      <c r="BH193" s="442"/>
      <c r="BI193" s="443"/>
      <c r="BJ193" s="444">
        <f t="shared" si="66"/>
        <v>0</v>
      </c>
      <c r="BK193" s="307"/>
      <c r="BL193" s="307"/>
      <c r="BM193" s="445">
        <f t="shared" si="67"/>
        <v>0</v>
      </c>
      <c r="BN193" s="442"/>
      <c r="BO193" s="443"/>
      <c r="BP193" s="444">
        <f t="shared" si="68"/>
        <v>0</v>
      </c>
      <c r="BQ193" s="307"/>
      <c r="BR193" s="307"/>
      <c r="BS193" s="445">
        <f t="shared" si="69"/>
        <v>0</v>
      </c>
      <c r="BT193" s="442"/>
      <c r="BU193" s="443"/>
      <c r="BV193" s="444">
        <f t="shared" si="70"/>
        <v>0</v>
      </c>
      <c r="BW193" s="307"/>
      <c r="BX193" s="307"/>
      <c r="BY193" s="449">
        <f t="shared" si="71"/>
        <v>0</v>
      </c>
    </row>
    <row r="194" spans="1:77" s="308" customFormat="1" ht="12.75" customHeight="1">
      <c r="A194" s="353" t="s">
        <v>348</v>
      </c>
      <c r="B194" s="354" t="s">
        <v>937</v>
      </c>
      <c r="C194" s="354"/>
      <c r="D194" s="315">
        <v>157553</v>
      </c>
      <c r="E194" s="415">
        <v>9</v>
      </c>
      <c r="F194" s="453">
        <v>27</v>
      </c>
      <c r="G194" s="454">
        <v>56608.814814814818</v>
      </c>
      <c r="H194" s="439">
        <f t="shared" si="48"/>
        <v>1528438</v>
      </c>
      <c r="I194" s="311">
        <f>16+14</f>
        <v>30</v>
      </c>
      <c r="J194" s="311">
        <f>+(890877+777768)/(16+14)</f>
        <v>55621.5</v>
      </c>
      <c r="K194" s="441">
        <f t="shared" si="49"/>
        <v>1668645</v>
      </c>
      <c r="L194" s="442">
        <v>23</v>
      </c>
      <c r="M194" s="443">
        <v>46266.956521739128</v>
      </c>
      <c r="N194" s="444">
        <f t="shared" si="50"/>
        <v>1064140</v>
      </c>
      <c r="O194" s="307">
        <f>10+11</f>
        <v>21</v>
      </c>
      <c r="P194" s="307">
        <f>+(457881+501057)/(10+11)</f>
        <v>45663.714285714283</v>
      </c>
      <c r="Q194" s="445">
        <f t="shared" si="51"/>
        <v>958937.99999999988</v>
      </c>
      <c r="R194" s="442">
        <v>14</v>
      </c>
      <c r="S194" s="443">
        <v>39067.214285714283</v>
      </c>
      <c r="T194" s="444">
        <f t="shared" si="52"/>
        <v>546941</v>
      </c>
      <c r="U194" s="306">
        <f>7+7</f>
        <v>14</v>
      </c>
      <c r="V194" s="306">
        <f>+(277001+270410)/(7+7)</f>
        <v>39100.785714285717</v>
      </c>
      <c r="W194" s="441">
        <f t="shared" si="53"/>
        <v>547411</v>
      </c>
      <c r="X194" s="442">
        <v>22</v>
      </c>
      <c r="Y194" s="443">
        <v>34558.181818181816</v>
      </c>
      <c r="Z194" s="444">
        <f t="shared" si="54"/>
        <v>760280</v>
      </c>
      <c r="AA194" s="307">
        <f>14+17</f>
        <v>31</v>
      </c>
      <c r="AB194" s="307">
        <f>+(485150+583950)/(14+17)</f>
        <v>34487.096774193546</v>
      </c>
      <c r="AC194" s="445">
        <f t="shared" si="55"/>
        <v>1069100</v>
      </c>
      <c r="AD194" s="442"/>
      <c r="AE194" s="443"/>
      <c r="AF194" s="444">
        <f t="shared" si="56"/>
        <v>0</v>
      </c>
      <c r="AG194" s="307"/>
      <c r="AH194" s="307"/>
      <c r="AI194" s="445">
        <f t="shared" si="57"/>
        <v>0</v>
      </c>
      <c r="AJ194" s="446"/>
      <c r="AK194" s="443"/>
      <c r="AL194" s="444">
        <f t="shared" si="58"/>
        <v>0</v>
      </c>
      <c r="AM194" s="307"/>
      <c r="AN194" s="307"/>
      <c r="AO194" s="447">
        <f t="shared" si="59"/>
        <v>0</v>
      </c>
      <c r="AP194" s="448">
        <v>14</v>
      </c>
      <c r="AQ194" s="443">
        <v>68976.357142857145</v>
      </c>
      <c r="AR194" s="444">
        <f t="shared" si="60"/>
        <v>790110.37580000004</v>
      </c>
      <c r="AS194" s="307">
        <v>13</v>
      </c>
      <c r="AT194" s="307">
        <f>+(265304+625255)/13</f>
        <v>68504.538461538468</v>
      </c>
      <c r="AU194" s="441">
        <f t="shared" si="61"/>
        <v>728655.37380000018</v>
      </c>
      <c r="AV194" s="442">
        <v>5</v>
      </c>
      <c r="AW194" s="443">
        <v>62529</v>
      </c>
      <c r="AX194" s="444">
        <f t="shared" si="62"/>
        <v>255806.13900000002</v>
      </c>
      <c r="AY194" s="307">
        <v>6</v>
      </c>
      <c r="AZ194" s="307">
        <f>+(183427+183729)/6</f>
        <v>61192.666666666664</v>
      </c>
      <c r="BA194" s="445">
        <f t="shared" si="63"/>
        <v>300407.0392</v>
      </c>
      <c r="BB194" s="442"/>
      <c r="BC194" s="443"/>
      <c r="BD194" s="444">
        <f t="shared" si="64"/>
        <v>0</v>
      </c>
      <c r="BE194" s="307"/>
      <c r="BF194" s="307"/>
      <c r="BG194" s="445">
        <f t="shared" si="65"/>
        <v>0</v>
      </c>
      <c r="BH194" s="442">
        <v>1</v>
      </c>
      <c r="BI194" s="443">
        <v>43606</v>
      </c>
      <c r="BJ194" s="444">
        <f t="shared" si="66"/>
        <v>35678.429199999999</v>
      </c>
      <c r="BK194" s="307">
        <v>1</v>
      </c>
      <c r="BL194" s="307">
        <v>43606</v>
      </c>
      <c r="BM194" s="445">
        <f t="shared" si="67"/>
        <v>35678.429199999999</v>
      </c>
      <c r="BN194" s="442"/>
      <c r="BO194" s="443"/>
      <c r="BP194" s="444">
        <f t="shared" si="68"/>
        <v>0</v>
      </c>
      <c r="BQ194" s="307"/>
      <c r="BR194" s="307"/>
      <c r="BS194" s="445">
        <f t="shared" si="69"/>
        <v>0</v>
      </c>
      <c r="BT194" s="442"/>
      <c r="BU194" s="443"/>
      <c r="BV194" s="444">
        <f t="shared" si="70"/>
        <v>0</v>
      </c>
      <c r="BW194" s="307"/>
      <c r="BX194" s="307"/>
      <c r="BY194" s="449">
        <f t="shared" si="71"/>
        <v>0</v>
      </c>
    </row>
    <row r="195" spans="1:77" s="308" customFormat="1" ht="12.75" customHeight="1">
      <c r="A195" s="353" t="s">
        <v>348</v>
      </c>
      <c r="B195" s="354" t="s">
        <v>938</v>
      </c>
      <c r="C195" s="354"/>
      <c r="D195" s="315">
        <v>156648</v>
      </c>
      <c r="E195" s="415">
        <v>9</v>
      </c>
      <c r="F195" s="453">
        <v>38</v>
      </c>
      <c r="G195" s="454">
        <v>59366.34210526316</v>
      </c>
      <c r="H195" s="439">
        <f t="shared" si="48"/>
        <v>2255921</v>
      </c>
      <c r="I195" s="311">
        <f>13+24</f>
        <v>37</v>
      </c>
      <c r="J195" s="311">
        <f>+(780213+1436009)/(13+24)</f>
        <v>59897.891891891893</v>
      </c>
      <c r="K195" s="441">
        <f t="shared" si="49"/>
        <v>2216222</v>
      </c>
      <c r="L195" s="442">
        <v>45</v>
      </c>
      <c r="M195" s="443">
        <v>46773.911111111112</v>
      </c>
      <c r="N195" s="444">
        <f t="shared" si="50"/>
        <v>2104826</v>
      </c>
      <c r="O195" s="307">
        <f>27+17</f>
        <v>44</v>
      </c>
      <c r="P195" s="307">
        <f>+(1240948+808794)/(27+17)</f>
        <v>46585.045454545456</v>
      </c>
      <c r="Q195" s="445">
        <f t="shared" si="51"/>
        <v>2049742</v>
      </c>
      <c r="R195" s="442">
        <v>9</v>
      </c>
      <c r="S195" s="443">
        <v>41037.333333333336</v>
      </c>
      <c r="T195" s="444">
        <f t="shared" si="52"/>
        <v>369336</v>
      </c>
      <c r="U195" s="306">
        <v>9</v>
      </c>
      <c r="V195" s="306">
        <f>+(280952+82050)/9</f>
        <v>40333.555555555555</v>
      </c>
      <c r="W195" s="441">
        <f t="shared" si="53"/>
        <v>363002</v>
      </c>
      <c r="X195" s="442">
        <v>22</v>
      </c>
      <c r="Y195" s="443">
        <v>35507.86363636364</v>
      </c>
      <c r="Z195" s="444">
        <f t="shared" si="54"/>
        <v>781173.00000000012</v>
      </c>
      <c r="AA195" s="307">
        <f>13+16</f>
        <v>29</v>
      </c>
      <c r="AB195" s="307">
        <f>+(463553+569950)/(13+16)</f>
        <v>35638.034482758623</v>
      </c>
      <c r="AC195" s="445">
        <f t="shared" si="55"/>
        <v>1033503.0000000001</v>
      </c>
      <c r="AD195" s="442"/>
      <c r="AE195" s="443"/>
      <c r="AF195" s="444">
        <f t="shared" si="56"/>
        <v>0</v>
      </c>
      <c r="AG195" s="307"/>
      <c r="AH195" s="307"/>
      <c r="AI195" s="445">
        <f t="shared" si="57"/>
        <v>0</v>
      </c>
      <c r="AJ195" s="446"/>
      <c r="AK195" s="443"/>
      <c r="AL195" s="444">
        <f t="shared" si="58"/>
        <v>0</v>
      </c>
      <c r="AM195" s="307"/>
      <c r="AN195" s="307"/>
      <c r="AO195" s="447">
        <f t="shared" si="59"/>
        <v>0</v>
      </c>
      <c r="AP195" s="448">
        <v>3</v>
      </c>
      <c r="AQ195" s="443">
        <v>73171.666666666672</v>
      </c>
      <c r="AR195" s="444">
        <f t="shared" si="60"/>
        <v>179607.17300000001</v>
      </c>
      <c r="AS195" s="307">
        <v>3</v>
      </c>
      <c r="AT195" s="307">
        <f>+(82824+136691)/3</f>
        <v>73171.666666666672</v>
      </c>
      <c r="AU195" s="441">
        <f t="shared" si="61"/>
        <v>179607.17300000001</v>
      </c>
      <c r="AV195" s="442">
        <v>3</v>
      </c>
      <c r="AW195" s="443">
        <v>55830.333333333336</v>
      </c>
      <c r="AX195" s="444">
        <f t="shared" si="62"/>
        <v>137041.13620000001</v>
      </c>
      <c r="AY195" s="307">
        <v>4</v>
      </c>
      <c r="AZ195" s="307">
        <f>+(112491+101660)/4</f>
        <v>53537.75</v>
      </c>
      <c r="BA195" s="445">
        <f t="shared" si="63"/>
        <v>175218.34820000001</v>
      </c>
      <c r="BB195" s="442"/>
      <c r="BC195" s="443"/>
      <c r="BD195" s="444">
        <f t="shared" si="64"/>
        <v>0</v>
      </c>
      <c r="BE195" s="307"/>
      <c r="BF195" s="307"/>
      <c r="BG195" s="445">
        <f t="shared" si="65"/>
        <v>0</v>
      </c>
      <c r="BH195" s="442"/>
      <c r="BI195" s="443"/>
      <c r="BJ195" s="444">
        <f t="shared" si="66"/>
        <v>0</v>
      </c>
      <c r="BK195" s="307"/>
      <c r="BL195" s="307"/>
      <c r="BM195" s="445">
        <f t="shared" si="67"/>
        <v>0</v>
      </c>
      <c r="BN195" s="442"/>
      <c r="BO195" s="443"/>
      <c r="BP195" s="444">
        <f t="shared" si="68"/>
        <v>0</v>
      </c>
      <c r="BQ195" s="307"/>
      <c r="BR195" s="307"/>
      <c r="BS195" s="445">
        <f t="shared" si="69"/>
        <v>0</v>
      </c>
      <c r="BT195" s="442"/>
      <c r="BU195" s="443"/>
      <c r="BV195" s="444">
        <f t="shared" si="70"/>
        <v>0</v>
      </c>
      <c r="BW195" s="307"/>
      <c r="BX195" s="307"/>
      <c r="BY195" s="449">
        <f t="shared" si="71"/>
        <v>0</v>
      </c>
    </row>
    <row r="196" spans="1:77" s="308" customFormat="1" ht="12.75" customHeight="1">
      <c r="A196" s="315" t="s">
        <v>348</v>
      </c>
      <c r="B196" s="316" t="s">
        <v>939</v>
      </c>
      <c r="C196" s="316"/>
      <c r="D196" s="315">
        <v>157304</v>
      </c>
      <c r="E196" s="416">
        <v>9</v>
      </c>
      <c r="F196" s="453">
        <v>32</v>
      </c>
      <c r="G196" s="454">
        <v>59084.875</v>
      </c>
      <c r="H196" s="439">
        <f t="shared" si="48"/>
        <v>1890716</v>
      </c>
      <c r="I196" s="311">
        <f>13+20</f>
        <v>33</v>
      </c>
      <c r="J196" s="311">
        <f>+(771138+1169292)/(13+20)</f>
        <v>58800.909090909088</v>
      </c>
      <c r="K196" s="441">
        <f t="shared" si="49"/>
        <v>1940430</v>
      </c>
      <c r="L196" s="442">
        <v>29</v>
      </c>
      <c r="M196" s="443">
        <v>46038.241379310348</v>
      </c>
      <c r="N196" s="444">
        <f t="shared" si="50"/>
        <v>1335109</v>
      </c>
      <c r="O196" s="307">
        <f>8+20</f>
        <v>28</v>
      </c>
      <c r="P196" s="307">
        <f>+(374174+915372)/(8+20)</f>
        <v>46055.214285714283</v>
      </c>
      <c r="Q196" s="445">
        <f t="shared" si="51"/>
        <v>1289546</v>
      </c>
      <c r="R196" s="442">
        <v>9</v>
      </c>
      <c r="S196" s="443">
        <v>42395.333333333336</v>
      </c>
      <c r="T196" s="444">
        <f t="shared" si="52"/>
        <v>381558</v>
      </c>
      <c r="U196" s="306">
        <v>12</v>
      </c>
      <c r="V196" s="306">
        <f>+(119678+357568)/12</f>
        <v>39770.5</v>
      </c>
      <c r="W196" s="441">
        <f t="shared" si="53"/>
        <v>477246</v>
      </c>
      <c r="X196" s="442">
        <v>20</v>
      </c>
      <c r="Y196" s="443">
        <v>37418.400000000001</v>
      </c>
      <c r="Z196" s="444">
        <f t="shared" si="54"/>
        <v>748368</v>
      </c>
      <c r="AA196" s="307">
        <f>4+13</f>
        <v>17</v>
      </c>
      <c r="AB196" s="307">
        <f>+(165888+469320)/(4+13)</f>
        <v>37365.176470588238</v>
      </c>
      <c r="AC196" s="445">
        <f t="shared" si="55"/>
        <v>635208</v>
      </c>
      <c r="AD196" s="442"/>
      <c r="AE196" s="443"/>
      <c r="AF196" s="444">
        <f t="shared" si="56"/>
        <v>0</v>
      </c>
      <c r="AG196" s="307"/>
      <c r="AH196" s="307"/>
      <c r="AI196" s="445">
        <f t="shared" si="57"/>
        <v>0</v>
      </c>
      <c r="AJ196" s="446"/>
      <c r="AK196" s="443"/>
      <c r="AL196" s="444">
        <f t="shared" si="58"/>
        <v>0</v>
      </c>
      <c r="AM196" s="307"/>
      <c r="AN196" s="307"/>
      <c r="AO196" s="447">
        <f t="shared" si="59"/>
        <v>0</v>
      </c>
      <c r="AP196" s="448">
        <v>6</v>
      </c>
      <c r="AQ196" s="443">
        <v>76974.333333333328</v>
      </c>
      <c r="AR196" s="444">
        <f t="shared" si="60"/>
        <v>377882.39720000001</v>
      </c>
      <c r="AS196" s="307">
        <v>5</v>
      </c>
      <c r="AT196" s="307">
        <f>+(176342+195139)/5</f>
        <v>74296.2</v>
      </c>
      <c r="AU196" s="441">
        <f t="shared" si="61"/>
        <v>303945.75420000002</v>
      </c>
      <c r="AV196" s="442">
        <v>4</v>
      </c>
      <c r="AW196" s="443">
        <v>54174.5</v>
      </c>
      <c r="AX196" s="444">
        <f t="shared" si="62"/>
        <v>177302.30360000001</v>
      </c>
      <c r="AY196" s="307">
        <v>4</v>
      </c>
      <c r="AZ196" s="307">
        <f>+(107298+109400)/4</f>
        <v>54174.5</v>
      </c>
      <c r="BA196" s="445">
        <f t="shared" si="63"/>
        <v>177302.30360000001</v>
      </c>
      <c r="BB196" s="442">
        <v>1</v>
      </c>
      <c r="BC196" s="443">
        <v>56043</v>
      </c>
      <c r="BD196" s="444">
        <f t="shared" si="64"/>
        <v>45854.382600000004</v>
      </c>
      <c r="BE196" s="307"/>
      <c r="BF196" s="307"/>
      <c r="BG196" s="445">
        <f t="shared" si="65"/>
        <v>0</v>
      </c>
      <c r="BH196" s="442">
        <v>10</v>
      </c>
      <c r="BI196" s="443">
        <v>44879.6</v>
      </c>
      <c r="BJ196" s="444">
        <f t="shared" si="66"/>
        <v>367204.8872</v>
      </c>
      <c r="BK196" s="307">
        <v>13</v>
      </c>
      <c r="BL196" s="307">
        <f>+(387898+193220)/13</f>
        <v>44701.384615384617</v>
      </c>
      <c r="BM196" s="445">
        <f t="shared" si="67"/>
        <v>475470.7476</v>
      </c>
      <c r="BN196" s="442"/>
      <c r="BO196" s="443"/>
      <c r="BP196" s="444">
        <f t="shared" si="68"/>
        <v>0</v>
      </c>
      <c r="BQ196" s="307"/>
      <c r="BR196" s="307"/>
      <c r="BS196" s="445">
        <f t="shared" si="69"/>
        <v>0</v>
      </c>
      <c r="BT196" s="442"/>
      <c r="BU196" s="443"/>
      <c r="BV196" s="444">
        <f t="shared" si="70"/>
        <v>0</v>
      </c>
      <c r="BW196" s="307"/>
      <c r="BX196" s="307"/>
      <c r="BY196" s="449">
        <f t="shared" si="71"/>
        <v>0</v>
      </c>
    </row>
    <row r="197" spans="1:77" s="308" customFormat="1" ht="12.75" customHeight="1">
      <c r="A197" s="315" t="s">
        <v>348</v>
      </c>
      <c r="B197" s="316" t="s">
        <v>940</v>
      </c>
      <c r="C197" s="316"/>
      <c r="D197" s="315">
        <v>157331</v>
      </c>
      <c r="E197" s="416">
        <v>9</v>
      </c>
      <c r="F197" s="453">
        <v>23</v>
      </c>
      <c r="G197" s="454">
        <v>60675.956521739128</v>
      </c>
      <c r="H197" s="439">
        <f t="shared" si="48"/>
        <v>1395547</v>
      </c>
      <c r="I197" s="311">
        <f>7+16</f>
        <v>23</v>
      </c>
      <c r="J197" s="311">
        <f>+(432884+939901)/(7+16)</f>
        <v>59686.304347826088</v>
      </c>
      <c r="K197" s="441">
        <f t="shared" si="49"/>
        <v>1372785</v>
      </c>
      <c r="L197" s="442">
        <v>28</v>
      </c>
      <c r="M197" s="443">
        <v>46678.214285714283</v>
      </c>
      <c r="N197" s="444">
        <f t="shared" si="50"/>
        <v>1306990</v>
      </c>
      <c r="O197" s="307">
        <f>12+16</f>
        <v>28</v>
      </c>
      <c r="P197" s="307">
        <f>+(562676+735780)/(12+16)</f>
        <v>46373.428571428572</v>
      </c>
      <c r="Q197" s="445">
        <f t="shared" si="51"/>
        <v>1298456</v>
      </c>
      <c r="R197" s="442">
        <v>11</v>
      </c>
      <c r="S197" s="443">
        <v>41493.181818181816</v>
      </c>
      <c r="T197" s="444">
        <f t="shared" si="52"/>
        <v>456425</v>
      </c>
      <c r="U197" s="306">
        <v>10</v>
      </c>
      <c r="V197" s="306">
        <f>+(85922+339539)/10</f>
        <v>42546.1</v>
      </c>
      <c r="W197" s="441">
        <f t="shared" si="53"/>
        <v>425461</v>
      </c>
      <c r="X197" s="442">
        <v>15</v>
      </c>
      <c r="Y197" s="443">
        <v>37286</v>
      </c>
      <c r="Z197" s="444">
        <f t="shared" si="54"/>
        <v>559290</v>
      </c>
      <c r="AA197" s="307">
        <f>7+12</f>
        <v>19</v>
      </c>
      <c r="AB197" s="307">
        <f>+(262617+461629)/(7+12)</f>
        <v>38118.210526315786</v>
      </c>
      <c r="AC197" s="445">
        <f t="shared" si="55"/>
        <v>724246</v>
      </c>
      <c r="AD197" s="442"/>
      <c r="AE197" s="443"/>
      <c r="AF197" s="444">
        <f t="shared" si="56"/>
        <v>0</v>
      </c>
      <c r="AG197" s="307"/>
      <c r="AH197" s="307"/>
      <c r="AI197" s="445">
        <f t="shared" si="57"/>
        <v>0</v>
      </c>
      <c r="AJ197" s="446"/>
      <c r="AK197" s="443"/>
      <c r="AL197" s="444">
        <f t="shared" si="58"/>
        <v>0</v>
      </c>
      <c r="AM197" s="307"/>
      <c r="AN197" s="307"/>
      <c r="AO197" s="447">
        <f t="shared" si="59"/>
        <v>0</v>
      </c>
      <c r="AP197" s="448">
        <v>5</v>
      </c>
      <c r="AQ197" s="443">
        <v>65968.399999999994</v>
      </c>
      <c r="AR197" s="444">
        <f t="shared" si="60"/>
        <v>269876.72440000001</v>
      </c>
      <c r="AS197" s="307">
        <v>6</v>
      </c>
      <c r="AT197" s="307">
        <f>+(142421+264421)/6</f>
        <v>67807</v>
      </c>
      <c r="AU197" s="441">
        <f t="shared" si="61"/>
        <v>332878.12440000003</v>
      </c>
      <c r="AV197" s="442">
        <v>4</v>
      </c>
      <c r="AW197" s="443">
        <v>54436.5</v>
      </c>
      <c r="AX197" s="444">
        <f t="shared" si="62"/>
        <v>178159.77720000001</v>
      </c>
      <c r="AY197" s="307">
        <v>4</v>
      </c>
      <c r="AZ197" s="307">
        <f>217746/4</f>
        <v>54436.5</v>
      </c>
      <c r="BA197" s="445">
        <f t="shared" si="63"/>
        <v>178159.77720000001</v>
      </c>
      <c r="BB197" s="442">
        <v>1</v>
      </c>
      <c r="BC197" s="443">
        <v>45068</v>
      </c>
      <c r="BD197" s="444">
        <f t="shared" si="64"/>
        <v>36874.637600000002</v>
      </c>
      <c r="BE197" s="307"/>
      <c r="BF197" s="307"/>
      <c r="BG197" s="445">
        <f t="shared" si="65"/>
        <v>0</v>
      </c>
      <c r="BH197" s="442"/>
      <c r="BI197" s="443"/>
      <c r="BJ197" s="444">
        <f t="shared" si="66"/>
        <v>0</v>
      </c>
      <c r="BK197" s="307"/>
      <c r="BL197" s="307"/>
      <c r="BM197" s="445">
        <f t="shared" si="67"/>
        <v>0</v>
      </c>
      <c r="BN197" s="442"/>
      <c r="BO197" s="443"/>
      <c r="BP197" s="444">
        <f t="shared" si="68"/>
        <v>0</v>
      </c>
      <c r="BQ197" s="307"/>
      <c r="BR197" s="307"/>
      <c r="BS197" s="445">
        <f t="shared" si="69"/>
        <v>0</v>
      </c>
      <c r="BT197" s="442"/>
      <c r="BU197" s="443"/>
      <c r="BV197" s="444">
        <f t="shared" si="70"/>
        <v>0</v>
      </c>
      <c r="BW197" s="307"/>
      <c r="BX197" s="307"/>
      <c r="BY197" s="449">
        <f t="shared" si="71"/>
        <v>0</v>
      </c>
    </row>
    <row r="198" spans="1:77" s="308" customFormat="1" ht="12.75" customHeight="1">
      <c r="A198" s="353" t="s">
        <v>348</v>
      </c>
      <c r="B198" s="354" t="s">
        <v>941</v>
      </c>
      <c r="C198" s="354"/>
      <c r="D198" s="315">
        <v>247940</v>
      </c>
      <c r="E198" s="415">
        <v>9</v>
      </c>
      <c r="F198" s="453">
        <v>23</v>
      </c>
      <c r="G198" s="454">
        <v>58061.782608695656</v>
      </c>
      <c r="H198" s="439">
        <f t="shared" si="48"/>
        <v>1335421</v>
      </c>
      <c r="I198" s="311">
        <f>12+10</f>
        <v>22</v>
      </c>
      <c r="J198" s="311">
        <f>+(696879+584025)/(12+10)</f>
        <v>58222.909090909088</v>
      </c>
      <c r="K198" s="441">
        <f t="shared" si="49"/>
        <v>1280904</v>
      </c>
      <c r="L198" s="442">
        <v>33</v>
      </c>
      <c r="M198" s="443">
        <v>49019.151515151512</v>
      </c>
      <c r="N198" s="444">
        <f t="shared" si="50"/>
        <v>1617632</v>
      </c>
      <c r="O198" s="307">
        <f>19+16</f>
        <v>35</v>
      </c>
      <c r="P198" s="307">
        <f>+(964250+743686)/(19+16)</f>
        <v>48798.171428571426</v>
      </c>
      <c r="Q198" s="445">
        <f t="shared" si="51"/>
        <v>1707936</v>
      </c>
      <c r="R198" s="442">
        <v>15</v>
      </c>
      <c r="S198" s="443">
        <v>40745.4</v>
      </c>
      <c r="T198" s="444">
        <f t="shared" si="52"/>
        <v>611181</v>
      </c>
      <c r="U198" s="306">
        <f>5+11</f>
        <v>16</v>
      </c>
      <c r="V198" s="306">
        <f>+(198277+433559)/(5+11)</f>
        <v>39489.75</v>
      </c>
      <c r="W198" s="441">
        <f t="shared" si="53"/>
        <v>631836</v>
      </c>
      <c r="X198" s="442">
        <v>17</v>
      </c>
      <c r="Y198" s="443">
        <v>37811.647058823532</v>
      </c>
      <c r="Z198" s="444">
        <f t="shared" si="54"/>
        <v>642798</v>
      </c>
      <c r="AA198" s="307">
        <v>12</v>
      </c>
      <c r="AB198" s="307">
        <f>+(123837+341446)/12</f>
        <v>38773.583333333336</v>
      </c>
      <c r="AC198" s="445">
        <f t="shared" si="55"/>
        <v>465283</v>
      </c>
      <c r="AD198" s="442"/>
      <c r="AE198" s="443"/>
      <c r="AF198" s="444">
        <f t="shared" si="56"/>
        <v>0</v>
      </c>
      <c r="AG198" s="307"/>
      <c r="AH198" s="307"/>
      <c r="AI198" s="445">
        <f t="shared" si="57"/>
        <v>0</v>
      </c>
      <c r="AJ198" s="446"/>
      <c r="AK198" s="443"/>
      <c r="AL198" s="444">
        <f t="shared" si="58"/>
        <v>0</v>
      </c>
      <c r="AM198" s="307"/>
      <c r="AN198" s="307"/>
      <c r="AO198" s="447">
        <f t="shared" si="59"/>
        <v>0</v>
      </c>
      <c r="AP198" s="448">
        <v>1</v>
      </c>
      <c r="AQ198" s="443">
        <v>65421</v>
      </c>
      <c r="AR198" s="444">
        <f t="shared" si="60"/>
        <v>53527.462200000002</v>
      </c>
      <c r="AS198" s="307">
        <v>1</v>
      </c>
      <c r="AT198" s="307">
        <v>65421</v>
      </c>
      <c r="AU198" s="441">
        <f t="shared" si="61"/>
        <v>53527.462200000002</v>
      </c>
      <c r="AV198" s="442">
        <v>3</v>
      </c>
      <c r="AW198" s="443">
        <v>57481.333333333336</v>
      </c>
      <c r="AX198" s="444">
        <f t="shared" si="62"/>
        <v>141093.6808</v>
      </c>
      <c r="AY198" s="307">
        <v>3</v>
      </c>
      <c r="AZ198" s="307">
        <f>+(113055+59389)/3</f>
        <v>57481.333333333336</v>
      </c>
      <c r="BA198" s="445">
        <f t="shared" si="63"/>
        <v>141093.6808</v>
      </c>
      <c r="BB198" s="442">
        <v>4</v>
      </c>
      <c r="BC198" s="443">
        <v>51991.5</v>
      </c>
      <c r="BD198" s="444">
        <f t="shared" si="64"/>
        <v>170157.7812</v>
      </c>
      <c r="BE198" s="307">
        <v>6</v>
      </c>
      <c r="BF198" s="307">
        <f>+(195873+93216)/6</f>
        <v>48181.5</v>
      </c>
      <c r="BG198" s="445">
        <f t="shared" si="65"/>
        <v>236532.61980000001</v>
      </c>
      <c r="BH198" s="442">
        <v>4</v>
      </c>
      <c r="BI198" s="443">
        <v>41000.75</v>
      </c>
      <c r="BJ198" s="444">
        <f t="shared" si="66"/>
        <v>134187.25460000001</v>
      </c>
      <c r="BK198" s="307">
        <v>2</v>
      </c>
      <c r="BL198" s="307">
        <f>+(50003+37000)/2</f>
        <v>43501.5</v>
      </c>
      <c r="BM198" s="445">
        <f t="shared" si="67"/>
        <v>71185.854600000006</v>
      </c>
      <c r="BN198" s="442"/>
      <c r="BO198" s="443"/>
      <c r="BP198" s="444">
        <f t="shared" si="68"/>
        <v>0</v>
      </c>
      <c r="BQ198" s="307"/>
      <c r="BR198" s="307"/>
      <c r="BS198" s="445">
        <f t="shared" si="69"/>
        <v>0</v>
      </c>
      <c r="BT198" s="442"/>
      <c r="BU198" s="443"/>
      <c r="BV198" s="444">
        <f t="shared" si="70"/>
        <v>0</v>
      </c>
      <c r="BW198" s="307"/>
      <c r="BX198" s="307"/>
      <c r="BY198" s="449">
        <f t="shared" si="71"/>
        <v>0</v>
      </c>
    </row>
    <row r="199" spans="1:77" s="308" customFormat="1" ht="12.75" customHeight="1">
      <c r="A199" s="353" t="s">
        <v>348</v>
      </c>
      <c r="B199" s="354" t="s">
        <v>942</v>
      </c>
      <c r="C199" s="354"/>
      <c r="D199" s="315">
        <v>157711</v>
      </c>
      <c r="E199" s="415">
        <v>9</v>
      </c>
      <c r="F199" s="453">
        <v>48</v>
      </c>
      <c r="G199" s="454">
        <v>58230.416666666664</v>
      </c>
      <c r="H199" s="439">
        <f t="shared" si="48"/>
        <v>2795060</v>
      </c>
      <c r="I199" s="311">
        <f>16+30</f>
        <v>46</v>
      </c>
      <c r="J199" s="311">
        <f>+(953049+1695415)/(16+30)</f>
        <v>57575.304347826088</v>
      </c>
      <c r="K199" s="441">
        <f t="shared" si="49"/>
        <v>2648464</v>
      </c>
      <c r="L199" s="442">
        <v>35</v>
      </c>
      <c r="M199" s="443">
        <v>47389.228571428568</v>
      </c>
      <c r="N199" s="444">
        <f t="shared" si="50"/>
        <v>1658623</v>
      </c>
      <c r="O199" s="307">
        <f>28+14</f>
        <v>42</v>
      </c>
      <c r="P199" s="307">
        <f>+(1357988+636151)/(28+14)</f>
        <v>47479.5</v>
      </c>
      <c r="Q199" s="445">
        <f t="shared" si="51"/>
        <v>1994139</v>
      </c>
      <c r="R199" s="442">
        <v>25</v>
      </c>
      <c r="S199" s="443">
        <v>39442.32</v>
      </c>
      <c r="T199" s="444">
        <f t="shared" si="52"/>
        <v>986058</v>
      </c>
      <c r="U199" s="306">
        <f>15+6</f>
        <v>21</v>
      </c>
      <c r="V199" s="306">
        <f>+(589581+239483)/(15+6)</f>
        <v>39479.238095238092</v>
      </c>
      <c r="W199" s="441">
        <f t="shared" si="53"/>
        <v>829063.99999999988</v>
      </c>
      <c r="X199" s="442">
        <v>23</v>
      </c>
      <c r="Y199" s="443">
        <v>35131.34782608696</v>
      </c>
      <c r="Z199" s="444">
        <f t="shared" si="54"/>
        <v>808021.00000000012</v>
      </c>
      <c r="AA199" s="307">
        <f>16+20</f>
        <v>36</v>
      </c>
      <c r="AB199" s="307">
        <f>+(572798+700170)/(16+20)</f>
        <v>35360.222222222219</v>
      </c>
      <c r="AC199" s="445">
        <f t="shared" si="55"/>
        <v>1272968</v>
      </c>
      <c r="AD199" s="442"/>
      <c r="AE199" s="443"/>
      <c r="AF199" s="444">
        <f t="shared" si="56"/>
        <v>0</v>
      </c>
      <c r="AG199" s="307"/>
      <c r="AH199" s="307"/>
      <c r="AI199" s="445">
        <f t="shared" si="57"/>
        <v>0</v>
      </c>
      <c r="AJ199" s="446"/>
      <c r="AK199" s="443"/>
      <c r="AL199" s="444">
        <f t="shared" si="58"/>
        <v>0</v>
      </c>
      <c r="AM199" s="307"/>
      <c r="AN199" s="307"/>
      <c r="AO199" s="447">
        <f t="shared" si="59"/>
        <v>0</v>
      </c>
      <c r="AP199" s="448">
        <v>6</v>
      </c>
      <c r="AQ199" s="443">
        <v>74622.666666666672</v>
      </c>
      <c r="AR199" s="444">
        <f t="shared" si="60"/>
        <v>366337.59520000004</v>
      </c>
      <c r="AS199" s="307">
        <v>7</v>
      </c>
      <c r="AT199" s="307">
        <f>+(157678+376431)/7</f>
        <v>76301.28571428571</v>
      </c>
      <c r="AU199" s="441">
        <f t="shared" si="61"/>
        <v>437007.98380000005</v>
      </c>
      <c r="AV199" s="442">
        <v>2</v>
      </c>
      <c r="AW199" s="443">
        <v>52303</v>
      </c>
      <c r="AX199" s="444">
        <f t="shared" si="62"/>
        <v>85588.62920000001</v>
      </c>
      <c r="AY199" s="307">
        <v>6</v>
      </c>
      <c r="AZ199" s="307">
        <f>+(235311+164419)/6</f>
        <v>66621.666666666672</v>
      </c>
      <c r="BA199" s="445">
        <f t="shared" si="63"/>
        <v>327059.08600000001</v>
      </c>
      <c r="BB199" s="442">
        <v>5</v>
      </c>
      <c r="BC199" s="443">
        <v>67122.600000000006</v>
      </c>
      <c r="BD199" s="444">
        <f t="shared" si="64"/>
        <v>274598.55660000001</v>
      </c>
      <c r="BE199" s="307">
        <v>3</v>
      </c>
      <c r="BF199" s="307">
        <f>+(110616+46356)/3</f>
        <v>52324</v>
      </c>
      <c r="BG199" s="445">
        <f t="shared" si="65"/>
        <v>128434.49040000001</v>
      </c>
      <c r="BH199" s="442">
        <v>6</v>
      </c>
      <c r="BI199" s="443">
        <v>43377</v>
      </c>
      <c r="BJ199" s="444">
        <f t="shared" si="66"/>
        <v>212946.36840000001</v>
      </c>
      <c r="BK199" s="307">
        <v>6</v>
      </c>
      <c r="BL199" s="307">
        <f>+(43128+213949)/6</f>
        <v>42846.166666666664</v>
      </c>
      <c r="BM199" s="445">
        <f t="shared" si="67"/>
        <v>210340.4014</v>
      </c>
      <c r="BN199" s="442"/>
      <c r="BO199" s="443"/>
      <c r="BP199" s="444">
        <f t="shared" si="68"/>
        <v>0</v>
      </c>
      <c r="BQ199" s="307"/>
      <c r="BR199" s="307"/>
      <c r="BS199" s="445">
        <f t="shared" si="69"/>
        <v>0</v>
      </c>
      <c r="BT199" s="442"/>
      <c r="BU199" s="443"/>
      <c r="BV199" s="444">
        <f t="shared" si="70"/>
        <v>0</v>
      </c>
      <c r="BW199" s="307"/>
      <c r="BX199" s="307"/>
      <c r="BY199" s="449">
        <f t="shared" si="71"/>
        <v>0</v>
      </c>
    </row>
    <row r="200" spans="1:77" s="308" customFormat="1" ht="12.75" customHeight="1">
      <c r="A200" s="353" t="s">
        <v>348</v>
      </c>
      <c r="B200" s="512" t="s">
        <v>943</v>
      </c>
      <c r="C200" s="513" t="s">
        <v>1101</v>
      </c>
      <c r="D200" s="315">
        <v>157739</v>
      </c>
      <c r="E200" s="415">
        <v>9</v>
      </c>
      <c r="F200" s="453">
        <v>42</v>
      </c>
      <c r="G200" s="454">
        <v>59487.976190476191</v>
      </c>
      <c r="H200" s="439">
        <f t="shared" si="48"/>
        <v>2498495</v>
      </c>
      <c r="I200" s="311">
        <f>20+15</f>
        <v>35</v>
      </c>
      <c r="J200" s="311">
        <f>+(1241429+841508)/(20+15)</f>
        <v>59512.485714285714</v>
      </c>
      <c r="K200" s="441">
        <f t="shared" si="49"/>
        <v>2082937</v>
      </c>
      <c r="L200" s="442">
        <v>19</v>
      </c>
      <c r="M200" s="443">
        <v>47046.15789473684</v>
      </c>
      <c r="N200" s="444">
        <f t="shared" si="50"/>
        <v>893877</v>
      </c>
      <c r="O200" s="307">
        <f>11+10</f>
        <v>21</v>
      </c>
      <c r="P200" s="307">
        <f>+(520966+478624)/(11+10)</f>
        <v>47599.523809523809</v>
      </c>
      <c r="Q200" s="445">
        <f t="shared" si="51"/>
        <v>999590</v>
      </c>
      <c r="R200" s="442">
        <v>5</v>
      </c>
      <c r="S200" s="443">
        <v>44117.2</v>
      </c>
      <c r="T200" s="444">
        <f t="shared" si="52"/>
        <v>220586</v>
      </c>
      <c r="U200" s="306">
        <v>7</v>
      </c>
      <c r="V200" s="306">
        <f>+(84986+193150)/7</f>
        <v>39733.714285714283</v>
      </c>
      <c r="W200" s="441">
        <f t="shared" si="53"/>
        <v>278136</v>
      </c>
      <c r="X200" s="442">
        <v>9</v>
      </c>
      <c r="Y200" s="443">
        <v>37252.222222222219</v>
      </c>
      <c r="Z200" s="444">
        <f t="shared" si="54"/>
        <v>335270</v>
      </c>
      <c r="AA200" s="307">
        <v>14</v>
      </c>
      <c r="AB200" s="307">
        <f>+(158400+368500)/14</f>
        <v>37635.714285714283</v>
      </c>
      <c r="AC200" s="445">
        <f t="shared" si="55"/>
        <v>526900</v>
      </c>
      <c r="AD200" s="442"/>
      <c r="AE200" s="443"/>
      <c r="AF200" s="444">
        <f t="shared" si="56"/>
        <v>0</v>
      </c>
      <c r="AG200" s="307"/>
      <c r="AH200" s="307"/>
      <c r="AI200" s="445">
        <f t="shared" si="57"/>
        <v>0</v>
      </c>
      <c r="AJ200" s="446"/>
      <c r="AK200" s="443"/>
      <c r="AL200" s="444">
        <f t="shared" si="58"/>
        <v>0</v>
      </c>
      <c r="AM200" s="307"/>
      <c r="AN200" s="307"/>
      <c r="AO200" s="447">
        <f t="shared" si="59"/>
        <v>0</v>
      </c>
      <c r="AP200" s="448">
        <v>10</v>
      </c>
      <c r="AQ200" s="443">
        <v>66873.3</v>
      </c>
      <c r="AR200" s="444">
        <f t="shared" si="60"/>
        <v>547157.3406</v>
      </c>
      <c r="AS200" s="307">
        <v>9</v>
      </c>
      <c r="AT200" s="307">
        <f>+(451464+161663)/9</f>
        <v>68125.222222222219</v>
      </c>
      <c r="AU200" s="441">
        <f t="shared" si="61"/>
        <v>501660.51140000002</v>
      </c>
      <c r="AV200" s="442">
        <v>8</v>
      </c>
      <c r="AW200" s="443">
        <v>57603.75</v>
      </c>
      <c r="AX200" s="444">
        <f t="shared" si="62"/>
        <v>377051.10600000003</v>
      </c>
      <c r="AY200" s="307">
        <v>8</v>
      </c>
      <c r="AZ200" s="307">
        <f>+(290270+166100)/8</f>
        <v>57046.25</v>
      </c>
      <c r="BA200" s="445">
        <f t="shared" si="63"/>
        <v>373401.93400000001</v>
      </c>
      <c r="BB200" s="442">
        <v>2</v>
      </c>
      <c r="BC200" s="443">
        <v>42493</v>
      </c>
      <c r="BD200" s="444">
        <f t="shared" si="64"/>
        <v>69535.545200000008</v>
      </c>
      <c r="BE200" s="307">
        <v>2</v>
      </c>
      <c r="BF200" s="307">
        <f>+(42493+42493)/2</f>
        <v>42493</v>
      </c>
      <c r="BG200" s="445">
        <f t="shared" si="65"/>
        <v>69535.545200000008</v>
      </c>
      <c r="BH200" s="442"/>
      <c r="BI200" s="443"/>
      <c r="BJ200" s="444">
        <f t="shared" si="66"/>
        <v>0</v>
      </c>
      <c r="BK200" s="307"/>
      <c r="BL200" s="307"/>
      <c r="BM200" s="445">
        <f t="shared" si="67"/>
        <v>0</v>
      </c>
      <c r="BN200" s="442"/>
      <c r="BO200" s="443"/>
      <c r="BP200" s="444">
        <f t="shared" si="68"/>
        <v>0</v>
      </c>
      <c r="BQ200" s="307"/>
      <c r="BR200" s="307"/>
      <c r="BS200" s="445">
        <f t="shared" si="69"/>
        <v>0</v>
      </c>
      <c r="BT200" s="442"/>
      <c r="BU200" s="443"/>
      <c r="BV200" s="444">
        <f t="shared" si="70"/>
        <v>0</v>
      </c>
      <c r="BW200" s="307"/>
      <c r="BX200" s="307"/>
      <c r="BY200" s="449">
        <f t="shared" si="71"/>
        <v>0</v>
      </c>
    </row>
    <row r="201" spans="1:77" s="308" customFormat="1" ht="12.75" customHeight="1">
      <c r="A201" s="353" t="s">
        <v>348</v>
      </c>
      <c r="B201" s="354" t="s">
        <v>944</v>
      </c>
      <c r="C201" s="354"/>
      <c r="D201" s="315">
        <v>157483</v>
      </c>
      <c r="E201" s="415">
        <v>9</v>
      </c>
      <c r="F201" s="453">
        <v>40</v>
      </c>
      <c r="G201" s="454">
        <v>57642.824999999997</v>
      </c>
      <c r="H201" s="439">
        <f t="shared" ref="H201:H264" si="72">F201*G201</f>
        <v>2305713</v>
      </c>
      <c r="I201" s="311">
        <f>12+31</f>
        <v>43</v>
      </c>
      <c r="J201" s="311">
        <f>+(700169+1750288)/(12+31)</f>
        <v>56987.372093023259</v>
      </c>
      <c r="K201" s="441">
        <f t="shared" ref="K201:K264" si="73">I201*J201</f>
        <v>2450457</v>
      </c>
      <c r="L201" s="442">
        <v>22</v>
      </c>
      <c r="M201" s="443">
        <v>47305.36363636364</v>
      </c>
      <c r="N201" s="444">
        <f t="shared" ref="N201:N264" si="74">L201*M201</f>
        <v>1040718.0000000001</v>
      </c>
      <c r="O201" s="307">
        <f>13+12</f>
        <v>25</v>
      </c>
      <c r="P201" s="307">
        <f>+(627867+541150)/(13+12)</f>
        <v>46760.68</v>
      </c>
      <c r="Q201" s="445">
        <f t="shared" ref="Q201:Q264" si="75">O201*P201</f>
        <v>1169017</v>
      </c>
      <c r="R201" s="442">
        <v>20</v>
      </c>
      <c r="S201" s="443">
        <v>41158.25</v>
      </c>
      <c r="T201" s="444">
        <f t="shared" ref="T201:T264" si="76">R201*S201</f>
        <v>823165</v>
      </c>
      <c r="U201" s="306">
        <f>8+11</f>
        <v>19</v>
      </c>
      <c r="V201" s="306">
        <f>+(346657+450444)/(8+11)</f>
        <v>41952.684210526313</v>
      </c>
      <c r="W201" s="441">
        <f t="shared" ref="W201:W264" si="77">U201*V201</f>
        <v>797101</v>
      </c>
      <c r="X201" s="442">
        <v>17</v>
      </c>
      <c r="Y201" s="443">
        <v>37958.823529411762</v>
      </c>
      <c r="Z201" s="444">
        <f t="shared" ref="Z201:Z264" si="78">X201*Y201</f>
        <v>645300</v>
      </c>
      <c r="AA201" s="307">
        <v>12</v>
      </c>
      <c r="AB201" s="307">
        <f>+(199000+255800)/12</f>
        <v>37900</v>
      </c>
      <c r="AC201" s="445">
        <f t="shared" ref="AC201:AC264" si="79">AA201*AB201</f>
        <v>454800</v>
      </c>
      <c r="AD201" s="442"/>
      <c r="AE201" s="443"/>
      <c r="AF201" s="444">
        <f t="shared" ref="AF201:AF264" si="80">AD201*AE201</f>
        <v>0</v>
      </c>
      <c r="AG201" s="307"/>
      <c r="AH201" s="307"/>
      <c r="AI201" s="445">
        <f t="shared" ref="AI201:AI264" si="81">AG201*AH201</f>
        <v>0</v>
      </c>
      <c r="AJ201" s="446"/>
      <c r="AK201" s="443"/>
      <c r="AL201" s="444">
        <f t="shared" ref="AL201:AL264" si="82">AJ201*AK201</f>
        <v>0</v>
      </c>
      <c r="AM201" s="307"/>
      <c r="AN201" s="307"/>
      <c r="AO201" s="447">
        <f t="shared" ref="AO201:AO264" si="83">AM201*AN201</f>
        <v>0</v>
      </c>
      <c r="AP201" s="448">
        <v>8</v>
      </c>
      <c r="AQ201" s="443">
        <v>70555.125</v>
      </c>
      <c r="AR201" s="444">
        <f t="shared" ref="AR201:AR264" si="84">(AP201*AQ201)*0.8182</f>
        <v>461825.6262</v>
      </c>
      <c r="AS201" s="307">
        <v>9</v>
      </c>
      <c r="AT201" s="307">
        <f>+(222231+405618)/9</f>
        <v>69761</v>
      </c>
      <c r="AU201" s="441">
        <f t="shared" ref="AU201:AU264" si="85">(AS201*AT201)*0.8182</f>
        <v>513706.05180000002</v>
      </c>
      <c r="AV201" s="442">
        <v>9</v>
      </c>
      <c r="AW201" s="443">
        <v>54995.888888888891</v>
      </c>
      <c r="AX201" s="444">
        <f t="shared" ref="AX201:AX264" si="86">(AV201*AW201)*0.8182</f>
        <v>404978.72659999999</v>
      </c>
      <c r="AY201" s="307">
        <v>7</v>
      </c>
      <c r="AZ201" s="307">
        <f>+(223301+162522)/7</f>
        <v>55117.571428571428</v>
      </c>
      <c r="BA201" s="445">
        <f t="shared" ref="BA201:BA264" si="87">(AY201*AZ201)*0.8182</f>
        <v>315680.3786</v>
      </c>
      <c r="BB201" s="442">
        <v>5</v>
      </c>
      <c r="BC201" s="443">
        <v>54197</v>
      </c>
      <c r="BD201" s="444">
        <f t="shared" ref="BD201:BD264" si="88">(BB201*BC201)*0.8182</f>
        <v>221719.927</v>
      </c>
      <c r="BE201" s="307">
        <v>5</v>
      </c>
      <c r="BF201" s="307">
        <f>+(102283+153730)/5</f>
        <v>51202.6</v>
      </c>
      <c r="BG201" s="445">
        <f t="shared" ref="BG201:BG264" si="89">(BE201*BF201)*0.8182</f>
        <v>209469.83660000001</v>
      </c>
      <c r="BH201" s="442">
        <v>13</v>
      </c>
      <c r="BI201" s="443">
        <v>45930.769230769234</v>
      </c>
      <c r="BJ201" s="444">
        <f t="shared" ref="BJ201:BJ264" si="90">(BH201*BI201)*0.8182</f>
        <v>488547.22000000003</v>
      </c>
      <c r="BK201" s="307">
        <f>13+6</f>
        <v>19</v>
      </c>
      <c r="BL201" s="307">
        <f>+(627660+286220)/(13+6)</f>
        <v>48098.947368421053</v>
      </c>
      <c r="BM201" s="445">
        <f t="shared" ref="BM201:BM264" si="91">(BK201*BL201)*0.8182</f>
        <v>747736.61600000004</v>
      </c>
      <c r="BN201" s="442"/>
      <c r="BO201" s="443"/>
      <c r="BP201" s="444">
        <f t="shared" ref="BP201:BP264" si="92">(BN201*BO201)*0.8182</f>
        <v>0</v>
      </c>
      <c r="BQ201" s="307"/>
      <c r="BR201" s="307"/>
      <c r="BS201" s="445">
        <f t="shared" ref="BS201:BS264" si="93">(BQ201*BR201)*0.8182</f>
        <v>0</v>
      </c>
      <c r="BT201" s="442"/>
      <c r="BU201" s="443"/>
      <c r="BV201" s="444">
        <f t="shared" ref="BV201:BV264" si="94">(BT201*BU201)*0.8182</f>
        <v>0</v>
      </c>
      <c r="BW201" s="307"/>
      <c r="BX201" s="307"/>
      <c r="BY201" s="449">
        <f t="shared" ref="BY201:BY264" si="95">(BW201*BX201)*0.8182</f>
        <v>0</v>
      </c>
    </row>
    <row r="202" spans="1:77" s="308" customFormat="1" ht="12.75" customHeight="1">
      <c r="A202" s="315" t="s">
        <v>348</v>
      </c>
      <c r="B202" s="512" t="s">
        <v>945</v>
      </c>
      <c r="C202" s="513" t="s">
        <v>1101</v>
      </c>
      <c r="D202" s="315">
        <v>156790</v>
      </c>
      <c r="E202" s="415">
        <v>10</v>
      </c>
      <c r="F202" s="453">
        <v>43</v>
      </c>
      <c r="G202" s="454">
        <v>57364.511627906977</v>
      </c>
      <c r="H202" s="439">
        <f t="shared" si="72"/>
        <v>2466674</v>
      </c>
      <c r="I202" s="311">
        <f>13+30</f>
        <v>43</v>
      </c>
      <c r="J202" s="311">
        <f>+(704063+1747179)/(13+30)</f>
        <v>57005.627906976741</v>
      </c>
      <c r="K202" s="441">
        <f t="shared" si="73"/>
        <v>2451242</v>
      </c>
      <c r="L202" s="442">
        <v>21</v>
      </c>
      <c r="M202" s="443">
        <v>47627.238095238092</v>
      </c>
      <c r="N202" s="444">
        <f t="shared" si="74"/>
        <v>1000171.9999999999</v>
      </c>
      <c r="O202" s="307">
        <f>14+7</f>
        <v>21</v>
      </c>
      <c r="P202" s="307">
        <f>+(675927+329801)/(14+7)</f>
        <v>47891.809523809527</v>
      </c>
      <c r="Q202" s="445">
        <f t="shared" si="75"/>
        <v>1005728</v>
      </c>
      <c r="R202" s="442">
        <v>10</v>
      </c>
      <c r="S202" s="443">
        <v>42420.6</v>
      </c>
      <c r="T202" s="444">
        <f t="shared" si="76"/>
        <v>424206</v>
      </c>
      <c r="U202" s="306">
        <v>8</v>
      </c>
      <c r="V202" s="306">
        <f>+(77260+254307)/8</f>
        <v>41445.875</v>
      </c>
      <c r="W202" s="441">
        <f t="shared" si="77"/>
        <v>331567</v>
      </c>
      <c r="X202" s="442">
        <v>10</v>
      </c>
      <c r="Y202" s="443">
        <v>37397.699999999997</v>
      </c>
      <c r="Z202" s="444">
        <f t="shared" si="78"/>
        <v>373977</v>
      </c>
      <c r="AA202" s="307">
        <v>14</v>
      </c>
      <c r="AB202" s="307">
        <f>+(251200+260976)/14</f>
        <v>36584</v>
      </c>
      <c r="AC202" s="445">
        <f t="shared" si="79"/>
        <v>512176</v>
      </c>
      <c r="AD202" s="442"/>
      <c r="AE202" s="443"/>
      <c r="AF202" s="444">
        <f t="shared" si="80"/>
        <v>0</v>
      </c>
      <c r="AG202" s="307"/>
      <c r="AH202" s="307"/>
      <c r="AI202" s="445">
        <f t="shared" si="81"/>
        <v>0</v>
      </c>
      <c r="AJ202" s="446"/>
      <c r="AK202" s="443"/>
      <c r="AL202" s="444">
        <f t="shared" si="82"/>
        <v>0</v>
      </c>
      <c r="AM202" s="307"/>
      <c r="AN202" s="307"/>
      <c r="AO202" s="447">
        <f t="shared" si="83"/>
        <v>0</v>
      </c>
      <c r="AP202" s="448">
        <v>11</v>
      </c>
      <c r="AQ202" s="443">
        <v>72174.909090909088</v>
      </c>
      <c r="AR202" s="444">
        <f t="shared" si="84"/>
        <v>649588.61680000008</v>
      </c>
      <c r="AS202" s="307">
        <v>10</v>
      </c>
      <c r="AT202" s="307">
        <f>+(286206+440341)/10</f>
        <v>72654.7</v>
      </c>
      <c r="AU202" s="441">
        <f t="shared" si="85"/>
        <v>594460.75540000002</v>
      </c>
      <c r="AV202" s="442">
        <v>6</v>
      </c>
      <c r="AW202" s="443">
        <v>57631.833333333336</v>
      </c>
      <c r="AX202" s="444">
        <f t="shared" si="86"/>
        <v>282926.19620000001</v>
      </c>
      <c r="AY202" s="307">
        <v>6</v>
      </c>
      <c r="AZ202" s="307">
        <f>+(167364+178427)/6</f>
        <v>57631.833333333336</v>
      </c>
      <c r="BA202" s="445">
        <f t="shared" si="87"/>
        <v>282926.19620000001</v>
      </c>
      <c r="BB202" s="442">
        <v>1</v>
      </c>
      <c r="BC202" s="443">
        <v>59007</v>
      </c>
      <c r="BD202" s="444">
        <f t="shared" si="88"/>
        <v>48279.527399999999</v>
      </c>
      <c r="BE202" s="307">
        <v>1</v>
      </c>
      <c r="BF202" s="307">
        <v>59007</v>
      </c>
      <c r="BG202" s="445">
        <f t="shared" si="89"/>
        <v>48279.527399999999</v>
      </c>
      <c r="BH202" s="442">
        <v>7</v>
      </c>
      <c r="BI202" s="443">
        <v>46773.142857142855</v>
      </c>
      <c r="BJ202" s="444">
        <f t="shared" si="90"/>
        <v>267888.49840000004</v>
      </c>
      <c r="BK202" s="307">
        <v>6</v>
      </c>
      <c r="BL202" s="307">
        <f>+(157912+134500)/6</f>
        <v>48735.333333333336</v>
      </c>
      <c r="BM202" s="445">
        <f t="shared" si="91"/>
        <v>239251.49840000001</v>
      </c>
      <c r="BN202" s="442"/>
      <c r="BO202" s="443"/>
      <c r="BP202" s="444">
        <f t="shared" si="92"/>
        <v>0</v>
      </c>
      <c r="BQ202" s="307"/>
      <c r="BR202" s="307"/>
      <c r="BS202" s="445">
        <f t="shared" si="93"/>
        <v>0</v>
      </c>
      <c r="BT202" s="442"/>
      <c r="BU202" s="443"/>
      <c r="BV202" s="444">
        <f t="shared" si="94"/>
        <v>0</v>
      </c>
      <c r="BW202" s="307"/>
      <c r="BX202" s="307"/>
      <c r="BY202" s="449">
        <f t="shared" si="95"/>
        <v>0</v>
      </c>
    </row>
    <row r="203" spans="1:77" s="308" customFormat="1" ht="12.75" customHeight="1">
      <c r="A203" s="353" t="s">
        <v>348</v>
      </c>
      <c r="B203" s="354" t="s">
        <v>946</v>
      </c>
      <c r="C203" s="354"/>
      <c r="D203" s="315">
        <v>156851</v>
      </c>
      <c r="E203" s="415">
        <v>10</v>
      </c>
      <c r="F203" s="453">
        <v>25</v>
      </c>
      <c r="G203" s="454">
        <v>57473.8</v>
      </c>
      <c r="H203" s="439">
        <f t="shared" si="72"/>
        <v>1436845</v>
      </c>
      <c r="I203" s="311">
        <f>8+15</f>
        <v>23</v>
      </c>
      <c r="J203" s="311">
        <f>+(480951+860804)/(8+15)</f>
        <v>58337.17391304348</v>
      </c>
      <c r="K203" s="441">
        <f t="shared" si="73"/>
        <v>1341755</v>
      </c>
      <c r="L203" s="442">
        <v>11</v>
      </c>
      <c r="M203" s="443">
        <v>48834.545454545456</v>
      </c>
      <c r="N203" s="444">
        <f t="shared" si="74"/>
        <v>537180</v>
      </c>
      <c r="O203" s="307">
        <v>10</v>
      </c>
      <c r="P203" s="307">
        <f>+(152075+332869)/10</f>
        <v>48494.400000000001</v>
      </c>
      <c r="Q203" s="445">
        <f t="shared" si="75"/>
        <v>484944</v>
      </c>
      <c r="R203" s="442">
        <v>7</v>
      </c>
      <c r="S203" s="443">
        <v>40156.857142857145</v>
      </c>
      <c r="T203" s="444">
        <f t="shared" si="76"/>
        <v>281098</v>
      </c>
      <c r="U203" s="306">
        <v>6</v>
      </c>
      <c r="V203" s="306">
        <f>+(38630+198260)/6</f>
        <v>39481.666666666664</v>
      </c>
      <c r="W203" s="441">
        <f t="shared" si="77"/>
        <v>236890</v>
      </c>
      <c r="X203" s="442">
        <v>2</v>
      </c>
      <c r="Y203" s="443">
        <v>48164.5</v>
      </c>
      <c r="Z203" s="444">
        <f t="shared" si="78"/>
        <v>96329</v>
      </c>
      <c r="AA203" s="307">
        <v>5</v>
      </c>
      <c r="AB203" s="307">
        <f>220000/5</f>
        <v>44000</v>
      </c>
      <c r="AC203" s="445">
        <f t="shared" si="79"/>
        <v>220000</v>
      </c>
      <c r="AD203" s="442"/>
      <c r="AE203" s="443"/>
      <c r="AF203" s="444">
        <f t="shared" si="80"/>
        <v>0</v>
      </c>
      <c r="AG203" s="307"/>
      <c r="AH203" s="307"/>
      <c r="AI203" s="445">
        <f t="shared" si="81"/>
        <v>0</v>
      </c>
      <c r="AJ203" s="446"/>
      <c r="AK203" s="443"/>
      <c r="AL203" s="444">
        <f t="shared" si="82"/>
        <v>0</v>
      </c>
      <c r="AM203" s="307"/>
      <c r="AN203" s="307"/>
      <c r="AO203" s="447">
        <f t="shared" si="83"/>
        <v>0</v>
      </c>
      <c r="AP203" s="448">
        <v>3</v>
      </c>
      <c r="AQ203" s="443">
        <v>77340.333333333328</v>
      </c>
      <c r="AR203" s="444">
        <f t="shared" si="84"/>
        <v>189839.5822</v>
      </c>
      <c r="AS203" s="307">
        <v>3</v>
      </c>
      <c r="AT203" s="307">
        <f>+(75884+156137)/3</f>
        <v>77340.333333333328</v>
      </c>
      <c r="AU203" s="441">
        <f t="shared" si="85"/>
        <v>189839.5822</v>
      </c>
      <c r="AV203" s="442"/>
      <c r="AW203" s="443"/>
      <c r="AX203" s="444">
        <f t="shared" si="86"/>
        <v>0</v>
      </c>
      <c r="AY203" s="307"/>
      <c r="AZ203" s="307"/>
      <c r="BA203" s="445">
        <f t="shared" si="87"/>
        <v>0</v>
      </c>
      <c r="BB203" s="442">
        <v>1</v>
      </c>
      <c r="BC203" s="443">
        <v>46356</v>
      </c>
      <c r="BD203" s="444">
        <f t="shared" si="88"/>
        <v>37928.479200000002</v>
      </c>
      <c r="BE203" s="307">
        <v>1</v>
      </c>
      <c r="BF203" s="307">
        <v>46856</v>
      </c>
      <c r="BG203" s="445">
        <f t="shared" si="89"/>
        <v>38337.5792</v>
      </c>
      <c r="BH203" s="442"/>
      <c r="BI203" s="443"/>
      <c r="BJ203" s="444">
        <f t="shared" si="90"/>
        <v>0</v>
      </c>
      <c r="BK203" s="307"/>
      <c r="BL203" s="307"/>
      <c r="BM203" s="445">
        <f t="shared" si="91"/>
        <v>0</v>
      </c>
      <c r="BN203" s="442"/>
      <c r="BO203" s="443"/>
      <c r="BP203" s="444">
        <f t="shared" si="92"/>
        <v>0</v>
      </c>
      <c r="BQ203" s="307"/>
      <c r="BR203" s="307"/>
      <c r="BS203" s="445">
        <f t="shared" si="93"/>
        <v>0</v>
      </c>
      <c r="BT203" s="442"/>
      <c r="BU203" s="443"/>
      <c r="BV203" s="444">
        <f t="shared" si="94"/>
        <v>0</v>
      </c>
      <c r="BW203" s="307"/>
      <c r="BX203" s="307"/>
      <c r="BY203" s="449">
        <f t="shared" si="95"/>
        <v>0</v>
      </c>
    </row>
    <row r="204" spans="1:77" s="308" customFormat="1" ht="12.75" customHeight="1">
      <c r="A204" s="353" t="s">
        <v>348</v>
      </c>
      <c r="B204" s="409" t="s">
        <v>947</v>
      </c>
      <c r="C204" s="514" t="s">
        <v>1093</v>
      </c>
      <c r="D204" s="315">
        <v>156860</v>
      </c>
      <c r="E204" s="415">
        <v>10</v>
      </c>
      <c r="F204" s="453">
        <v>14</v>
      </c>
      <c r="G204" s="454">
        <v>60515.285714285717</v>
      </c>
      <c r="H204" s="439">
        <f t="shared" si="72"/>
        <v>847214</v>
      </c>
      <c r="I204" s="311">
        <f>14+4</f>
        <v>18</v>
      </c>
      <c r="J204" s="311">
        <f>+(833641+235157)/(14+4)</f>
        <v>59377.666666666664</v>
      </c>
      <c r="K204" s="441">
        <f t="shared" si="73"/>
        <v>1068798</v>
      </c>
      <c r="L204" s="442">
        <v>20</v>
      </c>
      <c r="M204" s="443">
        <v>46409.5</v>
      </c>
      <c r="N204" s="444">
        <f t="shared" si="74"/>
        <v>928190</v>
      </c>
      <c r="O204" s="307">
        <v>16</v>
      </c>
      <c r="P204" s="307">
        <f>+(426335+320750)/16</f>
        <v>46692.8125</v>
      </c>
      <c r="Q204" s="445">
        <f t="shared" si="75"/>
        <v>747085</v>
      </c>
      <c r="R204" s="442">
        <v>7</v>
      </c>
      <c r="S204" s="443">
        <v>38790.571428571428</v>
      </c>
      <c r="T204" s="444">
        <f t="shared" si="76"/>
        <v>271534</v>
      </c>
      <c r="U204" s="306">
        <v>7</v>
      </c>
      <c r="V204" s="306">
        <f>+(116900+163410)/7</f>
        <v>40044.285714285717</v>
      </c>
      <c r="W204" s="441">
        <f t="shared" si="77"/>
        <v>280310</v>
      </c>
      <c r="X204" s="442">
        <v>14</v>
      </c>
      <c r="Y204" s="443">
        <v>36040.357142857145</v>
      </c>
      <c r="Z204" s="444">
        <f t="shared" si="78"/>
        <v>504565</v>
      </c>
      <c r="AA204" s="307">
        <f>4+14</f>
        <v>18</v>
      </c>
      <c r="AB204" s="307">
        <f>+(144000+524000)/(4+14)</f>
        <v>37111.111111111109</v>
      </c>
      <c r="AC204" s="445">
        <f t="shared" si="79"/>
        <v>668000</v>
      </c>
      <c r="AD204" s="442"/>
      <c r="AE204" s="443"/>
      <c r="AF204" s="444">
        <f t="shared" si="80"/>
        <v>0</v>
      </c>
      <c r="AG204" s="307"/>
      <c r="AH204" s="307"/>
      <c r="AI204" s="445">
        <f t="shared" si="81"/>
        <v>0</v>
      </c>
      <c r="AJ204" s="446"/>
      <c r="AK204" s="443"/>
      <c r="AL204" s="444">
        <f t="shared" si="82"/>
        <v>0</v>
      </c>
      <c r="AM204" s="307"/>
      <c r="AN204" s="307"/>
      <c r="AO204" s="447">
        <f t="shared" si="83"/>
        <v>0</v>
      </c>
      <c r="AP204" s="448">
        <v>3</v>
      </c>
      <c r="AQ204" s="443">
        <v>70621</v>
      </c>
      <c r="AR204" s="444">
        <f t="shared" si="84"/>
        <v>173346.30660000001</v>
      </c>
      <c r="AS204" s="307">
        <v>3</v>
      </c>
      <c r="AT204" s="307">
        <f>+(90023+125840)/3</f>
        <v>71954.333333333328</v>
      </c>
      <c r="AU204" s="441">
        <f t="shared" si="85"/>
        <v>176619.1066</v>
      </c>
      <c r="AV204" s="442">
        <v>4</v>
      </c>
      <c r="AW204" s="443">
        <v>55369.75</v>
      </c>
      <c r="AX204" s="444">
        <f t="shared" si="86"/>
        <v>181214.11780000001</v>
      </c>
      <c r="AY204" s="307">
        <v>5</v>
      </c>
      <c r="AZ204" s="307">
        <f>+(169633+100906)/5</f>
        <v>54107.8</v>
      </c>
      <c r="BA204" s="445">
        <f t="shared" si="87"/>
        <v>221355.0098</v>
      </c>
      <c r="BB204" s="442">
        <v>2</v>
      </c>
      <c r="BC204" s="443">
        <v>43151.5</v>
      </c>
      <c r="BD204" s="444">
        <f t="shared" si="88"/>
        <v>70613.114600000001</v>
      </c>
      <c r="BE204" s="307">
        <v>1</v>
      </c>
      <c r="BF204" s="307">
        <v>43810</v>
      </c>
      <c r="BG204" s="445">
        <f t="shared" si="89"/>
        <v>35845.342000000004</v>
      </c>
      <c r="BH204" s="442">
        <v>1</v>
      </c>
      <c r="BI204" s="443">
        <v>39600</v>
      </c>
      <c r="BJ204" s="444">
        <f t="shared" si="90"/>
        <v>32400.720000000001</v>
      </c>
      <c r="BK204" s="307"/>
      <c r="BL204" s="307"/>
      <c r="BM204" s="445">
        <f t="shared" si="91"/>
        <v>0</v>
      </c>
      <c r="BN204" s="442"/>
      <c r="BO204" s="443"/>
      <c r="BP204" s="444">
        <f t="shared" si="92"/>
        <v>0</v>
      </c>
      <c r="BQ204" s="307"/>
      <c r="BR204" s="307"/>
      <c r="BS204" s="445">
        <f t="shared" si="93"/>
        <v>0</v>
      </c>
      <c r="BT204" s="442"/>
      <c r="BU204" s="443"/>
      <c r="BV204" s="444">
        <f t="shared" si="94"/>
        <v>0</v>
      </c>
      <c r="BW204" s="307"/>
      <c r="BX204" s="307"/>
      <c r="BY204" s="449">
        <f t="shared" si="95"/>
        <v>0</v>
      </c>
    </row>
    <row r="205" spans="1:77" s="308" customFormat="1" ht="12.75" customHeight="1">
      <c r="A205" s="315" t="s">
        <v>348</v>
      </c>
      <c r="B205" s="354" t="s">
        <v>948</v>
      </c>
      <c r="C205" s="354"/>
      <c r="D205" s="315">
        <v>156338</v>
      </c>
      <c r="E205" s="415">
        <v>12</v>
      </c>
      <c r="F205" s="453">
        <v>4</v>
      </c>
      <c r="G205" s="454">
        <v>60589.5</v>
      </c>
      <c r="H205" s="439">
        <f t="shared" si="72"/>
        <v>242358</v>
      </c>
      <c r="I205" s="311">
        <v>4</v>
      </c>
      <c r="J205" s="311">
        <f>+(118632+123726)/4</f>
        <v>60589.5</v>
      </c>
      <c r="K205" s="441">
        <f t="shared" si="73"/>
        <v>242358</v>
      </c>
      <c r="L205" s="442">
        <v>11</v>
      </c>
      <c r="M205" s="443">
        <v>48773</v>
      </c>
      <c r="N205" s="444">
        <f t="shared" si="74"/>
        <v>536503</v>
      </c>
      <c r="O205" s="307">
        <v>14</v>
      </c>
      <c r="P205" s="307">
        <f>+(443673+229432)/14</f>
        <v>48078.928571428572</v>
      </c>
      <c r="Q205" s="445">
        <f t="shared" si="75"/>
        <v>673105</v>
      </c>
      <c r="R205" s="442">
        <v>10</v>
      </c>
      <c r="S205" s="443">
        <v>41889.800000000003</v>
      </c>
      <c r="T205" s="444">
        <f t="shared" si="76"/>
        <v>418898</v>
      </c>
      <c r="U205" s="306">
        <v>9</v>
      </c>
      <c r="V205" s="306">
        <f>372496/9</f>
        <v>41388.444444444445</v>
      </c>
      <c r="W205" s="441">
        <f t="shared" si="77"/>
        <v>372496</v>
      </c>
      <c r="X205" s="442">
        <v>14</v>
      </c>
      <c r="Y205" s="443">
        <v>35634.428571428572</v>
      </c>
      <c r="Z205" s="444">
        <f t="shared" si="78"/>
        <v>498882</v>
      </c>
      <c r="AA205" s="307">
        <v>17</v>
      </c>
      <c r="AB205" s="307">
        <f>+(428532+171750)/17</f>
        <v>35310.705882352944</v>
      </c>
      <c r="AC205" s="445">
        <f t="shared" si="79"/>
        <v>600282</v>
      </c>
      <c r="AD205" s="442"/>
      <c r="AE205" s="443"/>
      <c r="AF205" s="444">
        <f t="shared" si="80"/>
        <v>0</v>
      </c>
      <c r="AG205" s="307"/>
      <c r="AH205" s="307"/>
      <c r="AI205" s="445">
        <f t="shared" si="81"/>
        <v>0</v>
      </c>
      <c r="AJ205" s="446"/>
      <c r="AK205" s="443"/>
      <c r="AL205" s="444">
        <f t="shared" si="82"/>
        <v>0</v>
      </c>
      <c r="AM205" s="307"/>
      <c r="AN205" s="307"/>
      <c r="AO205" s="447">
        <f t="shared" si="83"/>
        <v>0</v>
      </c>
      <c r="AP205" s="448">
        <v>2</v>
      </c>
      <c r="AQ205" s="443">
        <v>64724.5</v>
      </c>
      <c r="AR205" s="444">
        <f t="shared" si="84"/>
        <v>105915.17180000001</v>
      </c>
      <c r="AS205" s="307">
        <v>3</v>
      </c>
      <c r="AT205" s="307">
        <f>192857/3</f>
        <v>64285.666666666664</v>
      </c>
      <c r="AU205" s="441">
        <f t="shared" si="85"/>
        <v>157795.5974</v>
      </c>
      <c r="AV205" s="442">
        <v>4</v>
      </c>
      <c r="AW205" s="443">
        <v>55222</v>
      </c>
      <c r="AX205" s="444">
        <f t="shared" si="86"/>
        <v>180730.56160000002</v>
      </c>
      <c r="AY205" s="307">
        <v>7</v>
      </c>
      <c r="AZ205" s="307">
        <f>+(218270+161998)/7</f>
        <v>54324</v>
      </c>
      <c r="BA205" s="445">
        <f t="shared" si="87"/>
        <v>311135.27760000003</v>
      </c>
      <c r="BB205" s="442">
        <v>5</v>
      </c>
      <c r="BC205" s="443">
        <v>47213.599999999999</v>
      </c>
      <c r="BD205" s="444">
        <f t="shared" si="88"/>
        <v>193150.8376</v>
      </c>
      <c r="BE205" s="307">
        <v>2</v>
      </c>
      <c r="BF205" s="307">
        <f>92712/2</f>
        <v>46356</v>
      </c>
      <c r="BG205" s="445">
        <f t="shared" si="89"/>
        <v>75856.958400000003</v>
      </c>
      <c r="BH205" s="442">
        <v>14</v>
      </c>
      <c r="BI205" s="443">
        <v>43900.5</v>
      </c>
      <c r="BJ205" s="444">
        <f t="shared" si="90"/>
        <v>502871.4474</v>
      </c>
      <c r="BK205" s="307">
        <v>14</v>
      </c>
      <c r="BL205" s="307">
        <f>+(132807+479460)/14</f>
        <v>43733.357142857145</v>
      </c>
      <c r="BM205" s="445">
        <f t="shared" si="91"/>
        <v>500956.85940000002</v>
      </c>
      <c r="BN205" s="442"/>
      <c r="BO205" s="443"/>
      <c r="BP205" s="444">
        <f t="shared" si="92"/>
        <v>0</v>
      </c>
      <c r="BQ205" s="307"/>
      <c r="BR205" s="307"/>
      <c r="BS205" s="445">
        <f t="shared" si="93"/>
        <v>0</v>
      </c>
      <c r="BT205" s="442"/>
      <c r="BU205" s="443"/>
      <c r="BV205" s="444">
        <f t="shared" si="94"/>
        <v>0</v>
      </c>
      <c r="BW205" s="307"/>
      <c r="BX205" s="307"/>
      <c r="BY205" s="449">
        <f t="shared" si="95"/>
        <v>0</v>
      </c>
    </row>
    <row r="206" spans="1:77" s="308" customFormat="1" ht="12.75" customHeight="1">
      <c r="A206" s="315" t="s">
        <v>348</v>
      </c>
      <c r="B206" s="316" t="s">
        <v>949</v>
      </c>
      <c r="C206" s="316"/>
      <c r="D206" s="315">
        <v>157438</v>
      </c>
      <c r="E206" s="416">
        <v>12</v>
      </c>
      <c r="F206" s="453">
        <v>3</v>
      </c>
      <c r="G206" s="454">
        <v>71875.666666666672</v>
      </c>
      <c r="H206" s="439">
        <f t="shared" si="72"/>
        <v>215627</v>
      </c>
      <c r="I206" s="311">
        <v>3</v>
      </c>
      <c r="J206" s="311">
        <f>+(64975+150652)/3</f>
        <v>71875.666666666672</v>
      </c>
      <c r="K206" s="441">
        <f t="shared" si="73"/>
        <v>215627</v>
      </c>
      <c r="L206" s="442">
        <v>15</v>
      </c>
      <c r="M206" s="443">
        <v>53162.666666666664</v>
      </c>
      <c r="N206" s="444">
        <f t="shared" si="74"/>
        <v>797440</v>
      </c>
      <c r="O206" s="307">
        <f>11+5</f>
        <v>16</v>
      </c>
      <c r="P206" s="307">
        <f>+(599265+242775)/(11+5)</f>
        <v>52627.5</v>
      </c>
      <c r="Q206" s="445">
        <f t="shared" si="75"/>
        <v>842040</v>
      </c>
      <c r="R206" s="442">
        <v>18</v>
      </c>
      <c r="S206" s="443">
        <v>46529.444444444445</v>
      </c>
      <c r="T206" s="444">
        <f t="shared" si="76"/>
        <v>837530</v>
      </c>
      <c r="U206" s="306">
        <v>17</v>
      </c>
      <c r="V206" s="306">
        <f>+(430783+366536)/17</f>
        <v>46901.117647058825</v>
      </c>
      <c r="W206" s="441">
        <f t="shared" si="77"/>
        <v>797319</v>
      </c>
      <c r="X206" s="442">
        <v>23</v>
      </c>
      <c r="Y206" s="443">
        <v>43246</v>
      </c>
      <c r="Z206" s="444">
        <f t="shared" si="78"/>
        <v>994658</v>
      </c>
      <c r="AA206" s="307">
        <f>7+17</f>
        <v>24</v>
      </c>
      <c r="AB206" s="307">
        <f>+(295798+719360)/(7+17)</f>
        <v>42298.25</v>
      </c>
      <c r="AC206" s="445">
        <f t="shared" si="79"/>
        <v>1015158</v>
      </c>
      <c r="AD206" s="442"/>
      <c r="AE206" s="443"/>
      <c r="AF206" s="444">
        <f t="shared" si="80"/>
        <v>0</v>
      </c>
      <c r="AG206" s="307"/>
      <c r="AH206" s="307"/>
      <c r="AI206" s="445">
        <f t="shared" si="81"/>
        <v>0</v>
      </c>
      <c r="AJ206" s="446"/>
      <c r="AK206" s="443"/>
      <c r="AL206" s="444">
        <f t="shared" si="82"/>
        <v>0</v>
      </c>
      <c r="AM206" s="307"/>
      <c r="AN206" s="307"/>
      <c r="AO206" s="447">
        <f t="shared" si="83"/>
        <v>0</v>
      </c>
      <c r="AP206" s="448"/>
      <c r="AQ206" s="443"/>
      <c r="AR206" s="444">
        <f t="shared" si="84"/>
        <v>0</v>
      </c>
      <c r="AS206" s="307"/>
      <c r="AT206" s="307"/>
      <c r="AU206" s="441">
        <f t="shared" si="85"/>
        <v>0</v>
      </c>
      <c r="AV206" s="442">
        <v>3</v>
      </c>
      <c r="AW206" s="443">
        <v>61173.333333333336</v>
      </c>
      <c r="AX206" s="444">
        <f t="shared" si="86"/>
        <v>150156.06400000001</v>
      </c>
      <c r="AY206" s="307">
        <v>3</v>
      </c>
      <c r="AZ206" s="307">
        <f>183520/3</f>
        <v>61173.333333333336</v>
      </c>
      <c r="BA206" s="445">
        <f t="shared" si="87"/>
        <v>150156.06400000001</v>
      </c>
      <c r="BB206" s="442">
        <v>5</v>
      </c>
      <c r="BC206" s="443">
        <v>53204.2</v>
      </c>
      <c r="BD206" s="444">
        <f t="shared" si="88"/>
        <v>217658.38220000002</v>
      </c>
      <c r="BE206" s="307">
        <v>9</v>
      </c>
      <c r="BF206" s="307">
        <f>+(161139+317186)/9</f>
        <v>53147.222222222219</v>
      </c>
      <c r="BG206" s="445">
        <f t="shared" si="89"/>
        <v>391365.51500000001</v>
      </c>
      <c r="BH206" s="442">
        <v>14</v>
      </c>
      <c r="BI206" s="443">
        <v>46952.857142857145</v>
      </c>
      <c r="BJ206" s="444">
        <f t="shared" si="90"/>
        <v>537835.58799999999</v>
      </c>
      <c r="BK206" s="307">
        <v>16</v>
      </c>
      <c r="BL206" s="307">
        <f>+(320431+435413)/16</f>
        <v>47240.25</v>
      </c>
      <c r="BM206" s="445">
        <f t="shared" si="91"/>
        <v>618431.56079999998</v>
      </c>
      <c r="BN206" s="442"/>
      <c r="BO206" s="443"/>
      <c r="BP206" s="444">
        <f t="shared" si="92"/>
        <v>0</v>
      </c>
      <c r="BQ206" s="307"/>
      <c r="BR206" s="307"/>
      <c r="BS206" s="445">
        <f t="shared" si="93"/>
        <v>0</v>
      </c>
      <c r="BT206" s="442"/>
      <c r="BU206" s="443"/>
      <c r="BV206" s="444">
        <f t="shared" si="94"/>
        <v>0</v>
      </c>
      <c r="BW206" s="307"/>
      <c r="BX206" s="307"/>
      <c r="BY206" s="449">
        <f t="shared" si="95"/>
        <v>0</v>
      </c>
    </row>
    <row r="207" spans="1:77" s="308" customFormat="1" ht="12.75" customHeight="1">
      <c r="A207" s="361" t="s">
        <v>308</v>
      </c>
      <c r="B207" s="360" t="s">
        <v>950</v>
      </c>
      <c r="C207" s="360"/>
      <c r="D207" s="361">
        <v>159391</v>
      </c>
      <c r="E207" s="362">
        <v>1</v>
      </c>
      <c r="F207" s="453">
        <v>379</v>
      </c>
      <c r="G207" s="454">
        <v>112009</v>
      </c>
      <c r="H207" s="439">
        <f t="shared" si="72"/>
        <v>42451411</v>
      </c>
      <c r="I207" s="463">
        <v>368</v>
      </c>
      <c r="J207" s="464">
        <v>111520</v>
      </c>
      <c r="K207" s="441">
        <f t="shared" si="73"/>
        <v>41039360</v>
      </c>
      <c r="L207" s="442">
        <v>268</v>
      </c>
      <c r="M207" s="443">
        <v>79377</v>
      </c>
      <c r="N207" s="444">
        <f t="shared" si="74"/>
        <v>21273036</v>
      </c>
      <c r="O207" s="465">
        <v>271</v>
      </c>
      <c r="P207" s="466">
        <v>78635</v>
      </c>
      <c r="Q207" s="445">
        <f t="shared" si="75"/>
        <v>21310085</v>
      </c>
      <c r="R207" s="442">
        <v>281</v>
      </c>
      <c r="S207" s="443">
        <v>67920</v>
      </c>
      <c r="T207" s="444">
        <f t="shared" si="76"/>
        <v>19085520</v>
      </c>
      <c r="U207" s="306">
        <v>251</v>
      </c>
      <c r="V207" s="306">
        <v>67922</v>
      </c>
      <c r="W207" s="441">
        <f t="shared" si="77"/>
        <v>17048422</v>
      </c>
      <c r="X207" s="442">
        <v>215</v>
      </c>
      <c r="Y207" s="443">
        <v>43356</v>
      </c>
      <c r="Z207" s="444">
        <f t="shared" si="78"/>
        <v>9321540</v>
      </c>
      <c r="AA207" s="467">
        <v>196</v>
      </c>
      <c r="AB207" s="468">
        <v>43530</v>
      </c>
      <c r="AC207" s="445">
        <f t="shared" si="79"/>
        <v>8531880</v>
      </c>
      <c r="AD207" s="442">
        <v>16</v>
      </c>
      <c r="AE207" s="443">
        <v>58759</v>
      </c>
      <c r="AF207" s="444">
        <f t="shared" si="80"/>
        <v>940144</v>
      </c>
      <c r="AG207" s="469">
        <v>17</v>
      </c>
      <c r="AH207" s="470">
        <v>64359</v>
      </c>
      <c r="AI207" s="445">
        <f t="shared" si="81"/>
        <v>1094103</v>
      </c>
      <c r="AJ207" s="446"/>
      <c r="AK207" s="443"/>
      <c r="AL207" s="444">
        <f t="shared" si="82"/>
        <v>0</v>
      </c>
      <c r="AM207" s="307"/>
      <c r="AN207" s="307"/>
      <c r="AO207" s="447">
        <f t="shared" si="83"/>
        <v>0</v>
      </c>
      <c r="AP207" s="448">
        <v>64</v>
      </c>
      <c r="AQ207" s="443">
        <v>127743</v>
      </c>
      <c r="AR207" s="444">
        <f t="shared" si="84"/>
        <v>6689236.6464</v>
      </c>
      <c r="AS207" s="307">
        <v>61</v>
      </c>
      <c r="AT207" s="307">
        <v>126427</v>
      </c>
      <c r="AU207" s="441">
        <f t="shared" si="85"/>
        <v>6309996.8554000007</v>
      </c>
      <c r="AV207" s="442">
        <v>30</v>
      </c>
      <c r="AW207" s="443">
        <v>94695</v>
      </c>
      <c r="AX207" s="444">
        <f t="shared" si="86"/>
        <v>2324383.4700000002</v>
      </c>
      <c r="AY207" s="469">
        <v>26</v>
      </c>
      <c r="AZ207" s="470">
        <v>88533</v>
      </c>
      <c r="BA207" s="445">
        <f t="shared" si="87"/>
        <v>1883380.2156</v>
      </c>
      <c r="BB207" s="442">
        <v>30</v>
      </c>
      <c r="BC207" s="443">
        <v>99018</v>
      </c>
      <c r="BD207" s="444">
        <f t="shared" si="88"/>
        <v>2430495.8280000002</v>
      </c>
      <c r="BE207" s="469">
        <v>27</v>
      </c>
      <c r="BF207" s="470">
        <v>99548</v>
      </c>
      <c r="BG207" s="445">
        <f t="shared" si="89"/>
        <v>2199154.6872</v>
      </c>
      <c r="BH207" s="442">
        <v>17</v>
      </c>
      <c r="BI207" s="443">
        <v>58385</v>
      </c>
      <c r="BJ207" s="444">
        <f t="shared" si="90"/>
        <v>812100.31900000002</v>
      </c>
      <c r="BK207" s="469">
        <v>17</v>
      </c>
      <c r="BL207" s="470">
        <v>59056</v>
      </c>
      <c r="BM207" s="445">
        <f t="shared" si="91"/>
        <v>821433.52640000009</v>
      </c>
      <c r="BN207" s="442">
        <v>5</v>
      </c>
      <c r="BO207" s="443">
        <v>55792</v>
      </c>
      <c r="BP207" s="444">
        <f t="shared" si="92"/>
        <v>228245.07200000001</v>
      </c>
      <c r="BQ207" s="469">
        <v>4</v>
      </c>
      <c r="BR207" s="470">
        <v>77362</v>
      </c>
      <c r="BS207" s="445">
        <f t="shared" si="93"/>
        <v>253190.3536</v>
      </c>
      <c r="BT207" s="442"/>
      <c r="BU207" s="443"/>
      <c r="BV207" s="444">
        <f t="shared" si="94"/>
        <v>0</v>
      </c>
      <c r="BW207" s="469"/>
      <c r="BX207" s="470"/>
      <c r="BY207" s="449">
        <f t="shared" si="95"/>
        <v>0</v>
      </c>
    </row>
    <row r="208" spans="1:77" s="308" customFormat="1" ht="12.75" customHeight="1">
      <c r="A208" s="361" t="s">
        <v>308</v>
      </c>
      <c r="B208" s="360" t="s">
        <v>951</v>
      </c>
      <c r="C208" s="360"/>
      <c r="D208" s="361">
        <v>159647</v>
      </c>
      <c r="E208" s="362">
        <v>2</v>
      </c>
      <c r="F208" s="471">
        <v>41</v>
      </c>
      <c r="G208" s="472">
        <v>75104</v>
      </c>
      <c r="H208" s="439">
        <f t="shared" si="72"/>
        <v>3079264</v>
      </c>
      <c r="I208" s="463">
        <v>45</v>
      </c>
      <c r="J208" s="464">
        <v>79917</v>
      </c>
      <c r="K208" s="441">
        <f t="shared" si="73"/>
        <v>3596265</v>
      </c>
      <c r="L208" s="442">
        <v>81</v>
      </c>
      <c r="M208" s="443">
        <v>66868</v>
      </c>
      <c r="N208" s="444">
        <f t="shared" si="74"/>
        <v>5416308</v>
      </c>
      <c r="O208" s="465">
        <v>89</v>
      </c>
      <c r="P208" s="466">
        <v>68193</v>
      </c>
      <c r="Q208" s="445">
        <f t="shared" si="75"/>
        <v>6069177</v>
      </c>
      <c r="R208" s="442">
        <v>134</v>
      </c>
      <c r="S208" s="443">
        <v>59846</v>
      </c>
      <c r="T208" s="444">
        <f t="shared" si="76"/>
        <v>8019364</v>
      </c>
      <c r="U208" s="306">
        <v>120</v>
      </c>
      <c r="V208" s="306">
        <v>60258</v>
      </c>
      <c r="W208" s="441">
        <f t="shared" si="77"/>
        <v>7230960</v>
      </c>
      <c r="X208" s="442">
        <v>44</v>
      </c>
      <c r="Y208" s="443">
        <v>39633</v>
      </c>
      <c r="Z208" s="444">
        <f t="shared" si="78"/>
        <v>1743852</v>
      </c>
      <c r="AA208" s="467">
        <v>44</v>
      </c>
      <c r="AB208" s="468">
        <v>39334</v>
      </c>
      <c r="AC208" s="445">
        <f t="shared" si="79"/>
        <v>1730696</v>
      </c>
      <c r="AD208" s="442">
        <v>34</v>
      </c>
      <c r="AE208" s="443">
        <v>52768.23529411765</v>
      </c>
      <c r="AF208" s="444">
        <f t="shared" si="80"/>
        <v>1794120</v>
      </c>
      <c r="AG208" s="469">
        <v>16</v>
      </c>
      <c r="AH208" s="470">
        <v>62343</v>
      </c>
      <c r="AI208" s="445">
        <f t="shared" si="81"/>
        <v>997488</v>
      </c>
      <c r="AJ208" s="446"/>
      <c r="AK208" s="443"/>
      <c r="AL208" s="444">
        <f t="shared" si="82"/>
        <v>0</v>
      </c>
      <c r="AM208" s="307"/>
      <c r="AN208" s="307"/>
      <c r="AO208" s="447">
        <f t="shared" si="83"/>
        <v>0</v>
      </c>
      <c r="AP208" s="448">
        <v>28</v>
      </c>
      <c r="AQ208" s="443">
        <v>116073</v>
      </c>
      <c r="AR208" s="444">
        <f t="shared" si="84"/>
        <v>2659186.0008</v>
      </c>
      <c r="AS208" s="473">
        <v>29</v>
      </c>
      <c r="AT208" s="474">
        <v>113356</v>
      </c>
      <c r="AU208" s="441">
        <f t="shared" si="85"/>
        <v>2689688.4968000003</v>
      </c>
      <c r="AV208" s="442">
        <v>16</v>
      </c>
      <c r="AW208" s="443">
        <v>92297</v>
      </c>
      <c r="AX208" s="444">
        <f t="shared" si="86"/>
        <v>1208278.4864000001</v>
      </c>
      <c r="AY208" s="469">
        <v>15</v>
      </c>
      <c r="AZ208" s="470">
        <v>90277</v>
      </c>
      <c r="BA208" s="445">
        <f t="shared" si="87"/>
        <v>1107969.621</v>
      </c>
      <c r="BB208" s="442">
        <v>10</v>
      </c>
      <c r="BC208" s="443">
        <v>78678</v>
      </c>
      <c r="BD208" s="444">
        <f t="shared" si="88"/>
        <v>643743.39600000007</v>
      </c>
      <c r="BE208" s="469">
        <v>8</v>
      </c>
      <c r="BF208" s="470">
        <v>77589</v>
      </c>
      <c r="BG208" s="445">
        <f t="shared" si="89"/>
        <v>507866.55840000004</v>
      </c>
      <c r="BH208" s="442">
        <v>9</v>
      </c>
      <c r="BI208" s="443">
        <v>48794</v>
      </c>
      <c r="BJ208" s="444">
        <f t="shared" si="90"/>
        <v>359309.25719999999</v>
      </c>
      <c r="BK208" s="469">
        <v>7</v>
      </c>
      <c r="BL208" s="470">
        <v>48640</v>
      </c>
      <c r="BM208" s="445">
        <f t="shared" si="91"/>
        <v>278580.73600000003</v>
      </c>
      <c r="BN208" s="442">
        <v>1</v>
      </c>
      <c r="BO208" s="443">
        <v>30000</v>
      </c>
      <c r="BP208" s="444">
        <f t="shared" si="92"/>
        <v>24546</v>
      </c>
      <c r="BQ208" s="469">
        <v>0</v>
      </c>
      <c r="BR208" s="470">
        <v>0</v>
      </c>
      <c r="BS208" s="445">
        <f t="shared" si="93"/>
        <v>0</v>
      </c>
      <c r="BT208" s="442"/>
      <c r="BU208" s="443"/>
      <c r="BV208" s="444">
        <f t="shared" si="94"/>
        <v>0</v>
      </c>
      <c r="BW208" s="469"/>
      <c r="BX208" s="470"/>
      <c r="BY208" s="449">
        <f t="shared" si="95"/>
        <v>0</v>
      </c>
    </row>
    <row r="209" spans="1:77" s="308" customFormat="1" ht="12.75" customHeight="1">
      <c r="A209" s="361" t="s">
        <v>308</v>
      </c>
      <c r="B209" s="360" t="s">
        <v>952</v>
      </c>
      <c r="C209" s="360"/>
      <c r="D209" s="361">
        <v>160658</v>
      </c>
      <c r="E209" s="362">
        <v>2</v>
      </c>
      <c r="F209" s="471">
        <v>142</v>
      </c>
      <c r="G209" s="472">
        <v>103943</v>
      </c>
      <c r="H209" s="439">
        <f t="shared" si="72"/>
        <v>14759906</v>
      </c>
      <c r="I209" s="463">
        <v>141</v>
      </c>
      <c r="J209" s="464">
        <v>103265</v>
      </c>
      <c r="K209" s="441">
        <f t="shared" si="73"/>
        <v>14560365</v>
      </c>
      <c r="L209" s="442">
        <v>135</v>
      </c>
      <c r="M209" s="443">
        <v>75070</v>
      </c>
      <c r="N209" s="444">
        <f t="shared" si="74"/>
        <v>10134450</v>
      </c>
      <c r="O209" s="465">
        <v>140</v>
      </c>
      <c r="P209" s="466">
        <v>74535</v>
      </c>
      <c r="Q209" s="445">
        <f t="shared" si="75"/>
        <v>10434900</v>
      </c>
      <c r="R209" s="442">
        <v>165</v>
      </c>
      <c r="S209" s="443">
        <v>61229</v>
      </c>
      <c r="T209" s="444">
        <f t="shared" si="76"/>
        <v>10102785</v>
      </c>
      <c r="U209" s="613">
        <v>156</v>
      </c>
      <c r="V209" s="613">
        <v>59922</v>
      </c>
      <c r="W209" s="441">
        <f t="shared" si="77"/>
        <v>9347832</v>
      </c>
      <c r="X209" s="442">
        <v>155</v>
      </c>
      <c r="Y209" s="443">
        <v>43863</v>
      </c>
      <c r="Z209" s="444">
        <f t="shared" si="78"/>
        <v>6798765</v>
      </c>
      <c r="AA209" s="467">
        <v>152</v>
      </c>
      <c r="AB209" s="468">
        <v>44193</v>
      </c>
      <c r="AC209" s="445">
        <f t="shared" si="79"/>
        <v>6717336</v>
      </c>
      <c r="AD209" s="442">
        <v>0</v>
      </c>
      <c r="AE209" s="443">
        <v>0</v>
      </c>
      <c r="AF209" s="444">
        <f t="shared" si="80"/>
        <v>0</v>
      </c>
      <c r="AG209" s="469">
        <v>0</v>
      </c>
      <c r="AH209" s="470">
        <v>0</v>
      </c>
      <c r="AI209" s="445">
        <f t="shared" si="81"/>
        <v>0</v>
      </c>
      <c r="AJ209" s="446"/>
      <c r="AK209" s="443"/>
      <c r="AL209" s="444">
        <f t="shared" si="82"/>
        <v>0</v>
      </c>
      <c r="AM209" s="307"/>
      <c r="AN209" s="307"/>
      <c r="AO209" s="447">
        <f t="shared" si="83"/>
        <v>0</v>
      </c>
      <c r="AP209" s="448">
        <v>0</v>
      </c>
      <c r="AQ209" s="443">
        <v>0</v>
      </c>
      <c r="AR209" s="444">
        <f t="shared" si="84"/>
        <v>0</v>
      </c>
      <c r="AS209" s="473">
        <v>1</v>
      </c>
      <c r="AT209" s="474">
        <v>95000</v>
      </c>
      <c r="AU209" s="441">
        <f t="shared" si="85"/>
        <v>77729</v>
      </c>
      <c r="AV209" s="442">
        <v>1</v>
      </c>
      <c r="AW209" s="443">
        <v>106619</v>
      </c>
      <c r="AX209" s="444">
        <f t="shared" si="86"/>
        <v>87235.665800000002</v>
      </c>
      <c r="AY209" s="469">
        <v>1</v>
      </c>
      <c r="AZ209" s="470">
        <v>106619</v>
      </c>
      <c r="BA209" s="445">
        <f t="shared" si="87"/>
        <v>87235.665800000002</v>
      </c>
      <c r="BB209" s="442">
        <v>0</v>
      </c>
      <c r="BC209" s="443">
        <v>0</v>
      </c>
      <c r="BD209" s="444">
        <f t="shared" si="88"/>
        <v>0</v>
      </c>
      <c r="BE209" s="469">
        <v>2</v>
      </c>
      <c r="BF209" s="470">
        <v>55250</v>
      </c>
      <c r="BG209" s="445">
        <f t="shared" si="89"/>
        <v>90411.1</v>
      </c>
      <c r="BH209" s="442">
        <v>2</v>
      </c>
      <c r="BI209" s="443">
        <v>67383</v>
      </c>
      <c r="BJ209" s="444">
        <f t="shared" si="90"/>
        <v>110265.54120000001</v>
      </c>
      <c r="BK209" s="469">
        <v>3</v>
      </c>
      <c r="BL209" s="470">
        <v>59255</v>
      </c>
      <c r="BM209" s="445">
        <f t="shared" si="91"/>
        <v>145447.323</v>
      </c>
      <c r="BN209" s="442">
        <v>0</v>
      </c>
      <c r="BO209" s="443">
        <v>0</v>
      </c>
      <c r="BP209" s="444">
        <f t="shared" si="92"/>
        <v>0</v>
      </c>
      <c r="BQ209" s="469">
        <v>0</v>
      </c>
      <c r="BR209" s="470">
        <v>0</v>
      </c>
      <c r="BS209" s="445">
        <f t="shared" si="93"/>
        <v>0</v>
      </c>
      <c r="BT209" s="442"/>
      <c r="BU209" s="443"/>
      <c r="BV209" s="444">
        <f t="shared" si="94"/>
        <v>0</v>
      </c>
      <c r="BW209" s="469"/>
      <c r="BX209" s="470"/>
      <c r="BY209" s="449">
        <f t="shared" si="95"/>
        <v>0</v>
      </c>
    </row>
    <row r="210" spans="1:77" s="308" customFormat="1" ht="12.75" customHeight="1">
      <c r="A210" s="361" t="s">
        <v>308</v>
      </c>
      <c r="B210" s="360" t="s">
        <v>953</v>
      </c>
      <c r="C210" s="360"/>
      <c r="D210" s="361">
        <v>159939</v>
      </c>
      <c r="E210" s="362">
        <v>2</v>
      </c>
      <c r="F210" s="471">
        <v>133</v>
      </c>
      <c r="G210" s="472">
        <v>88162</v>
      </c>
      <c r="H210" s="439">
        <f t="shared" si="72"/>
        <v>11725546</v>
      </c>
      <c r="I210" s="463">
        <v>131</v>
      </c>
      <c r="J210" s="464">
        <v>87771</v>
      </c>
      <c r="K210" s="441">
        <f t="shared" si="73"/>
        <v>11498001</v>
      </c>
      <c r="L210" s="442">
        <v>95</v>
      </c>
      <c r="M210" s="443">
        <v>66828</v>
      </c>
      <c r="N210" s="444">
        <f t="shared" si="74"/>
        <v>6348660</v>
      </c>
      <c r="O210" s="465">
        <v>89</v>
      </c>
      <c r="P210" s="466">
        <v>66696</v>
      </c>
      <c r="Q210" s="445">
        <f t="shared" si="75"/>
        <v>5935944</v>
      </c>
      <c r="R210" s="442">
        <v>89</v>
      </c>
      <c r="S210" s="443">
        <v>60348</v>
      </c>
      <c r="T210" s="444">
        <f t="shared" si="76"/>
        <v>5370972</v>
      </c>
      <c r="U210" s="306">
        <v>79</v>
      </c>
      <c r="V210" s="306">
        <v>61064</v>
      </c>
      <c r="W210" s="441">
        <f t="shared" si="77"/>
        <v>4824056</v>
      </c>
      <c r="X210" s="442">
        <v>106</v>
      </c>
      <c r="Y210" s="443">
        <v>42887</v>
      </c>
      <c r="Z210" s="444">
        <f t="shared" si="78"/>
        <v>4546022</v>
      </c>
      <c r="AA210" s="467">
        <v>93</v>
      </c>
      <c r="AB210" s="468">
        <v>42212</v>
      </c>
      <c r="AC210" s="445">
        <f t="shared" si="79"/>
        <v>3925716</v>
      </c>
      <c r="AD210" s="442">
        <v>0</v>
      </c>
      <c r="AE210" s="443">
        <v>0</v>
      </c>
      <c r="AF210" s="444">
        <f t="shared" si="80"/>
        <v>0</v>
      </c>
      <c r="AG210" s="469">
        <v>0</v>
      </c>
      <c r="AH210" s="470">
        <v>0</v>
      </c>
      <c r="AI210" s="445">
        <f t="shared" si="81"/>
        <v>0</v>
      </c>
      <c r="AJ210" s="446"/>
      <c r="AK210" s="443"/>
      <c r="AL210" s="444">
        <f t="shared" si="82"/>
        <v>0</v>
      </c>
      <c r="AM210" s="307"/>
      <c r="AN210" s="307"/>
      <c r="AO210" s="447">
        <f t="shared" si="83"/>
        <v>0</v>
      </c>
      <c r="AP210" s="448">
        <v>9</v>
      </c>
      <c r="AQ210" s="443">
        <v>84762</v>
      </c>
      <c r="AR210" s="444">
        <f t="shared" si="84"/>
        <v>624170.41560000007</v>
      </c>
      <c r="AS210" s="473">
        <v>9</v>
      </c>
      <c r="AT210" s="474">
        <v>74280</v>
      </c>
      <c r="AU210" s="441">
        <f t="shared" si="85"/>
        <v>546983.06400000001</v>
      </c>
      <c r="AV210" s="442">
        <v>6</v>
      </c>
      <c r="AW210" s="443">
        <v>61187</v>
      </c>
      <c r="AX210" s="444">
        <f t="shared" si="86"/>
        <v>300379.22039999999</v>
      </c>
      <c r="AY210" s="469">
        <v>8</v>
      </c>
      <c r="AZ210" s="470">
        <v>65107</v>
      </c>
      <c r="BA210" s="445">
        <f t="shared" si="87"/>
        <v>426164.37920000002</v>
      </c>
      <c r="BB210" s="442">
        <v>3</v>
      </c>
      <c r="BC210" s="443">
        <v>46550</v>
      </c>
      <c r="BD210" s="444">
        <f t="shared" si="88"/>
        <v>114261.63</v>
      </c>
      <c r="BE210" s="469">
        <v>2</v>
      </c>
      <c r="BF210" s="470">
        <v>40000</v>
      </c>
      <c r="BG210" s="445">
        <f t="shared" si="89"/>
        <v>65456</v>
      </c>
      <c r="BH210" s="442">
        <v>1</v>
      </c>
      <c r="BI210" s="443">
        <v>62350</v>
      </c>
      <c r="BJ210" s="444">
        <f t="shared" si="90"/>
        <v>51014.770000000004</v>
      </c>
      <c r="BK210" s="469">
        <v>1</v>
      </c>
      <c r="BL210" s="470">
        <v>62350</v>
      </c>
      <c r="BM210" s="445">
        <f t="shared" si="91"/>
        <v>51014.770000000004</v>
      </c>
      <c r="BN210" s="442">
        <v>0</v>
      </c>
      <c r="BO210" s="443">
        <v>0</v>
      </c>
      <c r="BP210" s="444">
        <f t="shared" si="92"/>
        <v>0</v>
      </c>
      <c r="BQ210" s="469">
        <v>0</v>
      </c>
      <c r="BR210" s="470">
        <v>0</v>
      </c>
      <c r="BS210" s="445">
        <f t="shared" si="93"/>
        <v>0</v>
      </c>
      <c r="BT210" s="442"/>
      <c r="BU210" s="443"/>
      <c r="BV210" s="444">
        <f t="shared" si="94"/>
        <v>0</v>
      </c>
      <c r="BW210" s="469"/>
      <c r="BX210" s="470"/>
      <c r="BY210" s="449">
        <f t="shared" si="95"/>
        <v>0</v>
      </c>
    </row>
    <row r="211" spans="1:77" s="308" customFormat="1" ht="12.75" customHeight="1">
      <c r="A211" s="361" t="s">
        <v>308</v>
      </c>
      <c r="B211" s="360" t="s">
        <v>954</v>
      </c>
      <c r="C211" s="360"/>
      <c r="D211" s="361">
        <v>160612</v>
      </c>
      <c r="E211" s="362">
        <v>3</v>
      </c>
      <c r="F211" s="471">
        <v>90</v>
      </c>
      <c r="G211" s="472">
        <v>78372</v>
      </c>
      <c r="H211" s="439">
        <f t="shared" si="72"/>
        <v>7053480</v>
      </c>
      <c r="I211" s="463">
        <v>87</v>
      </c>
      <c r="J211" s="464">
        <v>76286</v>
      </c>
      <c r="K211" s="441">
        <f t="shared" si="73"/>
        <v>6636882</v>
      </c>
      <c r="L211" s="442">
        <v>102</v>
      </c>
      <c r="M211" s="443">
        <v>65419</v>
      </c>
      <c r="N211" s="444">
        <f t="shared" si="74"/>
        <v>6672738</v>
      </c>
      <c r="O211" s="465">
        <v>103</v>
      </c>
      <c r="P211" s="466">
        <v>66002</v>
      </c>
      <c r="Q211" s="445">
        <f t="shared" si="75"/>
        <v>6798206</v>
      </c>
      <c r="R211" s="442">
        <v>107</v>
      </c>
      <c r="S211" s="443">
        <v>57271</v>
      </c>
      <c r="T211" s="444">
        <f t="shared" si="76"/>
        <v>6127997</v>
      </c>
      <c r="U211" s="306">
        <v>89</v>
      </c>
      <c r="V211" s="306">
        <v>57388</v>
      </c>
      <c r="W211" s="441">
        <f t="shared" si="77"/>
        <v>5107532</v>
      </c>
      <c r="X211" s="442">
        <v>222</v>
      </c>
      <c r="Y211" s="443">
        <v>44225</v>
      </c>
      <c r="Z211" s="444">
        <f t="shared" si="78"/>
        <v>9817950</v>
      </c>
      <c r="AA211" s="467">
        <v>178</v>
      </c>
      <c r="AB211" s="468">
        <v>44892</v>
      </c>
      <c r="AC211" s="445">
        <f t="shared" si="79"/>
        <v>7990776</v>
      </c>
      <c r="AD211" s="442">
        <v>0</v>
      </c>
      <c r="AE211" s="443">
        <v>0</v>
      </c>
      <c r="AF211" s="444">
        <f t="shared" si="80"/>
        <v>0</v>
      </c>
      <c r="AG211" s="469">
        <v>0</v>
      </c>
      <c r="AH211" s="470">
        <v>0</v>
      </c>
      <c r="AI211" s="445">
        <f t="shared" si="81"/>
        <v>0</v>
      </c>
      <c r="AJ211" s="446"/>
      <c r="AK211" s="443"/>
      <c r="AL211" s="444">
        <f t="shared" si="82"/>
        <v>0</v>
      </c>
      <c r="AM211" s="307"/>
      <c r="AN211" s="307"/>
      <c r="AO211" s="447">
        <f t="shared" si="83"/>
        <v>0</v>
      </c>
      <c r="AP211" s="448">
        <v>12</v>
      </c>
      <c r="AQ211" s="443">
        <v>109740</v>
      </c>
      <c r="AR211" s="444">
        <f t="shared" si="84"/>
        <v>1077471.216</v>
      </c>
      <c r="AS211" s="473">
        <v>14</v>
      </c>
      <c r="AT211" s="474">
        <v>110557</v>
      </c>
      <c r="AU211" s="441">
        <f t="shared" si="85"/>
        <v>1266408.3236</v>
      </c>
      <c r="AV211" s="442">
        <v>5</v>
      </c>
      <c r="AW211" s="443">
        <v>110895</v>
      </c>
      <c r="AX211" s="444">
        <f t="shared" si="86"/>
        <v>453671.44500000001</v>
      </c>
      <c r="AY211" s="469">
        <v>5</v>
      </c>
      <c r="AZ211" s="470">
        <v>109531</v>
      </c>
      <c r="BA211" s="445">
        <f t="shared" si="87"/>
        <v>448091.321</v>
      </c>
      <c r="BB211" s="442">
        <v>2</v>
      </c>
      <c r="BC211" s="443">
        <v>92355</v>
      </c>
      <c r="BD211" s="444">
        <f t="shared" si="88"/>
        <v>151129.72200000001</v>
      </c>
      <c r="BE211" s="469">
        <v>0</v>
      </c>
      <c r="BF211" s="470">
        <v>0</v>
      </c>
      <c r="BG211" s="445">
        <f t="shared" si="89"/>
        <v>0</v>
      </c>
      <c r="BH211" s="442">
        <v>1</v>
      </c>
      <c r="BI211" s="443">
        <v>68024</v>
      </c>
      <c r="BJ211" s="444">
        <f t="shared" si="90"/>
        <v>55657.236800000006</v>
      </c>
      <c r="BK211" s="469">
        <v>1</v>
      </c>
      <c r="BL211" s="470">
        <v>68024</v>
      </c>
      <c r="BM211" s="445">
        <f t="shared" si="91"/>
        <v>55657.236800000006</v>
      </c>
      <c r="BN211" s="442">
        <v>0</v>
      </c>
      <c r="BO211" s="443">
        <v>0</v>
      </c>
      <c r="BP211" s="444">
        <f t="shared" si="92"/>
        <v>0</v>
      </c>
      <c r="BQ211" s="469">
        <v>0</v>
      </c>
      <c r="BR211" s="470">
        <v>0</v>
      </c>
      <c r="BS211" s="445">
        <f t="shared" si="93"/>
        <v>0</v>
      </c>
      <c r="BT211" s="442"/>
      <c r="BU211" s="443"/>
      <c r="BV211" s="444">
        <f t="shared" si="94"/>
        <v>0</v>
      </c>
      <c r="BW211" s="469"/>
      <c r="BX211" s="470"/>
      <c r="BY211" s="449">
        <f t="shared" si="95"/>
        <v>0</v>
      </c>
    </row>
    <row r="212" spans="1:77" s="308" customFormat="1" ht="12.75" customHeight="1">
      <c r="A212" s="361" t="s">
        <v>308</v>
      </c>
      <c r="B212" s="360" t="s">
        <v>955</v>
      </c>
      <c r="C212" s="360"/>
      <c r="D212" s="361">
        <v>160621</v>
      </c>
      <c r="E212" s="362">
        <v>3</v>
      </c>
      <c r="F212" s="471">
        <v>123</v>
      </c>
      <c r="G212" s="472">
        <v>77893</v>
      </c>
      <c r="H212" s="439">
        <f t="shared" si="72"/>
        <v>9580839</v>
      </c>
      <c r="I212" s="463">
        <v>126</v>
      </c>
      <c r="J212" s="464">
        <v>77037</v>
      </c>
      <c r="K212" s="441">
        <f t="shared" si="73"/>
        <v>9706662</v>
      </c>
      <c r="L212" s="442">
        <v>79</v>
      </c>
      <c r="M212" s="443">
        <v>61620</v>
      </c>
      <c r="N212" s="444">
        <f t="shared" si="74"/>
        <v>4867980</v>
      </c>
      <c r="O212" s="465">
        <v>84</v>
      </c>
      <c r="P212" s="466">
        <v>62788</v>
      </c>
      <c r="Q212" s="445">
        <f t="shared" si="75"/>
        <v>5274192</v>
      </c>
      <c r="R212" s="442">
        <v>119</v>
      </c>
      <c r="S212" s="443">
        <v>53402</v>
      </c>
      <c r="T212" s="444">
        <f t="shared" si="76"/>
        <v>6354838</v>
      </c>
      <c r="U212" s="306">
        <v>107</v>
      </c>
      <c r="V212" s="306">
        <v>52606</v>
      </c>
      <c r="W212" s="441">
        <f t="shared" si="77"/>
        <v>5628842</v>
      </c>
      <c r="X212" s="442">
        <v>45</v>
      </c>
      <c r="Y212" s="443">
        <v>39461</v>
      </c>
      <c r="Z212" s="444">
        <f t="shared" si="78"/>
        <v>1775745</v>
      </c>
      <c r="AA212" s="467">
        <v>60</v>
      </c>
      <c r="AB212" s="468">
        <v>37674</v>
      </c>
      <c r="AC212" s="445">
        <f t="shared" si="79"/>
        <v>2260440</v>
      </c>
      <c r="AD212" s="442">
        <v>8</v>
      </c>
      <c r="AE212" s="443">
        <v>59383.5</v>
      </c>
      <c r="AF212" s="444">
        <f t="shared" si="80"/>
        <v>475068</v>
      </c>
      <c r="AG212" s="469">
        <v>6</v>
      </c>
      <c r="AH212" s="470">
        <v>75824</v>
      </c>
      <c r="AI212" s="445">
        <f t="shared" si="81"/>
        <v>454944</v>
      </c>
      <c r="AJ212" s="446"/>
      <c r="AK212" s="443"/>
      <c r="AL212" s="444">
        <f t="shared" si="82"/>
        <v>0</v>
      </c>
      <c r="AM212" s="307"/>
      <c r="AN212" s="307"/>
      <c r="AO212" s="447">
        <f t="shared" si="83"/>
        <v>0</v>
      </c>
      <c r="AP212" s="448">
        <v>7</v>
      </c>
      <c r="AQ212" s="443">
        <v>77871</v>
      </c>
      <c r="AR212" s="444">
        <f t="shared" si="84"/>
        <v>445998.36540000001</v>
      </c>
      <c r="AS212" s="473">
        <v>10</v>
      </c>
      <c r="AT212" s="474">
        <v>78178</v>
      </c>
      <c r="AU212" s="441">
        <f t="shared" si="85"/>
        <v>639652.39600000007</v>
      </c>
      <c r="AV212" s="442">
        <v>3</v>
      </c>
      <c r="AW212" s="443">
        <v>69680</v>
      </c>
      <c r="AX212" s="444">
        <f t="shared" si="86"/>
        <v>171036.52800000002</v>
      </c>
      <c r="AY212" s="469">
        <v>1</v>
      </c>
      <c r="AZ212" s="470">
        <v>70907</v>
      </c>
      <c r="BA212" s="445">
        <f t="shared" si="87"/>
        <v>58016.107400000001</v>
      </c>
      <c r="BB212" s="442">
        <v>5</v>
      </c>
      <c r="BC212" s="443">
        <v>64964</v>
      </c>
      <c r="BD212" s="444">
        <f t="shared" si="88"/>
        <v>265767.72399999999</v>
      </c>
      <c r="BE212" s="469">
        <v>8</v>
      </c>
      <c r="BF212" s="470">
        <v>62018</v>
      </c>
      <c r="BG212" s="445">
        <f t="shared" si="89"/>
        <v>405945.0208</v>
      </c>
      <c r="BH212" s="442">
        <v>19</v>
      </c>
      <c r="BI212" s="443">
        <v>45180</v>
      </c>
      <c r="BJ212" s="444">
        <f t="shared" si="90"/>
        <v>702359.24400000006</v>
      </c>
      <c r="BK212" s="469">
        <v>14</v>
      </c>
      <c r="BL212" s="470">
        <v>46309</v>
      </c>
      <c r="BM212" s="445">
        <f t="shared" si="91"/>
        <v>530460.33319999999</v>
      </c>
      <c r="BN212" s="442">
        <v>1</v>
      </c>
      <c r="BO212" s="443">
        <v>60000</v>
      </c>
      <c r="BP212" s="444">
        <f t="shared" si="92"/>
        <v>49092</v>
      </c>
      <c r="BQ212" s="469">
        <v>0</v>
      </c>
      <c r="BR212" s="470">
        <v>0</v>
      </c>
      <c r="BS212" s="445">
        <f t="shared" si="93"/>
        <v>0</v>
      </c>
      <c r="BT212" s="442"/>
      <c r="BU212" s="443"/>
      <c r="BV212" s="444">
        <f t="shared" si="94"/>
        <v>0</v>
      </c>
      <c r="BW212" s="469"/>
      <c r="BX212" s="470"/>
      <c r="BY212" s="449">
        <f t="shared" si="95"/>
        <v>0</v>
      </c>
    </row>
    <row r="213" spans="1:77" s="308" customFormat="1" ht="12.75" customHeight="1">
      <c r="A213" s="361" t="s">
        <v>308</v>
      </c>
      <c r="B213" s="360" t="s">
        <v>956</v>
      </c>
      <c r="C213" s="360"/>
      <c r="D213" s="361">
        <v>159993</v>
      </c>
      <c r="E213" s="362">
        <v>3</v>
      </c>
      <c r="F213" s="471">
        <v>52</v>
      </c>
      <c r="G213" s="472">
        <v>70028</v>
      </c>
      <c r="H213" s="439">
        <f t="shared" si="72"/>
        <v>3641456</v>
      </c>
      <c r="I213" s="463">
        <v>45</v>
      </c>
      <c r="J213" s="464">
        <v>77221</v>
      </c>
      <c r="K213" s="441">
        <f t="shared" si="73"/>
        <v>3474945</v>
      </c>
      <c r="L213" s="442">
        <v>64</v>
      </c>
      <c r="M213" s="443">
        <v>62486</v>
      </c>
      <c r="N213" s="444">
        <f t="shared" si="74"/>
        <v>3999104</v>
      </c>
      <c r="O213" s="465">
        <v>75</v>
      </c>
      <c r="P213" s="466">
        <v>63667</v>
      </c>
      <c r="Q213" s="445">
        <f t="shared" si="75"/>
        <v>4775025</v>
      </c>
      <c r="R213" s="442">
        <v>117</v>
      </c>
      <c r="S213" s="443">
        <v>51479</v>
      </c>
      <c r="T213" s="444">
        <f t="shared" si="76"/>
        <v>6023043</v>
      </c>
      <c r="U213" s="306">
        <v>101</v>
      </c>
      <c r="V213" s="306">
        <v>55044</v>
      </c>
      <c r="W213" s="441">
        <f t="shared" si="77"/>
        <v>5559444</v>
      </c>
      <c r="X213" s="442">
        <v>58</v>
      </c>
      <c r="Y213" s="443">
        <v>41690</v>
      </c>
      <c r="Z213" s="444">
        <f t="shared" si="78"/>
        <v>2418020</v>
      </c>
      <c r="AA213" s="467">
        <v>52</v>
      </c>
      <c r="AB213" s="468">
        <v>40392</v>
      </c>
      <c r="AC213" s="445">
        <f t="shared" si="79"/>
        <v>2100384</v>
      </c>
      <c r="AD213" s="442">
        <v>0</v>
      </c>
      <c r="AE213" s="443">
        <v>0</v>
      </c>
      <c r="AF213" s="444">
        <f t="shared" si="80"/>
        <v>0</v>
      </c>
      <c r="AG213" s="469">
        <v>4</v>
      </c>
      <c r="AH213" s="470">
        <v>50578</v>
      </c>
      <c r="AI213" s="445">
        <f t="shared" si="81"/>
        <v>202312</v>
      </c>
      <c r="AJ213" s="446"/>
      <c r="AK213" s="443"/>
      <c r="AL213" s="444">
        <f t="shared" si="82"/>
        <v>0</v>
      </c>
      <c r="AM213" s="307"/>
      <c r="AN213" s="307"/>
      <c r="AO213" s="447">
        <f t="shared" si="83"/>
        <v>0</v>
      </c>
      <c r="AP213" s="448">
        <v>6</v>
      </c>
      <c r="AQ213" s="443">
        <v>122425</v>
      </c>
      <c r="AR213" s="444">
        <f t="shared" si="84"/>
        <v>601008.81000000006</v>
      </c>
      <c r="AS213" s="473">
        <v>13</v>
      </c>
      <c r="AT213" s="474">
        <v>117166</v>
      </c>
      <c r="AU213" s="441">
        <f t="shared" si="85"/>
        <v>1246247.8756000001</v>
      </c>
      <c r="AV213" s="442">
        <v>12</v>
      </c>
      <c r="AW213" s="443">
        <v>94747</v>
      </c>
      <c r="AX213" s="444">
        <f t="shared" si="86"/>
        <v>930263.94480000006</v>
      </c>
      <c r="AY213" s="469">
        <v>18</v>
      </c>
      <c r="AZ213" s="470">
        <v>99759</v>
      </c>
      <c r="BA213" s="445">
        <f t="shared" si="87"/>
        <v>1469210.6484000001</v>
      </c>
      <c r="BB213" s="442">
        <v>35</v>
      </c>
      <c r="BC213" s="443">
        <v>90164</v>
      </c>
      <c r="BD213" s="444">
        <f t="shared" si="88"/>
        <v>2582026.4680000003</v>
      </c>
      <c r="BE213" s="469">
        <v>32</v>
      </c>
      <c r="BF213" s="470">
        <v>91264</v>
      </c>
      <c r="BG213" s="445">
        <f t="shared" si="89"/>
        <v>2389510.5536000002</v>
      </c>
      <c r="BH213" s="442">
        <v>7</v>
      </c>
      <c r="BI213" s="443">
        <v>58500</v>
      </c>
      <c r="BJ213" s="444">
        <f t="shared" si="90"/>
        <v>335052.90000000002</v>
      </c>
      <c r="BK213" s="469">
        <v>3</v>
      </c>
      <c r="BL213" s="470">
        <v>48695</v>
      </c>
      <c r="BM213" s="445">
        <f t="shared" si="91"/>
        <v>119526.747</v>
      </c>
      <c r="BN213" s="442">
        <v>0</v>
      </c>
      <c r="BO213" s="443">
        <v>0</v>
      </c>
      <c r="BP213" s="444">
        <f t="shared" si="92"/>
        <v>0</v>
      </c>
      <c r="BQ213" s="469">
        <v>0</v>
      </c>
      <c r="BR213" s="470">
        <v>0</v>
      </c>
      <c r="BS213" s="445">
        <f t="shared" si="93"/>
        <v>0</v>
      </c>
      <c r="BT213" s="442"/>
      <c r="BU213" s="443"/>
      <c r="BV213" s="444">
        <f t="shared" si="94"/>
        <v>0</v>
      </c>
      <c r="BW213" s="469"/>
      <c r="BX213" s="470"/>
      <c r="BY213" s="449">
        <f t="shared" si="95"/>
        <v>0</v>
      </c>
    </row>
    <row r="214" spans="1:77" s="308" customFormat="1" ht="12.75" customHeight="1">
      <c r="A214" s="359" t="s">
        <v>308</v>
      </c>
      <c r="B214" s="360" t="s">
        <v>957</v>
      </c>
      <c r="C214" s="360"/>
      <c r="D214" s="361">
        <v>159009</v>
      </c>
      <c r="E214" s="362">
        <v>4</v>
      </c>
      <c r="F214" s="471">
        <v>50</v>
      </c>
      <c r="G214" s="472">
        <v>70910</v>
      </c>
      <c r="H214" s="439">
        <f t="shared" si="72"/>
        <v>3545500</v>
      </c>
      <c r="I214" s="463">
        <v>44</v>
      </c>
      <c r="J214" s="464">
        <v>70721</v>
      </c>
      <c r="K214" s="441">
        <f t="shared" si="73"/>
        <v>3111724</v>
      </c>
      <c r="L214" s="442">
        <v>38</v>
      </c>
      <c r="M214" s="443">
        <v>62921</v>
      </c>
      <c r="N214" s="444">
        <f t="shared" si="74"/>
        <v>2390998</v>
      </c>
      <c r="O214" s="465">
        <v>35</v>
      </c>
      <c r="P214" s="466">
        <v>62677</v>
      </c>
      <c r="Q214" s="445">
        <f t="shared" si="75"/>
        <v>2193695</v>
      </c>
      <c r="R214" s="442">
        <v>86</v>
      </c>
      <c r="S214" s="443">
        <v>52296</v>
      </c>
      <c r="T214" s="444">
        <f t="shared" si="76"/>
        <v>4497456</v>
      </c>
      <c r="U214" s="306">
        <v>78</v>
      </c>
      <c r="V214" s="306">
        <v>53806</v>
      </c>
      <c r="W214" s="441">
        <f t="shared" si="77"/>
        <v>4196868</v>
      </c>
      <c r="X214" s="442">
        <v>18</v>
      </c>
      <c r="Y214" s="443">
        <v>42157</v>
      </c>
      <c r="Z214" s="444">
        <f t="shared" si="78"/>
        <v>758826</v>
      </c>
      <c r="AA214" s="467">
        <v>24</v>
      </c>
      <c r="AB214" s="468">
        <v>41059</v>
      </c>
      <c r="AC214" s="445">
        <f t="shared" si="79"/>
        <v>985416</v>
      </c>
      <c r="AD214" s="442">
        <v>8</v>
      </c>
      <c r="AE214" s="443">
        <v>42910</v>
      </c>
      <c r="AF214" s="444">
        <f t="shared" si="80"/>
        <v>343280</v>
      </c>
      <c r="AG214" s="469">
        <v>18</v>
      </c>
      <c r="AH214" s="470">
        <v>48108</v>
      </c>
      <c r="AI214" s="445">
        <f t="shared" si="81"/>
        <v>865944</v>
      </c>
      <c r="AJ214" s="446"/>
      <c r="AK214" s="443"/>
      <c r="AL214" s="444">
        <f t="shared" si="82"/>
        <v>0</v>
      </c>
      <c r="AM214" s="307"/>
      <c r="AN214" s="307"/>
      <c r="AO214" s="447">
        <f t="shared" si="83"/>
        <v>0</v>
      </c>
      <c r="AP214" s="448">
        <v>7</v>
      </c>
      <c r="AQ214" s="443">
        <v>87865</v>
      </c>
      <c r="AR214" s="444">
        <f t="shared" si="84"/>
        <v>503238.00100000005</v>
      </c>
      <c r="AS214" s="473">
        <v>7</v>
      </c>
      <c r="AT214" s="474">
        <v>85843</v>
      </c>
      <c r="AU214" s="441">
        <f t="shared" si="85"/>
        <v>491657.19820000004</v>
      </c>
      <c r="AV214" s="442">
        <v>10</v>
      </c>
      <c r="AW214" s="443">
        <v>75334</v>
      </c>
      <c r="AX214" s="444">
        <f t="shared" si="86"/>
        <v>616382.78800000006</v>
      </c>
      <c r="AY214" s="469">
        <v>8</v>
      </c>
      <c r="AZ214" s="470">
        <v>77716</v>
      </c>
      <c r="BA214" s="445">
        <f t="shared" si="87"/>
        <v>508697.84960000002</v>
      </c>
      <c r="BB214" s="442">
        <v>17</v>
      </c>
      <c r="BC214" s="443">
        <v>72969</v>
      </c>
      <c r="BD214" s="444">
        <f t="shared" si="88"/>
        <v>1014955.0086000001</v>
      </c>
      <c r="BE214" s="469">
        <v>17</v>
      </c>
      <c r="BF214" s="470">
        <v>68744</v>
      </c>
      <c r="BG214" s="445">
        <f t="shared" si="89"/>
        <v>956187.79360000009</v>
      </c>
      <c r="BH214" s="442">
        <v>7</v>
      </c>
      <c r="BI214" s="443">
        <v>45157</v>
      </c>
      <c r="BJ214" s="444">
        <f t="shared" si="90"/>
        <v>258632.20180000001</v>
      </c>
      <c r="BK214" s="469">
        <v>6</v>
      </c>
      <c r="BL214" s="470">
        <v>44152</v>
      </c>
      <c r="BM214" s="445">
        <f t="shared" si="91"/>
        <v>216750.99840000001</v>
      </c>
      <c r="BN214" s="442">
        <v>1</v>
      </c>
      <c r="BO214" s="443">
        <v>69644</v>
      </c>
      <c r="BP214" s="444">
        <f t="shared" si="92"/>
        <v>56982.720800000003</v>
      </c>
      <c r="BQ214" s="469">
        <v>1</v>
      </c>
      <c r="BR214" s="470">
        <v>69644</v>
      </c>
      <c r="BS214" s="445">
        <f t="shared" si="93"/>
        <v>56982.720800000003</v>
      </c>
      <c r="BT214" s="442"/>
      <c r="BU214" s="443"/>
      <c r="BV214" s="444">
        <f t="shared" si="94"/>
        <v>0</v>
      </c>
      <c r="BW214" s="469"/>
      <c r="BX214" s="470"/>
      <c r="BY214" s="449">
        <f t="shared" si="95"/>
        <v>0</v>
      </c>
    </row>
    <row r="215" spans="1:77" s="308" customFormat="1" ht="12.75" customHeight="1">
      <c r="A215" s="359" t="s">
        <v>308</v>
      </c>
      <c r="B215" s="360" t="s">
        <v>958</v>
      </c>
      <c r="C215" s="360"/>
      <c r="D215" s="361">
        <v>159416</v>
      </c>
      <c r="E215" s="362">
        <v>4</v>
      </c>
      <c r="F215" s="471">
        <v>30</v>
      </c>
      <c r="G215" s="472">
        <v>62344</v>
      </c>
      <c r="H215" s="439">
        <f t="shared" si="72"/>
        <v>1870320</v>
      </c>
      <c r="I215" s="463">
        <v>28</v>
      </c>
      <c r="J215" s="464">
        <v>61552</v>
      </c>
      <c r="K215" s="441">
        <f t="shared" si="73"/>
        <v>1723456</v>
      </c>
      <c r="L215" s="442">
        <v>37</v>
      </c>
      <c r="M215" s="443">
        <v>57066</v>
      </c>
      <c r="N215" s="444">
        <f t="shared" si="74"/>
        <v>2111442</v>
      </c>
      <c r="O215" s="465">
        <v>35</v>
      </c>
      <c r="P215" s="466">
        <v>57446</v>
      </c>
      <c r="Q215" s="445">
        <f t="shared" si="75"/>
        <v>2010610</v>
      </c>
      <c r="R215" s="442">
        <v>29</v>
      </c>
      <c r="S215" s="443">
        <v>52683</v>
      </c>
      <c r="T215" s="444">
        <f t="shared" si="76"/>
        <v>1527807</v>
      </c>
      <c r="U215" s="306">
        <v>29</v>
      </c>
      <c r="V215" s="306">
        <v>51867</v>
      </c>
      <c r="W215" s="441">
        <f t="shared" si="77"/>
        <v>1504143</v>
      </c>
      <c r="X215" s="442">
        <v>23</v>
      </c>
      <c r="Y215" s="443">
        <v>36344</v>
      </c>
      <c r="Z215" s="444">
        <f t="shared" si="78"/>
        <v>835912</v>
      </c>
      <c r="AA215" s="467">
        <v>16</v>
      </c>
      <c r="AB215" s="468">
        <v>36202</v>
      </c>
      <c r="AC215" s="445">
        <f t="shared" si="79"/>
        <v>579232</v>
      </c>
      <c r="AD215" s="442">
        <v>0</v>
      </c>
      <c r="AE215" s="443">
        <v>0</v>
      </c>
      <c r="AF215" s="444">
        <f t="shared" si="80"/>
        <v>0</v>
      </c>
      <c r="AG215" s="469">
        <v>0</v>
      </c>
      <c r="AH215" s="470">
        <v>0</v>
      </c>
      <c r="AI215" s="445">
        <f t="shared" si="81"/>
        <v>0</v>
      </c>
      <c r="AJ215" s="446"/>
      <c r="AK215" s="443"/>
      <c r="AL215" s="444">
        <f t="shared" si="82"/>
        <v>0</v>
      </c>
      <c r="AM215" s="307">
        <v>8</v>
      </c>
      <c r="AN215" s="307">
        <v>45338</v>
      </c>
      <c r="AO215" s="447">
        <f t="shared" si="83"/>
        <v>362704</v>
      </c>
      <c r="AP215" s="448">
        <v>1</v>
      </c>
      <c r="AQ215" s="443">
        <v>86924</v>
      </c>
      <c r="AR215" s="444">
        <f t="shared" si="84"/>
        <v>71121.216800000009</v>
      </c>
      <c r="AS215" s="473">
        <v>2</v>
      </c>
      <c r="AT215" s="474">
        <v>86675</v>
      </c>
      <c r="AU215" s="441">
        <f t="shared" si="85"/>
        <v>141834.97</v>
      </c>
      <c r="AV215" s="442">
        <v>1</v>
      </c>
      <c r="AW215" s="443">
        <v>98000</v>
      </c>
      <c r="AX215" s="444">
        <f t="shared" si="86"/>
        <v>80183.600000000006</v>
      </c>
      <c r="AY215" s="469">
        <v>0</v>
      </c>
      <c r="AZ215" s="470">
        <v>0</v>
      </c>
      <c r="BA215" s="445">
        <f t="shared" si="87"/>
        <v>0</v>
      </c>
      <c r="BB215" s="442">
        <v>1</v>
      </c>
      <c r="BC215" s="443">
        <v>39640</v>
      </c>
      <c r="BD215" s="444">
        <f t="shared" si="88"/>
        <v>32433.448</v>
      </c>
      <c r="BE215" s="469">
        <v>0</v>
      </c>
      <c r="BF215" s="470">
        <v>0</v>
      </c>
      <c r="BG215" s="445">
        <f t="shared" si="89"/>
        <v>0</v>
      </c>
      <c r="BH215" s="442">
        <v>7</v>
      </c>
      <c r="BI215" s="443">
        <v>68721</v>
      </c>
      <c r="BJ215" s="444">
        <f t="shared" si="90"/>
        <v>393592.65540000005</v>
      </c>
      <c r="BK215" s="469">
        <v>5</v>
      </c>
      <c r="BL215" s="470">
        <v>74185</v>
      </c>
      <c r="BM215" s="445">
        <f t="shared" si="91"/>
        <v>303490.83500000002</v>
      </c>
      <c r="BN215" s="442">
        <v>0</v>
      </c>
      <c r="BO215" s="443">
        <v>0</v>
      </c>
      <c r="BP215" s="444">
        <f t="shared" si="92"/>
        <v>0</v>
      </c>
      <c r="BQ215" s="469">
        <v>0</v>
      </c>
      <c r="BR215" s="470">
        <v>0</v>
      </c>
      <c r="BS215" s="445">
        <f t="shared" si="93"/>
        <v>0</v>
      </c>
      <c r="BT215" s="442"/>
      <c r="BU215" s="443"/>
      <c r="BV215" s="444">
        <f t="shared" si="94"/>
        <v>0</v>
      </c>
      <c r="BW215" s="469"/>
      <c r="BX215" s="470"/>
      <c r="BY215" s="449">
        <f t="shared" si="95"/>
        <v>0</v>
      </c>
    </row>
    <row r="216" spans="1:77" s="308" customFormat="1" ht="12.75" customHeight="1">
      <c r="A216" s="359" t="s">
        <v>308</v>
      </c>
      <c r="B216" s="360" t="s">
        <v>959</v>
      </c>
      <c r="C216" s="360"/>
      <c r="D216" s="361">
        <v>159717</v>
      </c>
      <c r="E216" s="362">
        <v>4</v>
      </c>
      <c r="F216" s="471">
        <v>64</v>
      </c>
      <c r="G216" s="472">
        <v>81178</v>
      </c>
      <c r="H216" s="439">
        <f t="shared" si="72"/>
        <v>5195392</v>
      </c>
      <c r="I216" s="463">
        <v>61</v>
      </c>
      <c r="J216" s="464">
        <v>80852</v>
      </c>
      <c r="K216" s="441">
        <f t="shared" si="73"/>
        <v>4931972</v>
      </c>
      <c r="L216" s="442">
        <v>51</v>
      </c>
      <c r="M216" s="443">
        <v>65333</v>
      </c>
      <c r="N216" s="444">
        <f t="shared" si="74"/>
        <v>3331983</v>
      </c>
      <c r="O216" s="465">
        <v>52</v>
      </c>
      <c r="P216" s="466">
        <v>65030</v>
      </c>
      <c r="Q216" s="445">
        <f t="shared" si="75"/>
        <v>3381560</v>
      </c>
      <c r="R216" s="442">
        <v>134</v>
      </c>
      <c r="S216" s="443">
        <v>55268</v>
      </c>
      <c r="T216" s="444">
        <f t="shared" si="76"/>
        <v>7405912</v>
      </c>
      <c r="U216" s="306">
        <v>134</v>
      </c>
      <c r="V216" s="306">
        <v>55600</v>
      </c>
      <c r="W216" s="441">
        <f t="shared" si="77"/>
        <v>7450400</v>
      </c>
      <c r="X216" s="442">
        <v>51</v>
      </c>
      <c r="Y216" s="443">
        <v>42061</v>
      </c>
      <c r="Z216" s="444">
        <f t="shared" si="78"/>
        <v>2145111</v>
      </c>
      <c r="AA216" s="467">
        <v>50</v>
      </c>
      <c r="AB216" s="468">
        <v>41984</v>
      </c>
      <c r="AC216" s="445">
        <f t="shared" si="79"/>
        <v>2099200</v>
      </c>
      <c r="AD216" s="442">
        <v>0</v>
      </c>
      <c r="AE216" s="443">
        <v>0</v>
      </c>
      <c r="AF216" s="444">
        <f t="shared" si="80"/>
        <v>0</v>
      </c>
      <c r="AG216" s="469">
        <v>0</v>
      </c>
      <c r="AH216" s="470">
        <v>0</v>
      </c>
      <c r="AI216" s="445">
        <f t="shared" si="81"/>
        <v>0</v>
      </c>
      <c r="AJ216" s="446"/>
      <c r="AK216" s="443"/>
      <c r="AL216" s="444">
        <f t="shared" si="82"/>
        <v>0</v>
      </c>
      <c r="AM216" s="307"/>
      <c r="AN216" s="307"/>
      <c r="AO216" s="447">
        <f t="shared" si="83"/>
        <v>0</v>
      </c>
      <c r="AP216" s="448">
        <v>0</v>
      </c>
      <c r="AQ216" s="443">
        <v>0</v>
      </c>
      <c r="AR216" s="444">
        <f t="shared" si="84"/>
        <v>0</v>
      </c>
      <c r="AS216" s="473">
        <v>0</v>
      </c>
      <c r="AT216" s="474">
        <v>0</v>
      </c>
      <c r="AU216" s="441">
        <f t="shared" si="85"/>
        <v>0</v>
      </c>
      <c r="AV216" s="442">
        <v>0</v>
      </c>
      <c r="AW216" s="443">
        <v>0</v>
      </c>
      <c r="AX216" s="444">
        <f t="shared" si="86"/>
        <v>0</v>
      </c>
      <c r="AY216" s="469">
        <v>2</v>
      </c>
      <c r="AZ216" s="470">
        <v>65530</v>
      </c>
      <c r="BA216" s="445">
        <f t="shared" si="87"/>
        <v>107233.292</v>
      </c>
      <c r="BB216" s="442">
        <v>7</v>
      </c>
      <c r="BC216" s="443">
        <v>60110</v>
      </c>
      <c r="BD216" s="444">
        <f t="shared" si="88"/>
        <v>344274.01400000002</v>
      </c>
      <c r="BE216" s="469">
        <v>16</v>
      </c>
      <c r="BF216" s="470">
        <v>56280</v>
      </c>
      <c r="BG216" s="445">
        <f t="shared" si="89"/>
        <v>736772.73600000003</v>
      </c>
      <c r="BH216" s="442">
        <v>0</v>
      </c>
      <c r="BI216" s="443">
        <v>0</v>
      </c>
      <c r="BJ216" s="444">
        <f t="shared" si="90"/>
        <v>0</v>
      </c>
      <c r="BK216" s="469">
        <v>1</v>
      </c>
      <c r="BL216" s="470">
        <v>42000</v>
      </c>
      <c r="BM216" s="445">
        <f t="shared" si="91"/>
        <v>34364.400000000001</v>
      </c>
      <c r="BN216" s="442">
        <v>0</v>
      </c>
      <c r="BO216" s="443">
        <v>0</v>
      </c>
      <c r="BP216" s="444">
        <f t="shared" si="92"/>
        <v>0</v>
      </c>
      <c r="BQ216" s="469">
        <v>0</v>
      </c>
      <c r="BR216" s="470">
        <v>0</v>
      </c>
      <c r="BS216" s="445">
        <f t="shared" si="93"/>
        <v>0</v>
      </c>
      <c r="BT216" s="442"/>
      <c r="BU216" s="443"/>
      <c r="BV216" s="444">
        <f t="shared" si="94"/>
        <v>0</v>
      </c>
      <c r="BW216" s="469"/>
      <c r="BX216" s="470"/>
      <c r="BY216" s="449">
        <f t="shared" si="95"/>
        <v>0</v>
      </c>
    </row>
    <row r="217" spans="1:77" s="308" customFormat="1" ht="12.75" customHeight="1">
      <c r="A217" s="359" t="s">
        <v>308</v>
      </c>
      <c r="B217" s="360" t="s">
        <v>960</v>
      </c>
      <c r="C217" s="360"/>
      <c r="D217" s="361">
        <v>159966</v>
      </c>
      <c r="E217" s="362">
        <v>4</v>
      </c>
      <c r="F217" s="471">
        <v>35</v>
      </c>
      <c r="G217" s="472">
        <v>73067</v>
      </c>
      <c r="H217" s="439">
        <f t="shared" si="72"/>
        <v>2557345</v>
      </c>
      <c r="I217" s="463">
        <v>31</v>
      </c>
      <c r="J217" s="464">
        <v>72067</v>
      </c>
      <c r="K217" s="441">
        <f t="shared" si="73"/>
        <v>2234077</v>
      </c>
      <c r="L217" s="442">
        <v>50</v>
      </c>
      <c r="M217" s="443">
        <v>57938</v>
      </c>
      <c r="N217" s="444">
        <f t="shared" si="74"/>
        <v>2896900</v>
      </c>
      <c r="O217" s="465">
        <v>54</v>
      </c>
      <c r="P217" s="466">
        <v>58662</v>
      </c>
      <c r="Q217" s="445">
        <f t="shared" si="75"/>
        <v>3167748</v>
      </c>
      <c r="R217" s="442">
        <v>88</v>
      </c>
      <c r="S217" s="443">
        <v>51550</v>
      </c>
      <c r="T217" s="444">
        <f t="shared" si="76"/>
        <v>4536400</v>
      </c>
      <c r="U217" s="306">
        <v>78</v>
      </c>
      <c r="V217" s="306">
        <v>50197</v>
      </c>
      <c r="W217" s="441">
        <f t="shared" si="77"/>
        <v>3915366</v>
      </c>
      <c r="X217" s="442">
        <v>72</v>
      </c>
      <c r="Y217" s="443">
        <v>38468</v>
      </c>
      <c r="Z217" s="444">
        <f t="shared" si="78"/>
        <v>2769696</v>
      </c>
      <c r="AA217" s="467">
        <v>71</v>
      </c>
      <c r="AB217" s="468">
        <v>39265</v>
      </c>
      <c r="AC217" s="445">
        <f t="shared" si="79"/>
        <v>2787815</v>
      </c>
      <c r="AD217" s="442">
        <v>2</v>
      </c>
      <c r="AE217" s="443">
        <v>26384</v>
      </c>
      <c r="AF217" s="444">
        <f t="shared" si="80"/>
        <v>52768</v>
      </c>
      <c r="AG217" s="469">
        <v>0</v>
      </c>
      <c r="AH217" s="470">
        <v>0</v>
      </c>
      <c r="AI217" s="445">
        <f t="shared" si="81"/>
        <v>0</v>
      </c>
      <c r="AJ217" s="446"/>
      <c r="AK217" s="443"/>
      <c r="AL217" s="444">
        <f t="shared" si="82"/>
        <v>0</v>
      </c>
      <c r="AM217" s="307"/>
      <c r="AN217" s="307"/>
      <c r="AO217" s="447">
        <f t="shared" si="83"/>
        <v>0</v>
      </c>
      <c r="AP217" s="448">
        <v>5</v>
      </c>
      <c r="AQ217" s="443">
        <v>94279</v>
      </c>
      <c r="AR217" s="444">
        <f t="shared" si="84"/>
        <v>385695.38900000002</v>
      </c>
      <c r="AS217" s="473">
        <v>4</v>
      </c>
      <c r="AT217" s="474">
        <v>92547</v>
      </c>
      <c r="AU217" s="441">
        <f t="shared" si="85"/>
        <v>302887.82160000002</v>
      </c>
      <c r="AV217" s="442">
        <v>7</v>
      </c>
      <c r="AW217" s="443">
        <v>67091</v>
      </c>
      <c r="AX217" s="444">
        <f t="shared" si="86"/>
        <v>384256.99340000004</v>
      </c>
      <c r="AY217" s="469">
        <v>7</v>
      </c>
      <c r="AZ217" s="470">
        <v>60756</v>
      </c>
      <c r="BA217" s="445">
        <f t="shared" si="87"/>
        <v>347973.91440000001</v>
      </c>
      <c r="BB217" s="442">
        <v>12</v>
      </c>
      <c r="BC217" s="443">
        <v>53989</v>
      </c>
      <c r="BD217" s="444">
        <f t="shared" si="88"/>
        <v>530085.59759999998</v>
      </c>
      <c r="BE217" s="469">
        <v>8</v>
      </c>
      <c r="BF217" s="470">
        <v>52472</v>
      </c>
      <c r="BG217" s="445">
        <f t="shared" si="89"/>
        <v>343460.72320000001</v>
      </c>
      <c r="BH217" s="442">
        <v>4</v>
      </c>
      <c r="BI217" s="443">
        <v>56689</v>
      </c>
      <c r="BJ217" s="444">
        <f t="shared" si="90"/>
        <v>185531.7592</v>
      </c>
      <c r="BK217" s="469">
        <v>3</v>
      </c>
      <c r="BL217" s="470">
        <v>63858</v>
      </c>
      <c r="BM217" s="445">
        <f t="shared" si="91"/>
        <v>156745.8468</v>
      </c>
      <c r="BN217" s="442">
        <v>0</v>
      </c>
      <c r="BO217" s="443">
        <v>0</v>
      </c>
      <c r="BP217" s="444">
        <f t="shared" si="92"/>
        <v>0</v>
      </c>
      <c r="BQ217" s="469">
        <v>0</v>
      </c>
      <c r="BR217" s="470">
        <v>0</v>
      </c>
      <c r="BS217" s="445">
        <f t="shared" si="93"/>
        <v>0</v>
      </c>
      <c r="BT217" s="442"/>
      <c r="BU217" s="443"/>
      <c r="BV217" s="444">
        <f t="shared" si="94"/>
        <v>0</v>
      </c>
      <c r="BW217" s="469"/>
      <c r="BX217" s="470"/>
      <c r="BY217" s="449">
        <f t="shared" si="95"/>
        <v>0</v>
      </c>
    </row>
    <row r="218" spans="1:77" s="308" customFormat="1" ht="12.75" customHeight="1">
      <c r="A218" s="359" t="s">
        <v>308</v>
      </c>
      <c r="B218" s="360" t="s">
        <v>961</v>
      </c>
      <c r="C218" s="360"/>
      <c r="D218" s="361">
        <v>160038</v>
      </c>
      <c r="E218" s="362">
        <v>4</v>
      </c>
      <c r="F218" s="471">
        <v>50</v>
      </c>
      <c r="G218" s="472">
        <v>75038</v>
      </c>
      <c r="H218" s="439">
        <f t="shared" si="72"/>
        <v>3751900</v>
      </c>
      <c r="I218" s="463">
        <v>53</v>
      </c>
      <c r="J218" s="464">
        <v>71766</v>
      </c>
      <c r="K218" s="441">
        <f t="shared" si="73"/>
        <v>3803598</v>
      </c>
      <c r="L218" s="442">
        <v>58</v>
      </c>
      <c r="M218" s="443">
        <v>60123</v>
      </c>
      <c r="N218" s="444">
        <f t="shared" si="74"/>
        <v>3487134</v>
      </c>
      <c r="O218" s="465">
        <v>57</v>
      </c>
      <c r="P218" s="466">
        <v>57224</v>
      </c>
      <c r="Q218" s="445">
        <f t="shared" si="75"/>
        <v>3261768</v>
      </c>
      <c r="R218" s="442">
        <v>114</v>
      </c>
      <c r="S218" s="443">
        <v>49876</v>
      </c>
      <c r="T218" s="444">
        <f t="shared" si="76"/>
        <v>5685864</v>
      </c>
      <c r="U218" s="306">
        <v>98</v>
      </c>
      <c r="V218" s="306">
        <v>48738</v>
      </c>
      <c r="W218" s="441">
        <f t="shared" si="77"/>
        <v>4776324</v>
      </c>
      <c r="X218" s="442">
        <v>54</v>
      </c>
      <c r="Y218" s="443">
        <v>39917</v>
      </c>
      <c r="Z218" s="444">
        <f t="shared" si="78"/>
        <v>2155518</v>
      </c>
      <c r="AA218" s="467">
        <v>39</v>
      </c>
      <c r="AB218" s="468">
        <v>41737</v>
      </c>
      <c r="AC218" s="445">
        <f t="shared" si="79"/>
        <v>1627743</v>
      </c>
      <c r="AD218" s="442">
        <v>0</v>
      </c>
      <c r="AE218" s="443">
        <v>0</v>
      </c>
      <c r="AF218" s="444">
        <f t="shared" si="80"/>
        <v>0</v>
      </c>
      <c r="AG218" s="469">
        <v>0</v>
      </c>
      <c r="AH218" s="470">
        <v>0</v>
      </c>
      <c r="AI218" s="445">
        <f t="shared" si="81"/>
        <v>0</v>
      </c>
      <c r="AJ218" s="446"/>
      <c r="AK218" s="443"/>
      <c r="AL218" s="444">
        <f t="shared" si="82"/>
        <v>0</v>
      </c>
      <c r="AM218" s="307"/>
      <c r="AN218" s="307"/>
      <c r="AO218" s="447">
        <f t="shared" si="83"/>
        <v>0</v>
      </c>
      <c r="AP218" s="448">
        <v>10</v>
      </c>
      <c r="AQ218" s="443">
        <v>92957</v>
      </c>
      <c r="AR218" s="444">
        <f t="shared" si="84"/>
        <v>760574.174</v>
      </c>
      <c r="AS218" s="473">
        <v>4</v>
      </c>
      <c r="AT218" s="474">
        <v>87216</v>
      </c>
      <c r="AU218" s="441">
        <f t="shared" si="85"/>
        <v>285440.52480000001</v>
      </c>
      <c r="AV218" s="442">
        <v>18</v>
      </c>
      <c r="AW218" s="443">
        <v>80582</v>
      </c>
      <c r="AX218" s="444">
        <f t="shared" si="86"/>
        <v>1186779.4632000001</v>
      </c>
      <c r="AY218" s="469">
        <v>9</v>
      </c>
      <c r="AZ218" s="470">
        <v>73437</v>
      </c>
      <c r="BA218" s="445">
        <f t="shared" si="87"/>
        <v>540775.38060000003</v>
      </c>
      <c r="BB218" s="442">
        <v>12</v>
      </c>
      <c r="BC218" s="443">
        <v>63705</v>
      </c>
      <c r="BD218" s="444">
        <f t="shared" si="88"/>
        <v>625481.17200000002</v>
      </c>
      <c r="BE218" s="469">
        <v>11</v>
      </c>
      <c r="BF218" s="470">
        <v>58855</v>
      </c>
      <c r="BG218" s="445">
        <f t="shared" si="89"/>
        <v>529706.77100000007</v>
      </c>
      <c r="BH218" s="442">
        <v>4</v>
      </c>
      <c r="BI218" s="443">
        <v>58291</v>
      </c>
      <c r="BJ218" s="444">
        <f t="shared" si="90"/>
        <v>190774.78480000002</v>
      </c>
      <c r="BK218" s="469">
        <v>4</v>
      </c>
      <c r="BL218" s="470">
        <v>55910</v>
      </c>
      <c r="BM218" s="445">
        <f t="shared" si="91"/>
        <v>182982.24800000002</v>
      </c>
      <c r="BN218" s="442">
        <v>0</v>
      </c>
      <c r="BO218" s="443">
        <v>0</v>
      </c>
      <c r="BP218" s="444">
        <f t="shared" si="92"/>
        <v>0</v>
      </c>
      <c r="BQ218" s="469">
        <v>0</v>
      </c>
      <c r="BR218" s="470">
        <v>0</v>
      </c>
      <c r="BS218" s="445">
        <f t="shared" si="93"/>
        <v>0</v>
      </c>
      <c r="BT218" s="442"/>
      <c r="BU218" s="443"/>
      <c r="BV218" s="444">
        <f t="shared" si="94"/>
        <v>0</v>
      </c>
      <c r="BW218" s="469"/>
      <c r="BX218" s="470"/>
      <c r="BY218" s="449">
        <f t="shared" si="95"/>
        <v>0</v>
      </c>
    </row>
    <row r="219" spans="1:77" s="308" customFormat="1" ht="12.75" customHeight="1">
      <c r="A219" s="359" t="s">
        <v>308</v>
      </c>
      <c r="B219" s="515" t="s">
        <v>962</v>
      </c>
      <c r="C219" s="516" t="s">
        <v>1102</v>
      </c>
      <c r="D219" s="361">
        <v>160630</v>
      </c>
      <c r="E219" s="362">
        <v>4</v>
      </c>
      <c r="F219" s="471">
        <v>13</v>
      </c>
      <c r="G219" s="472">
        <v>65032</v>
      </c>
      <c r="H219" s="439">
        <f t="shared" si="72"/>
        <v>845416</v>
      </c>
      <c r="I219" s="463">
        <v>13</v>
      </c>
      <c r="J219" s="464">
        <v>63524</v>
      </c>
      <c r="K219" s="441">
        <f t="shared" si="73"/>
        <v>825812</v>
      </c>
      <c r="L219" s="442">
        <v>23</v>
      </c>
      <c r="M219" s="443">
        <v>54040</v>
      </c>
      <c r="N219" s="444">
        <f t="shared" si="74"/>
        <v>1242920</v>
      </c>
      <c r="O219" s="465">
        <v>26</v>
      </c>
      <c r="P219" s="466">
        <v>53389</v>
      </c>
      <c r="Q219" s="445">
        <f t="shared" si="75"/>
        <v>1388114</v>
      </c>
      <c r="R219" s="442">
        <v>52</v>
      </c>
      <c r="S219" s="443">
        <v>46931</v>
      </c>
      <c r="T219" s="444">
        <f t="shared" si="76"/>
        <v>2440412</v>
      </c>
      <c r="U219" s="306">
        <v>54</v>
      </c>
      <c r="V219" s="306">
        <v>48602</v>
      </c>
      <c r="W219" s="441">
        <f t="shared" si="77"/>
        <v>2624508</v>
      </c>
      <c r="X219" s="442">
        <v>1</v>
      </c>
      <c r="Y219" s="443">
        <v>40000</v>
      </c>
      <c r="Z219" s="444">
        <f t="shared" si="78"/>
        <v>40000</v>
      </c>
      <c r="AA219" s="467">
        <v>4</v>
      </c>
      <c r="AB219" s="468">
        <v>39000</v>
      </c>
      <c r="AC219" s="445">
        <f t="shared" si="79"/>
        <v>156000</v>
      </c>
      <c r="AD219" s="442">
        <v>0</v>
      </c>
      <c r="AE219" s="443">
        <v>0</v>
      </c>
      <c r="AF219" s="444">
        <f t="shared" si="80"/>
        <v>0</v>
      </c>
      <c r="AG219" s="469">
        <v>0</v>
      </c>
      <c r="AH219" s="470">
        <v>0</v>
      </c>
      <c r="AI219" s="445">
        <f t="shared" si="81"/>
        <v>0</v>
      </c>
      <c r="AJ219" s="446"/>
      <c r="AK219" s="443"/>
      <c r="AL219" s="444">
        <f t="shared" si="82"/>
        <v>0</v>
      </c>
      <c r="AM219" s="307"/>
      <c r="AN219" s="307"/>
      <c r="AO219" s="447">
        <f t="shared" si="83"/>
        <v>0</v>
      </c>
      <c r="AP219" s="448">
        <v>1</v>
      </c>
      <c r="AQ219" s="443">
        <v>86882</v>
      </c>
      <c r="AR219" s="444">
        <f t="shared" si="84"/>
        <v>71086.852400000003</v>
      </c>
      <c r="AS219" s="473">
        <v>1</v>
      </c>
      <c r="AT219" s="474">
        <v>86882</v>
      </c>
      <c r="AU219" s="441">
        <f t="shared" si="85"/>
        <v>71086.852400000003</v>
      </c>
      <c r="AV219" s="442">
        <v>4</v>
      </c>
      <c r="AW219" s="443">
        <v>62303</v>
      </c>
      <c r="AX219" s="444">
        <f t="shared" si="86"/>
        <v>203905.25840000002</v>
      </c>
      <c r="AY219" s="469">
        <v>2</v>
      </c>
      <c r="AZ219" s="470">
        <v>64055</v>
      </c>
      <c r="BA219" s="445">
        <f t="shared" si="87"/>
        <v>104819.602</v>
      </c>
      <c r="BB219" s="442">
        <v>5</v>
      </c>
      <c r="BC219" s="443">
        <v>61190</v>
      </c>
      <c r="BD219" s="444">
        <f t="shared" si="88"/>
        <v>250328.29</v>
      </c>
      <c r="BE219" s="469">
        <v>6</v>
      </c>
      <c r="BF219" s="470">
        <v>61009</v>
      </c>
      <c r="BG219" s="445">
        <f t="shared" si="89"/>
        <v>299505.38280000002</v>
      </c>
      <c r="BH219" s="442">
        <v>1</v>
      </c>
      <c r="BI219" s="443">
        <v>36500</v>
      </c>
      <c r="BJ219" s="444">
        <f t="shared" si="90"/>
        <v>29864.300000000003</v>
      </c>
      <c r="BK219" s="469">
        <v>1</v>
      </c>
      <c r="BL219" s="470">
        <v>36500</v>
      </c>
      <c r="BM219" s="445">
        <f t="shared" si="91"/>
        <v>29864.300000000003</v>
      </c>
      <c r="BN219" s="442">
        <v>0</v>
      </c>
      <c r="BO219" s="443">
        <v>0</v>
      </c>
      <c r="BP219" s="444">
        <f t="shared" si="92"/>
        <v>0</v>
      </c>
      <c r="BQ219" s="469">
        <v>0</v>
      </c>
      <c r="BR219" s="470">
        <v>0</v>
      </c>
      <c r="BS219" s="445">
        <f t="shared" si="93"/>
        <v>0</v>
      </c>
      <c r="BT219" s="442"/>
      <c r="BU219" s="443"/>
      <c r="BV219" s="444">
        <f t="shared" si="94"/>
        <v>0</v>
      </c>
      <c r="BW219" s="469"/>
      <c r="BX219" s="470"/>
      <c r="BY219" s="449">
        <f t="shared" si="95"/>
        <v>0</v>
      </c>
    </row>
    <row r="220" spans="1:77" s="308" customFormat="1" ht="12.75" customHeight="1">
      <c r="A220" s="359" t="s">
        <v>308</v>
      </c>
      <c r="B220" s="515" t="s">
        <v>963</v>
      </c>
      <c r="C220" s="516" t="s">
        <v>1103</v>
      </c>
      <c r="D220" s="361">
        <v>159382</v>
      </c>
      <c r="E220" s="362">
        <v>7</v>
      </c>
      <c r="F220" s="471">
        <v>17</v>
      </c>
      <c r="G220" s="472">
        <v>60864</v>
      </c>
      <c r="H220" s="439">
        <f t="shared" si="72"/>
        <v>1034688</v>
      </c>
      <c r="I220" s="463">
        <v>15</v>
      </c>
      <c r="J220" s="464">
        <v>58388</v>
      </c>
      <c r="K220" s="441">
        <f t="shared" si="73"/>
        <v>875820</v>
      </c>
      <c r="L220" s="442">
        <v>20</v>
      </c>
      <c r="M220" s="443">
        <v>47152</v>
      </c>
      <c r="N220" s="444">
        <f t="shared" si="74"/>
        <v>943040</v>
      </c>
      <c r="O220" s="465">
        <v>23</v>
      </c>
      <c r="P220" s="466">
        <v>47223</v>
      </c>
      <c r="Q220" s="445">
        <f t="shared" si="75"/>
        <v>1086129</v>
      </c>
      <c r="R220" s="442">
        <v>40</v>
      </c>
      <c r="S220" s="443">
        <v>45792</v>
      </c>
      <c r="T220" s="444">
        <f t="shared" si="76"/>
        <v>1831680</v>
      </c>
      <c r="U220" s="306">
        <v>34</v>
      </c>
      <c r="V220" s="306">
        <v>46573</v>
      </c>
      <c r="W220" s="441">
        <f t="shared" si="77"/>
        <v>1583482</v>
      </c>
      <c r="X220" s="442">
        <v>17</v>
      </c>
      <c r="Y220" s="443">
        <v>38807</v>
      </c>
      <c r="Z220" s="444">
        <f t="shared" si="78"/>
        <v>659719</v>
      </c>
      <c r="AA220" s="467">
        <v>13</v>
      </c>
      <c r="AB220" s="468">
        <v>38955</v>
      </c>
      <c r="AC220" s="445">
        <f t="shared" si="79"/>
        <v>506415</v>
      </c>
      <c r="AD220" s="442">
        <v>0</v>
      </c>
      <c r="AE220" s="443">
        <v>0</v>
      </c>
      <c r="AF220" s="444">
        <f t="shared" si="80"/>
        <v>0</v>
      </c>
      <c r="AG220" s="469">
        <v>0</v>
      </c>
      <c r="AH220" s="470">
        <v>0</v>
      </c>
      <c r="AI220" s="445">
        <f t="shared" si="81"/>
        <v>0</v>
      </c>
      <c r="AJ220" s="446"/>
      <c r="AK220" s="443"/>
      <c r="AL220" s="444">
        <f t="shared" si="82"/>
        <v>0</v>
      </c>
      <c r="AM220" s="307"/>
      <c r="AN220" s="307"/>
      <c r="AO220" s="447">
        <f t="shared" si="83"/>
        <v>0</v>
      </c>
      <c r="AP220" s="448">
        <v>7</v>
      </c>
      <c r="AQ220" s="443">
        <v>78574</v>
      </c>
      <c r="AR220" s="444">
        <f t="shared" si="84"/>
        <v>450024.72760000004</v>
      </c>
      <c r="AS220" s="473">
        <v>5</v>
      </c>
      <c r="AT220" s="474">
        <v>79821</v>
      </c>
      <c r="AU220" s="441">
        <f t="shared" si="85"/>
        <v>326547.71100000001</v>
      </c>
      <c r="AV220" s="442">
        <v>4</v>
      </c>
      <c r="AW220" s="443">
        <v>60503</v>
      </c>
      <c r="AX220" s="444">
        <f t="shared" si="86"/>
        <v>198014.21840000001</v>
      </c>
      <c r="AY220" s="469">
        <v>5</v>
      </c>
      <c r="AZ220" s="470">
        <v>58701</v>
      </c>
      <c r="BA220" s="445">
        <f t="shared" si="87"/>
        <v>240145.791</v>
      </c>
      <c r="BB220" s="442">
        <v>3</v>
      </c>
      <c r="BC220" s="443">
        <v>45206</v>
      </c>
      <c r="BD220" s="444">
        <f t="shared" si="88"/>
        <v>110962.64760000001</v>
      </c>
      <c r="BE220" s="469">
        <v>2</v>
      </c>
      <c r="BF220" s="470">
        <v>45014</v>
      </c>
      <c r="BG220" s="445">
        <f t="shared" si="89"/>
        <v>73660.909599999999</v>
      </c>
      <c r="BH220" s="442">
        <v>0</v>
      </c>
      <c r="BI220" s="443">
        <v>0</v>
      </c>
      <c r="BJ220" s="444">
        <f t="shared" si="90"/>
        <v>0</v>
      </c>
      <c r="BK220" s="469">
        <v>0</v>
      </c>
      <c r="BL220" s="470">
        <v>0</v>
      </c>
      <c r="BM220" s="445">
        <f t="shared" si="91"/>
        <v>0</v>
      </c>
      <c r="BN220" s="442">
        <v>0</v>
      </c>
      <c r="BO220" s="443">
        <v>0</v>
      </c>
      <c r="BP220" s="444">
        <f t="shared" si="92"/>
        <v>0</v>
      </c>
      <c r="BQ220" s="469">
        <v>0</v>
      </c>
      <c r="BR220" s="470">
        <v>0</v>
      </c>
      <c r="BS220" s="445">
        <f t="shared" si="93"/>
        <v>0</v>
      </c>
      <c r="BT220" s="442"/>
      <c r="BU220" s="443"/>
      <c r="BV220" s="444">
        <f t="shared" si="94"/>
        <v>0</v>
      </c>
      <c r="BW220" s="469"/>
      <c r="BX220" s="470"/>
      <c r="BY220" s="449">
        <f t="shared" si="95"/>
        <v>0</v>
      </c>
    </row>
    <row r="221" spans="1:77" s="308" customFormat="1" ht="12.75" customHeight="1">
      <c r="A221" s="359" t="s">
        <v>308</v>
      </c>
      <c r="B221" s="517" t="s">
        <v>965</v>
      </c>
      <c r="C221" s="518" t="s">
        <v>1104</v>
      </c>
      <c r="D221" s="361">
        <v>437103</v>
      </c>
      <c r="E221" s="420">
        <v>8</v>
      </c>
      <c r="F221" s="471">
        <v>3</v>
      </c>
      <c r="G221" s="472">
        <v>54135</v>
      </c>
      <c r="H221" s="439">
        <f t="shared" si="72"/>
        <v>162405</v>
      </c>
      <c r="I221" s="463">
        <v>3</v>
      </c>
      <c r="J221" s="464">
        <v>54135</v>
      </c>
      <c r="K221" s="441">
        <f t="shared" si="73"/>
        <v>162405</v>
      </c>
      <c r="L221" s="442">
        <v>48</v>
      </c>
      <c r="M221" s="443">
        <v>49979</v>
      </c>
      <c r="N221" s="444">
        <f t="shared" si="74"/>
        <v>2398992</v>
      </c>
      <c r="O221" s="465">
        <v>41</v>
      </c>
      <c r="P221" s="466">
        <v>47295</v>
      </c>
      <c r="Q221" s="445">
        <f t="shared" si="75"/>
        <v>1939095</v>
      </c>
      <c r="R221" s="442">
        <v>34</v>
      </c>
      <c r="S221" s="443">
        <v>49628</v>
      </c>
      <c r="T221" s="444">
        <f t="shared" si="76"/>
        <v>1687352</v>
      </c>
      <c r="U221" s="306">
        <v>33</v>
      </c>
      <c r="V221" s="306">
        <v>49853</v>
      </c>
      <c r="W221" s="441">
        <f t="shared" si="77"/>
        <v>1645149</v>
      </c>
      <c r="X221" s="442">
        <v>61</v>
      </c>
      <c r="Y221" s="443">
        <v>43828</v>
      </c>
      <c r="Z221" s="444">
        <f t="shared" si="78"/>
        <v>2673508</v>
      </c>
      <c r="AA221" s="467">
        <v>54</v>
      </c>
      <c r="AB221" s="468">
        <v>41628</v>
      </c>
      <c r="AC221" s="445">
        <f t="shared" si="79"/>
        <v>2247912</v>
      </c>
      <c r="AD221" s="442">
        <v>0</v>
      </c>
      <c r="AE221" s="443">
        <v>0</v>
      </c>
      <c r="AF221" s="444">
        <f t="shared" si="80"/>
        <v>0</v>
      </c>
      <c r="AG221" s="469">
        <v>0</v>
      </c>
      <c r="AH221" s="470">
        <v>0</v>
      </c>
      <c r="AI221" s="445">
        <f t="shared" si="81"/>
        <v>0</v>
      </c>
      <c r="AJ221" s="446"/>
      <c r="AK221" s="443"/>
      <c r="AL221" s="444">
        <f t="shared" si="82"/>
        <v>0</v>
      </c>
      <c r="AM221" s="307"/>
      <c r="AN221" s="307"/>
      <c r="AO221" s="447">
        <f t="shared" si="83"/>
        <v>0</v>
      </c>
      <c r="AP221" s="448">
        <v>0</v>
      </c>
      <c r="AQ221" s="443">
        <v>0</v>
      </c>
      <c r="AR221" s="444">
        <f t="shared" si="84"/>
        <v>0</v>
      </c>
      <c r="AS221" s="473">
        <v>0</v>
      </c>
      <c r="AT221" s="474">
        <v>0</v>
      </c>
      <c r="AU221" s="441">
        <f t="shared" si="85"/>
        <v>0</v>
      </c>
      <c r="AV221" s="442">
        <v>0</v>
      </c>
      <c r="AW221" s="443">
        <v>0</v>
      </c>
      <c r="AX221" s="444">
        <f t="shared" si="86"/>
        <v>0</v>
      </c>
      <c r="AY221" s="469">
        <v>4</v>
      </c>
      <c r="AZ221" s="470">
        <v>64761</v>
      </c>
      <c r="BA221" s="445">
        <f t="shared" si="87"/>
        <v>211949.8008</v>
      </c>
      <c r="BB221" s="442">
        <v>0</v>
      </c>
      <c r="BC221" s="443">
        <v>0</v>
      </c>
      <c r="BD221" s="444">
        <f t="shared" si="88"/>
        <v>0</v>
      </c>
      <c r="BE221" s="469">
        <v>2</v>
      </c>
      <c r="BF221" s="470">
        <v>48172</v>
      </c>
      <c r="BG221" s="445">
        <f t="shared" si="89"/>
        <v>78828.660799999998</v>
      </c>
      <c r="BH221" s="442">
        <v>0</v>
      </c>
      <c r="BI221" s="443">
        <v>0</v>
      </c>
      <c r="BJ221" s="444">
        <f t="shared" si="90"/>
        <v>0</v>
      </c>
      <c r="BK221" s="469">
        <v>0</v>
      </c>
      <c r="BL221" s="470">
        <v>0</v>
      </c>
      <c r="BM221" s="445">
        <f t="shared" si="91"/>
        <v>0</v>
      </c>
      <c r="BN221" s="442">
        <v>0</v>
      </c>
      <c r="BO221" s="443">
        <v>0</v>
      </c>
      <c r="BP221" s="444">
        <f t="shared" si="92"/>
        <v>0</v>
      </c>
      <c r="BQ221" s="469">
        <v>0</v>
      </c>
      <c r="BR221" s="470">
        <v>0</v>
      </c>
      <c r="BS221" s="445">
        <f t="shared" si="93"/>
        <v>0</v>
      </c>
      <c r="BT221" s="442"/>
      <c r="BU221" s="443"/>
      <c r="BV221" s="444">
        <f t="shared" si="94"/>
        <v>0</v>
      </c>
      <c r="BW221" s="469"/>
      <c r="BX221" s="470"/>
      <c r="BY221" s="449">
        <f t="shared" si="95"/>
        <v>0</v>
      </c>
    </row>
    <row r="222" spans="1:77" s="308" customFormat="1" ht="12.75" customHeight="1">
      <c r="A222" s="417" t="s">
        <v>308</v>
      </c>
      <c r="B222" s="363" t="s">
        <v>964</v>
      </c>
      <c r="C222" s="519" t="s">
        <v>1105</v>
      </c>
      <c r="D222" s="361">
        <v>158662</v>
      </c>
      <c r="E222" s="362">
        <v>8</v>
      </c>
      <c r="F222" s="471">
        <v>72</v>
      </c>
      <c r="G222" s="472">
        <v>79739</v>
      </c>
      <c r="H222" s="439">
        <f t="shared" si="72"/>
        <v>5741208</v>
      </c>
      <c r="I222" s="463">
        <v>68</v>
      </c>
      <c r="J222" s="464">
        <v>79913</v>
      </c>
      <c r="K222" s="441">
        <f t="shared" si="73"/>
        <v>5434084</v>
      </c>
      <c r="L222" s="442">
        <v>50</v>
      </c>
      <c r="M222" s="443">
        <v>70442</v>
      </c>
      <c r="N222" s="444">
        <f t="shared" si="74"/>
        <v>3522100</v>
      </c>
      <c r="O222" s="465">
        <v>49</v>
      </c>
      <c r="P222" s="466">
        <v>73252</v>
      </c>
      <c r="Q222" s="445">
        <f t="shared" si="75"/>
        <v>3589348</v>
      </c>
      <c r="R222" s="442">
        <v>92</v>
      </c>
      <c r="S222" s="443">
        <v>64425</v>
      </c>
      <c r="T222" s="444">
        <f t="shared" si="76"/>
        <v>5927100</v>
      </c>
      <c r="U222" s="306">
        <v>101</v>
      </c>
      <c r="V222" s="306">
        <v>65509</v>
      </c>
      <c r="W222" s="441">
        <f t="shared" si="77"/>
        <v>6616409</v>
      </c>
      <c r="X222" s="442">
        <v>112</v>
      </c>
      <c r="Y222" s="443">
        <v>50272</v>
      </c>
      <c r="Z222" s="444">
        <f t="shared" si="78"/>
        <v>5630464</v>
      </c>
      <c r="AA222" s="467">
        <v>126</v>
      </c>
      <c r="AB222" s="468">
        <v>50844</v>
      </c>
      <c r="AC222" s="445">
        <f t="shared" si="79"/>
        <v>6406344</v>
      </c>
      <c r="AD222" s="442">
        <v>89</v>
      </c>
      <c r="AE222" s="443">
        <v>41259</v>
      </c>
      <c r="AF222" s="444">
        <f t="shared" si="80"/>
        <v>3672051</v>
      </c>
      <c r="AG222" s="475">
        <v>125</v>
      </c>
      <c r="AH222" s="476">
        <v>38882</v>
      </c>
      <c r="AI222" s="445">
        <f t="shared" si="81"/>
        <v>4860250</v>
      </c>
      <c r="AJ222" s="446"/>
      <c r="AK222" s="443"/>
      <c r="AL222" s="444">
        <f t="shared" si="82"/>
        <v>0</v>
      </c>
      <c r="AM222" s="307">
        <v>8</v>
      </c>
      <c r="AN222" s="307">
        <v>39308</v>
      </c>
      <c r="AO222" s="447">
        <f t="shared" si="83"/>
        <v>314464</v>
      </c>
      <c r="AP222" s="448">
        <v>5</v>
      </c>
      <c r="AQ222" s="443">
        <v>93157</v>
      </c>
      <c r="AR222" s="444">
        <f t="shared" si="84"/>
        <v>381105.28700000001</v>
      </c>
      <c r="AS222" s="473">
        <v>5</v>
      </c>
      <c r="AT222" s="474">
        <v>92073</v>
      </c>
      <c r="AU222" s="441">
        <f t="shared" si="85"/>
        <v>376670.64300000004</v>
      </c>
      <c r="AV222" s="442">
        <v>1</v>
      </c>
      <c r="AW222" s="443">
        <v>83511</v>
      </c>
      <c r="AX222" s="444">
        <f t="shared" si="86"/>
        <v>68328.700200000007</v>
      </c>
      <c r="AY222" s="475">
        <v>1</v>
      </c>
      <c r="AZ222" s="476">
        <v>83511</v>
      </c>
      <c r="BA222" s="445">
        <f t="shared" si="87"/>
        <v>68328.700200000007</v>
      </c>
      <c r="BB222" s="442">
        <v>4</v>
      </c>
      <c r="BC222" s="443">
        <v>72520</v>
      </c>
      <c r="BD222" s="444">
        <f t="shared" si="88"/>
        <v>237343.45600000001</v>
      </c>
      <c r="BE222" s="475">
        <v>6</v>
      </c>
      <c r="BF222" s="476">
        <v>58954</v>
      </c>
      <c r="BG222" s="445">
        <f t="shared" si="89"/>
        <v>289416.9768</v>
      </c>
      <c r="BH222" s="442">
        <v>5</v>
      </c>
      <c r="BI222" s="443">
        <v>50090</v>
      </c>
      <c r="BJ222" s="444">
        <f t="shared" si="90"/>
        <v>204918.19</v>
      </c>
      <c r="BK222" s="475">
        <v>6</v>
      </c>
      <c r="BL222" s="476">
        <v>57098</v>
      </c>
      <c r="BM222" s="445">
        <f t="shared" si="91"/>
        <v>280305.50160000002</v>
      </c>
      <c r="BN222" s="442">
        <v>4</v>
      </c>
      <c r="BO222" s="443">
        <v>38374</v>
      </c>
      <c r="BP222" s="444">
        <f t="shared" si="92"/>
        <v>125590.42720000001</v>
      </c>
      <c r="BQ222" s="475">
        <v>0</v>
      </c>
      <c r="BR222" s="476">
        <v>0</v>
      </c>
      <c r="BS222" s="445">
        <f t="shared" si="93"/>
        <v>0</v>
      </c>
      <c r="BT222" s="442"/>
      <c r="BU222" s="443"/>
      <c r="BV222" s="444">
        <f t="shared" si="94"/>
        <v>0</v>
      </c>
      <c r="BW222" s="475"/>
      <c r="BX222" s="476"/>
      <c r="BY222" s="449">
        <f t="shared" si="95"/>
        <v>0</v>
      </c>
    </row>
    <row r="223" spans="1:77" s="308" customFormat="1" ht="12.75" customHeight="1">
      <c r="A223" s="359" t="s">
        <v>308</v>
      </c>
      <c r="B223" s="520" t="s">
        <v>966</v>
      </c>
      <c r="C223" s="521" t="s">
        <v>1067</v>
      </c>
      <c r="D223" s="361">
        <v>158431</v>
      </c>
      <c r="E223" s="362">
        <v>9</v>
      </c>
      <c r="F223" s="471">
        <v>9</v>
      </c>
      <c r="G223" s="472">
        <v>53532</v>
      </c>
      <c r="H223" s="439">
        <f t="shared" si="72"/>
        <v>481788</v>
      </c>
      <c r="I223" s="463">
        <v>19</v>
      </c>
      <c r="J223" s="464">
        <v>53030</v>
      </c>
      <c r="K223" s="441">
        <f t="shared" si="73"/>
        <v>1007570</v>
      </c>
      <c r="L223" s="442">
        <v>29</v>
      </c>
      <c r="M223" s="443">
        <v>52259</v>
      </c>
      <c r="N223" s="444">
        <f t="shared" si="74"/>
        <v>1515511</v>
      </c>
      <c r="O223" s="465">
        <v>20</v>
      </c>
      <c r="P223" s="466">
        <v>49710</v>
      </c>
      <c r="Q223" s="445">
        <f t="shared" si="75"/>
        <v>994200</v>
      </c>
      <c r="R223" s="442">
        <v>22</v>
      </c>
      <c r="S223" s="443">
        <v>44957</v>
      </c>
      <c r="T223" s="444">
        <f t="shared" si="76"/>
        <v>989054</v>
      </c>
      <c r="U223" s="306">
        <v>29</v>
      </c>
      <c r="V223" s="306">
        <v>41124</v>
      </c>
      <c r="W223" s="441">
        <f t="shared" si="77"/>
        <v>1192596</v>
      </c>
      <c r="X223" s="442">
        <v>55</v>
      </c>
      <c r="Y223" s="443">
        <v>38470</v>
      </c>
      <c r="Z223" s="444">
        <f t="shared" si="78"/>
        <v>2115850</v>
      </c>
      <c r="AA223" s="467">
        <v>49</v>
      </c>
      <c r="AB223" s="468">
        <v>40430</v>
      </c>
      <c r="AC223" s="445">
        <f t="shared" si="79"/>
        <v>1981070</v>
      </c>
      <c r="AD223" s="442">
        <v>0</v>
      </c>
      <c r="AE223" s="443">
        <v>0</v>
      </c>
      <c r="AF223" s="444">
        <f t="shared" si="80"/>
        <v>0</v>
      </c>
      <c r="AG223" s="469">
        <v>0</v>
      </c>
      <c r="AH223" s="470">
        <v>0</v>
      </c>
      <c r="AI223" s="445">
        <f t="shared" si="81"/>
        <v>0</v>
      </c>
      <c r="AJ223" s="446"/>
      <c r="AK223" s="443"/>
      <c r="AL223" s="444">
        <f t="shared" si="82"/>
        <v>0</v>
      </c>
      <c r="AM223" s="307"/>
      <c r="AN223" s="307"/>
      <c r="AO223" s="447">
        <f t="shared" si="83"/>
        <v>0</v>
      </c>
      <c r="AP223" s="448">
        <v>0</v>
      </c>
      <c r="AQ223" s="443">
        <v>0</v>
      </c>
      <c r="AR223" s="444">
        <f t="shared" si="84"/>
        <v>0</v>
      </c>
      <c r="AS223" s="473">
        <v>0</v>
      </c>
      <c r="AT223" s="474">
        <v>0</v>
      </c>
      <c r="AU223" s="441">
        <f t="shared" si="85"/>
        <v>0</v>
      </c>
      <c r="AV223" s="442">
        <v>0</v>
      </c>
      <c r="AW223" s="443">
        <v>0</v>
      </c>
      <c r="AX223" s="444">
        <f t="shared" si="86"/>
        <v>0</v>
      </c>
      <c r="AY223" s="469">
        <v>0</v>
      </c>
      <c r="AZ223" s="470">
        <v>0</v>
      </c>
      <c r="BA223" s="445">
        <f t="shared" si="87"/>
        <v>0</v>
      </c>
      <c r="BB223" s="442">
        <v>0</v>
      </c>
      <c r="BC223" s="443">
        <v>0</v>
      </c>
      <c r="BD223" s="444">
        <f t="shared" si="88"/>
        <v>0</v>
      </c>
      <c r="BE223" s="469">
        <v>0</v>
      </c>
      <c r="BF223" s="470">
        <v>0</v>
      </c>
      <c r="BG223" s="445">
        <f t="shared" si="89"/>
        <v>0</v>
      </c>
      <c r="BH223" s="442">
        <v>0</v>
      </c>
      <c r="BI223" s="443">
        <v>0</v>
      </c>
      <c r="BJ223" s="444">
        <f t="shared" si="90"/>
        <v>0</v>
      </c>
      <c r="BK223" s="469">
        <v>0</v>
      </c>
      <c r="BL223" s="470">
        <v>0</v>
      </c>
      <c r="BM223" s="445">
        <f t="shared" si="91"/>
        <v>0</v>
      </c>
      <c r="BN223" s="442">
        <v>0</v>
      </c>
      <c r="BO223" s="443">
        <v>0</v>
      </c>
      <c r="BP223" s="444">
        <f t="shared" si="92"/>
        <v>0</v>
      </c>
      <c r="BQ223" s="469">
        <v>0</v>
      </c>
      <c r="BR223" s="470">
        <v>0</v>
      </c>
      <c r="BS223" s="445">
        <f t="shared" si="93"/>
        <v>0</v>
      </c>
      <c r="BT223" s="442"/>
      <c r="BU223" s="443"/>
      <c r="BV223" s="444">
        <f t="shared" si="94"/>
        <v>0</v>
      </c>
      <c r="BW223" s="469"/>
      <c r="BX223" s="470"/>
      <c r="BY223" s="449">
        <f t="shared" si="95"/>
        <v>0</v>
      </c>
    </row>
    <row r="224" spans="1:77" s="308" customFormat="1" ht="12.75" customHeight="1">
      <c r="A224" s="359" t="s">
        <v>308</v>
      </c>
      <c r="B224" s="364" t="s">
        <v>967</v>
      </c>
      <c r="C224" s="364"/>
      <c r="D224" s="361">
        <v>159407</v>
      </c>
      <c r="E224" s="362">
        <v>9</v>
      </c>
      <c r="F224" s="471">
        <v>14</v>
      </c>
      <c r="G224" s="472">
        <v>59879</v>
      </c>
      <c r="H224" s="439">
        <f t="shared" si="72"/>
        <v>838306</v>
      </c>
      <c r="I224" s="463">
        <v>14</v>
      </c>
      <c r="J224" s="464">
        <v>59879</v>
      </c>
      <c r="K224" s="441">
        <f t="shared" si="73"/>
        <v>838306</v>
      </c>
      <c r="L224" s="442">
        <v>13</v>
      </c>
      <c r="M224" s="443">
        <v>48967</v>
      </c>
      <c r="N224" s="444">
        <f t="shared" si="74"/>
        <v>636571</v>
      </c>
      <c r="O224" s="465">
        <v>13</v>
      </c>
      <c r="P224" s="466">
        <v>48535</v>
      </c>
      <c r="Q224" s="445">
        <f t="shared" si="75"/>
        <v>630955</v>
      </c>
      <c r="R224" s="442">
        <v>11</v>
      </c>
      <c r="S224" s="443">
        <v>41858</v>
      </c>
      <c r="T224" s="444">
        <f t="shared" si="76"/>
        <v>460438</v>
      </c>
      <c r="U224" s="306">
        <v>8</v>
      </c>
      <c r="V224" s="306">
        <v>41115</v>
      </c>
      <c r="W224" s="441">
        <f t="shared" si="77"/>
        <v>328920</v>
      </c>
      <c r="X224" s="442">
        <v>19</v>
      </c>
      <c r="Y224" s="443">
        <v>39474</v>
      </c>
      <c r="Z224" s="444">
        <f t="shared" si="78"/>
        <v>750006</v>
      </c>
      <c r="AA224" s="467">
        <v>21</v>
      </c>
      <c r="AB224" s="468">
        <v>39899</v>
      </c>
      <c r="AC224" s="445">
        <f t="shared" si="79"/>
        <v>837879</v>
      </c>
      <c r="AD224" s="442">
        <v>0</v>
      </c>
      <c r="AE224" s="443">
        <v>0</v>
      </c>
      <c r="AF224" s="444">
        <f t="shared" si="80"/>
        <v>0</v>
      </c>
      <c r="AG224" s="469">
        <v>0</v>
      </c>
      <c r="AH224" s="470">
        <v>0</v>
      </c>
      <c r="AI224" s="445">
        <f t="shared" si="81"/>
        <v>0</v>
      </c>
      <c r="AJ224" s="446"/>
      <c r="AK224" s="443"/>
      <c r="AL224" s="444">
        <f t="shared" si="82"/>
        <v>0</v>
      </c>
      <c r="AM224" s="307"/>
      <c r="AN224" s="307"/>
      <c r="AO224" s="447">
        <f t="shared" si="83"/>
        <v>0</v>
      </c>
      <c r="AP224" s="448">
        <v>1</v>
      </c>
      <c r="AQ224" s="443">
        <v>69473</v>
      </c>
      <c r="AR224" s="444">
        <f t="shared" si="84"/>
        <v>56842.808600000004</v>
      </c>
      <c r="AS224" s="473">
        <v>1</v>
      </c>
      <c r="AT224" s="474">
        <v>69473</v>
      </c>
      <c r="AU224" s="441">
        <f t="shared" si="85"/>
        <v>56842.808600000004</v>
      </c>
      <c r="AV224" s="442">
        <v>3</v>
      </c>
      <c r="AW224" s="443">
        <v>72783</v>
      </c>
      <c r="AX224" s="444">
        <f t="shared" si="86"/>
        <v>178653.15180000002</v>
      </c>
      <c r="AY224" s="469">
        <v>3</v>
      </c>
      <c r="AZ224" s="470">
        <v>72783</v>
      </c>
      <c r="BA224" s="445">
        <f t="shared" si="87"/>
        <v>178653.15180000002</v>
      </c>
      <c r="BB224" s="442">
        <v>2</v>
      </c>
      <c r="BC224" s="443">
        <v>58770</v>
      </c>
      <c r="BD224" s="444">
        <f t="shared" si="88"/>
        <v>96171.228000000003</v>
      </c>
      <c r="BE224" s="469">
        <v>2</v>
      </c>
      <c r="BF224" s="470">
        <v>58770</v>
      </c>
      <c r="BG224" s="445">
        <f t="shared" si="89"/>
        <v>96171.228000000003</v>
      </c>
      <c r="BH224" s="442">
        <v>3</v>
      </c>
      <c r="BI224" s="443">
        <v>49867</v>
      </c>
      <c r="BJ224" s="444">
        <f t="shared" si="90"/>
        <v>122403.53820000001</v>
      </c>
      <c r="BK224" s="469">
        <v>3</v>
      </c>
      <c r="BL224" s="470">
        <v>49867</v>
      </c>
      <c r="BM224" s="445">
        <f t="shared" si="91"/>
        <v>122403.53820000001</v>
      </c>
      <c r="BN224" s="442">
        <v>0</v>
      </c>
      <c r="BO224" s="443">
        <v>0</v>
      </c>
      <c r="BP224" s="444">
        <f t="shared" si="92"/>
        <v>0</v>
      </c>
      <c r="BQ224" s="469">
        <v>0</v>
      </c>
      <c r="BR224" s="470">
        <v>0</v>
      </c>
      <c r="BS224" s="445">
        <f t="shared" si="93"/>
        <v>0</v>
      </c>
      <c r="BT224" s="442"/>
      <c r="BU224" s="443"/>
      <c r="BV224" s="444">
        <f t="shared" si="94"/>
        <v>0</v>
      </c>
      <c r="BW224" s="469"/>
      <c r="BX224" s="470"/>
      <c r="BY224" s="449">
        <f t="shared" si="95"/>
        <v>0</v>
      </c>
    </row>
    <row r="225" spans="1:77" s="308" customFormat="1" ht="12.75" customHeight="1">
      <c r="A225" s="359" t="s">
        <v>308</v>
      </c>
      <c r="B225" s="517" t="s">
        <v>971</v>
      </c>
      <c r="C225" s="518" t="s">
        <v>1106</v>
      </c>
      <c r="D225" s="361">
        <v>434061</v>
      </c>
      <c r="E225" s="522">
        <v>9</v>
      </c>
      <c r="F225" s="471">
        <v>0</v>
      </c>
      <c r="G225" s="472">
        <v>0</v>
      </c>
      <c r="H225" s="439">
        <f t="shared" si="72"/>
        <v>0</v>
      </c>
      <c r="I225" s="463"/>
      <c r="J225" s="464"/>
      <c r="K225" s="441">
        <f t="shared" si="73"/>
        <v>0</v>
      </c>
      <c r="L225" s="442">
        <v>0</v>
      </c>
      <c r="M225" s="443">
        <v>0</v>
      </c>
      <c r="N225" s="444">
        <f t="shared" si="74"/>
        <v>0</v>
      </c>
      <c r="O225" s="465">
        <v>0</v>
      </c>
      <c r="P225" s="466">
        <v>0</v>
      </c>
      <c r="Q225" s="445">
        <f t="shared" si="75"/>
        <v>0</v>
      </c>
      <c r="R225" s="442">
        <v>5</v>
      </c>
      <c r="S225" s="443">
        <v>47821</v>
      </c>
      <c r="T225" s="444">
        <f t="shared" si="76"/>
        <v>239105</v>
      </c>
      <c r="U225" s="306">
        <v>5</v>
      </c>
      <c r="V225" s="306">
        <v>47821</v>
      </c>
      <c r="W225" s="441">
        <f t="shared" si="77"/>
        <v>239105</v>
      </c>
      <c r="X225" s="442">
        <v>31</v>
      </c>
      <c r="Y225" s="443">
        <v>37030</v>
      </c>
      <c r="Z225" s="444">
        <f t="shared" si="78"/>
        <v>1147930</v>
      </c>
      <c r="AA225" s="467">
        <v>41</v>
      </c>
      <c r="AB225" s="468">
        <v>36328</v>
      </c>
      <c r="AC225" s="445">
        <f t="shared" si="79"/>
        <v>1489448</v>
      </c>
      <c r="AD225" s="442">
        <v>0</v>
      </c>
      <c r="AE225" s="443">
        <v>0</v>
      </c>
      <c r="AF225" s="444">
        <f t="shared" si="80"/>
        <v>0</v>
      </c>
      <c r="AG225" s="469">
        <v>0</v>
      </c>
      <c r="AH225" s="470">
        <v>0</v>
      </c>
      <c r="AI225" s="445">
        <f t="shared" si="81"/>
        <v>0</v>
      </c>
      <c r="AJ225" s="446"/>
      <c r="AK225" s="443"/>
      <c r="AL225" s="444">
        <f t="shared" si="82"/>
        <v>0</v>
      </c>
      <c r="AM225" s="307"/>
      <c r="AN225" s="307"/>
      <c r="AO225" s="447">
        <f t="shared" si="83"/>
        <v>0</v>
      </c>
      <c r="AP225" s="448">
        <v>0</v>
      </c>
      <c r="AQ225" s="443">
        <v>0</v>
      </c>
      <c r="AR225" s="444">
        <f t="shared" si="84"/>
        <v>0</v>
      </c>
      <c r="AS225" s="473"/>
      <c r="AT225" s="474"/>
      <c r="AU225" s="441">
        <f t="shared" si="85"/>
        <v>0</v>
      </c>
      <c r="AV225" s="442">
        <v>0</v>
      </c>
      <c r="AW225" s="443">
        <v>0</v>
      </c>
      <c r="AX225" s="444">
        <f t="shared" si="86"/>
        <v>0</v>
      </c>
      <c r="AY225" s="469">
        <v>0</v>
      </c>
      <c r="AZ225" s="470">
        <v>0</v>
      </c>
      <c r="BA225" s="445">
        <f t="shared" si="87"/>
        <v>0</v>
      </c>
      <c r="BB225" s="442">
        <v>0</v>
      </c>
      <c r="BC225" s="443">
        <v>0</v>
      </c>
      <c r="BD225" s="444">
        <f t="shared" si="88"/>
        <v>0</v>
      </c>
      <c r="BE225" s="469">
        <v>0</v>
      </c>
      <c r="BF225" s="470">
        <v>0</v>
      </c>
      <c r="BG225" s="445">
        <f t="shared" si="89"/>
        <v>0</v>
      </c>
      <c r="BH225" s="442">
        <v>0</v>
      </c>
      <c r="BI225" s="443">
        <v>0</v>
      </c>
      <c r="BJ225" s="444">
        <f t="shared" si="90"/>
        <v>0</v>
      </c>
      <c r="BK225" s="469">
        <v>0</v>
      </c>
      <c r="BL225" s="470">
        <v>0</v>
      </c>
      <c r="BM225" s="445">
        <f t="shared" si="91"/>
        <v>0</v>
      </c>
      <c r="BN225" s="442">
        <v>0</v>
      </c>
      <c r="BO225" s="443">
        <v>0</v>
      </c>
      <c r="BP225" s="444">
        <f t="shared" si="92"/>
        <v>0</v>
      </c>
      <c r="BQ225" s="469">
        <v>0</v>
      </c>
      <c r="BR225" s="470">
        <v>0</v>
      </c>
      <c r="BS225" s="445">
        <f t="shared" si="93"/>
        <v>0</v>
      </c>
      <c r="BT225" s="442"/>
      <c r="BU225" s="443"/>
      <c r="BV225" s="444">
        <f t="shared" si="94"/>
        <v>0</v>
      </c>
      <c r="BW225" s="469"/>
      <c r="BX225" s="470"/>
      <c r="BY225" s="449">
        <f t="shared" si="95"/>
        <v>0</v>
      </c>
    </row>
    <row r="226" spans="1:77" s="308" customFormat="1" ht="12.75" customHeight="1">
      <c r="A226" s="421" t="s">
        <v>308</v>
      </c>
      <c r="B226" s="363" t="s">
        <v>968</v>
      </c>
      <c r="C226" s="519" t="s">
        <v>1107</v>
      </c>
      <c r="D226" s="361">
        <v>440624</v>
      </c>
      <c r="E226" s="362">
        <v>10</v>
      </c>
      <c r="F226" s="471">
        <v>1</v>
      </c>
      <c r="G226" s="472">
        <v>40000</v>
      </c>
      <c r="H226" s="439">
        <f t="shared" si="72"/>
        <v>40000</v>
      </c>
      <c r="I226" s="463">
        <v>1</v>
      </c>
      <c r="J226" s="464">
        <v>40000</v>
      </c>
      <c r="K226" s="441">
        <f t="shared" si="73"/>
        <v>40000</v>
      </c>
      <c r="L226" s="442">
        <v>9</v>
      </c>
      <c r="M226" s="443">
        <v>45311</v>
      </c>
      <c r="N226" s="444">
        <f t="shared" si="74"/>
        <v>407799</v>
      </c>
      <c r="O226" s="465">
        <v>9</v>
      </c>
      <c r="P226" s="466">
        <v>43879</v>
      </c>
      <c r="Q226" s="445">
        <f t="shared" si="75"/>
        <v>394911</v>
      </c>
      <c r="R226" s="442">
        <v>11</v>
      </c>
      <c r="S226" s="443">
        <v>41209</v>
      </c>
      <c r="T226" s="444">
        <f t="shared" si="76"/>
        <v>453299</v>
      </c>
      <c r="U226" s="306">
        <v>11</v>
      </c>
      <c r="V226" s="306">
        <v>44348</v>
      </c>
      <c r="W226" s="441">
        <f t="shared" si="77"/>
        <v>487828</v>
      </c>
      <c r="X226" s="442">
        <v>15</v>
      </c>
      <c r="Y226" s="443">
        <v>32236</v>
      </c>
      <c r="Z226" s="444">
        <f t="shared" si="78"/>
        <v>483540</v>
      </c>
      <c r="AA226" s="467">
        <v>15</v>
      </c>
      <c r="AB226" s="468">
        <v>35874</v>
      </c>
      <c r="AC226" s="445">
        <f t="shared" si="79"/>
        <v>538110</v>
      </c>
      <c r="AD226" s="442">
        <v>0</v>
      </c>
      <c r="AE226" s="443">
        <v>0</v>
      </c>
      <c r="AF226" s="444">
        <f t="shared" si="80"/>
        <v>0</v>
      </c>
      <c r="AG226" s="469">
        <v>0</v>
      </c>
      <c r="AH226" s="470">
        <v>0</v>
      </c>
      <c r="AI226" s="445">
        <f t="shared" si="81"/>
        <v>0</v>
      </c>
      <c r="AJ226" s="446"/>
      <c r="AK226" s="443"/>
      <c r="AL226" s="444">
        <f t="shared" si="82"/>
        <v>0</v>
      </c>
      <c r="AM226" s="307"/>
      <c r="AN226" s="307"/>
      <c r="AO226" s="447">
        <f t="shared" si="83"/>
        <v>0</v>
      </c>
      <c r="AP226" s="448"/>
      <c r="AQ226" s="443"/>
      <c r="AR226" s="444">
        <f t="shared" si="84"/>
        <v>0</v>
      </c>
      <c r="AS226" s="473">
        <v>3</v>
      </c>
      <c r="AT226" s="474">
        <v>59546</v>
      </c>
      <c r="AU226" s="441">
        <f t="shared" si="85"/>
        <v>146161.6116</v>
      </c>
      <c r="AV226" s="442">
        <v>0</v>
      </c>
      <c r="AW226" s="443">
        <v>0</v>
      </c>
      <c r="AX226" s="444">
        <f t="shared" si="86"/>
        <v>0</v>
      </c>
      <c r="AY226" s="469">
        <v>0</v>
      </c>
      <c r="AZ226" s="470">
        <v>0</v>
      </c>
      <c r="BA226" s="445">
        <f t="shared" si="87"/>
        <v>0</v>
      </c>
      <c r="BB226" s="442">
        <v>1</v>
      </c>
      <c r="BC226" s="443">
        <v>53500</v>
      </c>
      <c r="BD226" s="444">
        <f t="shared" si="88"/>
        <v>43773.700000000004</v>
      </c>
      <c r="BE226" s="469">
        <v>1</v>
      </c>
      <c r="BF226" s="470">
        <v>55765</v>
      </c>
      <c r="BG226" s="445">
        <f t="shared" si="89"/>
        <v>45626.923000000003</v>
      </c>
      <c r="BH226" s="442">
        <v>1</v>
      </c>
      <c r="BI226" s="443">
        <v>50000</v>
      </c>
      <c r="BJ226" s="444">
        <f t="shared" si="90"/>
        <v>40910</v>
      </c>
      <c r="BK226" s="469">
        <v>12</v>
      </c>
      <c r="BL226" s="470">
        <v>46810</v>
      </c>
      <c r="BM226" s="445">
        <f t="shared" si="91"/>
        <v>459599.304</v>
      </c>
      <c r="BN226" s="442">
        <v>0</v>
      </c>
      <c r="BO226" s="443">
        <v>0</v>
      </c>
      <c r="BP226" s="444">
        <f t="shared" si="92"/>
        <v>0</v>
      </c>
      <c r="BQ226" s="469">
        <v>0</v>
      </c>
      <c r="BR226" s="470">
        <v>0</v>
      </c>
      <c r="BS226" s="445">
        <f t="shared" si="93"/>
        <v>0</v>
      </c>
      <c r="BT226" s="442"/>
      <c r="BU226" s="443"/>
      <c r="BV226" s="444">
        <f t="shared" si="94"/>
        <v>0</v>
      </c>
      <c r="BW226" s="469"/>
      <c r="BX226" s="470"/>
      <c r="BY226" s="449">
        <f t="shared" si="95"/>
        <v>0</v>
      </c>
    </row>
    <row r="227" spans="1:77" s="308" customFormat="1" ht="12.75" customHeight="1">
      <c r="A227" s="359" t="s">
        <v>308</v>
      </c>
      <c r="B227" s="360" t="s">
        <v>969</v>
      </c>
      <c r="C227" s="360"/>
      <c r="D227" s="361">
        <v>158884</v>
      </c>
      <c r="E227" s="362">
        <v>10</v>
      </c>
      <c r="F227" s="471">
        <v>2</v>
      </c>
      <c r="G227" s="472">
        <v>61675</v>
      </c>
      <c r="H227" s="439">
        <f t="shared" si="72"/>
        <v>123350</v>
      </c>
      <c r="I227" s="463">
        <v>5</v>
      </c>
      <c r="J227" s="464">
        <v>54482</v>
      </c>
      <c r="K227" s="441">
        <f t="shared" si="73"/>
        <v>272410</v>
      </c>
      <c r="L227" s="442">
        <v>7</v>
      </c>
      <c r="M227" s="443">
        <v>49693</v>
      </c>
      <c r="N227" s="444">
        <f t="shared" si="74"/>
        <v>347851</v>
      </c>
      <c r="O227" s="465">
        <v>12</v>
      </c>
      <c r="P227" s="466">
        <v>49751</v>
      </c>
      <c r="Q227" s="445">
        <f t="shared" si="75"/>
        <v>597012</v>
      </c>
      <c r="R227" s="442">
        <v>14</v>
      </c>
      <c r="S227" s="443">
        <v>47792</v>
      </c>
      <c r="T227" s="444">
        <f t="shared" si="76"/>
        <v>669088</v>
      </c>
      <c r="U227" s="306">
        <v>10</v>
      </c>
      <c r="V227" s="306">
        <v>43110</v>
      </c>
      <c r="W227" s="441">
        <f t="shared" si="77"/>
        <v>431100</v>
      </c>
      <c r="X227" s="442">
        <v>13</v>
      </c>
      <c r="Y227" s="443">
        <v>41027</v>
      </c>
      <c r="Z227" s="444">
        <f t="shared" si="78"/>
        <v>533351</v>
      </c>
      <c r="AA227" s="467">
        <v>13</v>
      </c>
      <c r="AB227" s="468">
        <v>44385</v>
      </c>
      <c r="AC227" s="445">
        <f t="shared" si="79"/>
        <v>577005</v>
      </c>
      <c r="AD227" s="442">
        <v>0</v>
      </c>
      <c r="AE227" s="443">
        <v>0</v>
      </c>
      <c r="AF227" s="444">
        <f t="shared" si="80"/>
        <v>0</v>
      </c>
      <c r="AG227" s="469">
        <v>0</v>
      </c>
      <c r="AH227" s="470">
        <v>0</v>
      </c>
      <c r="AI227" s="445">
        <f t="shared" si="81"/>
        <v>0</v>
      </c>
      <c r="AJ227" s="446"/>
      <c r="AK227" s="443"/>
      <c r="AL227" s="444">
        <f t="shared" si="82"/>
        <v>0</v>
      </c>
      <c r="AM227" s="307"/>
      <c r="AN227" s="307"/>
      <c r="AO227" s="447">
        <f t="shared" si="83"/>
        <v>0</v>
      </c>
      <c r="AP227" s="448">
        <v>0</v>
      </c>
      <c r="AQ227" s="443">
        <v>0</v>
      </c>
      <c r="AR227" s="444">
        <f t="shared" si="84"/>
        <v>0</v>
      </c>
      <c r="AS227" s="473"/>
      <c r="AT227" s="474"/>
      <c r="AU227" s="441">
        <f t="shared" si="85"/>
        <v>0</v>
      </c>
      <c r="AV227" s="442">
        <v>0</v>
      </c>
      <c r="AW227" s="443">
        <v>0</v>
      </c>
      <c r="AX227" s="444">
        <f t="shared" si="86"/>
        <v>0</v>
      </c>
      <c r="AY227" s="469">
        <v>0</v>
      </c>
      <c r="AZ227" s="470">
        <v>0</v>
      </c>
      <c r="BA227" s="445">
        <f t="shared" si="87"/>
        <v>0</v>
      </c>
      <c r="BB227" s="442">
        <v>1</v>
      </c>
      <c r="BC227" s="443">
        <v>56035</v>
      </c>
      <c r="BD227" s="444">
        <f t="shared" si="88"/>
        <v>45847.837</v>
      </c>
      <c r="BE227" s="469">
        <v>1</v>
      </c>
      <c r="BF227" s="470">
        <v>71000</v>
      </c>
      <c r="BG227" s="445">
        <f t="shared" si="89"/>
        <v>58092.200000000004</v>
      </c>
      <c r="BH227" s="442">
        <v>1</v>
      </c>
      <c r="BI227" s="443">
        <v>63000</v>
      </c>
      <c r="BJ227" s="444">
        <f t="shared" si="90"/>
        <v>51546.600000000006</v>
      </c>
      <c r="BK227" s="469">
        <v>0</v>
      </c>
      <c r="BL227" s="470">
        <v>0</v>
      </c>
      <c r="BM227" s="445">
        <f t="shared" si="91"/>
        <v>0</v>
      </c>
      <c r="BN227" s="442">
        <v>0</v>
      </c>
      <c r="BO227" s="443">
        <v>0</v>
      </c>
      <c r="BP227" s="444">
        <f t="shared" si="92"/>
        <v>0</v>
      </c>
      <c r="BQ227" s="469">
        <v>0</v>
      </c>
      <c r="BR227" s="470">
        <v>0</v>
      </c>
      <c r="BS227" s="445">
        <f t="shared" si="93"/>
        <v>0</v>
      </c>
      <c r="BT227" s="442"/>
      <c r="BU227" s="443"/>
      <c r="BV227" s="444">
        <f t="shared" si="94"/>
        <v>0</v>
      </c>
      <c r="BW227" s="469"/>
      <c r="BX227" s="470"/>
      <c r="BY227" s="449">
        <f t="shared" si="95"/>
        <v>0</v>
      </c>
    </row>
    <row r="228" spans="1:77" s="308" customFormat="1" ht="12.75" customHeight="1">
      <c r="A228" s="421" t="s">
        <v>308</v>
      </c>
      <c r="B228" s="363" t="s">
        <v>970</v>
      </c>
      <c r="C228" s="519" t="s">
        <v>1108</v>
      </c>
      <c r="D228" s="361">
        <v>436304</v>
      </c>
      <c r="E228" s="362">
        <v>10</v>
      </c>
      <c r="F228" s="471">
        <v>0</v>
      </c>
      <c r="G228" s="472">
        <v>0</v>
      </c>
      <c r="H228" s="439">
        <f t="shared" si="72"/>
        <v>0</v>
      </c>
      <c r="I228" s="463"/>
      <c r="J228" s="464"/>
      <c r="K228" s="441">
        <f t="shared" si="73"/>
        <v>0</v>
      </c>
      <c r="L228" s="442">
        <v>2</v>
      </c>
      <c r="M228" s="443">
        <v>52024</v>
      </c>
      <c r="N228" s="444">
        <f t="shared" si="74"/>
        <v>104048</v>
      </c>
      <c r="O228" s="465">
        <v>2</v>
      </c>
      <c r="P228" s="466">
        <v>52024</v>
      </c>
      <c r="Q228" s="445">
        <f t="shared" si="75"/>
        <v>104048</v>
      </c>
      <c r="R228" s="442">
        <v>10</v>
      </c>
      <c r="S228" s="443">
        <v>41711</v>
      </c>
      <c r="T228" s="444">
        <f t="shared" si="76"/>
        <v>417110</v>
      </c>
      <c r="U228" s="306">
        <v>11</v>
      </c>
      <c r="V228" s="306">
        <v>40693</v>
      </c>
      <c r="W228" s="441">
        <f t="shared" si="77"/>
        <v>447623</v>
      </c>
      <c r="X228" s="442">
        <v>10</v>
      </c>
      <c r="Y228" s="443">
        <v>30672</v>
      </c>
      <c r="Z228" s="444">
        <f t="shared" si="78"/>
        <v>306720</v>
      </c>
      <c r="AA228" s="467">
        <v>16</v>
      </c>
      <c r="AB228" s="468">
        <v>29385</v>
      </c>
      <c r="AC228" s="445">
        <f t="shared" si="79"/>
        <v>470160</v>
      </c>
      <c r="AD228" s="442">
        <v>0</v>
      </c>
      <c r="AE228" s="443">
        <v>0</v>
      </c>
      <c r="AF228" s="444">
        <f t="shared" si="80"/>
        <v>0</v>
      </c>
      <c r="AG228" s="469">
        <v>0</v>
      </c>
      <c r="AH228" s="470">
        <v>0</v>
      </c>
      <c r="AI228" s="445">
        <f t="shared" si="81"/>
        <v>0</v>
      </c>
      <c r="AJ228" s="446"/>
      <c r="AK228" s="443"/>
      <c r="AL228" s="444">
        <f t="shared" si="82"/>
        <v>0</v>
      </c>
      <c r="AM228" s="307"/>
      <c r="AN228" s="307"/>
      <c r="AO228" s="447">
        <f t="shared" si="83"/>
        <v>0</v>
      </c>
      <c r="AP228" s="448">
        <v>0</v>
      </c>
      <c r="AQ228" s="443">
        <v>0</v>
      </c>
      <c r="AR228" s="444">
        <f t="shared" si="84"/>
        <v>0</v>
      </c>
      <c r="AS228" s="473"/>
      <c r="AT228" s="474"/>
      <c r="AU228" s="441">
        <f t="shared" si="85"/>
        <v>0</v>
      </c>
      <c r="AV228" s="442">
        <v>0</v>
      </c>
      <c r="AW228" s="443">
        <v>0</v>
      </c>
      <c r="AX228" s="444">
        <f t="shared" si="86"/>
        <v>0</v>
      </c>
      <c r="AY228" s="469">
        <v>0</v>
      </c>
      <c r="AZ228" s="470">
        <v>0</v>
      </c>
      <c r="BA228" s="445">
        <f t="shared" si="87"/>
        <v>0</v>
      </c>
      <c r="BB228" s="442">
        <v>0</v>
      </c>
      <c r="BC228" s="443">
        <v>0</v>
      </c>
      <c r="BD228" s="444">
        <f t="shared" si="88"/>
        <v>0</v>
      </c>
      <c r="BE228" s="469">
        <v>0</v>
      </c>
      <c r="BF228" s="470">
        <v>0</v>
      </c>
      <c r="BG228" s="445">
        <f t="shared" si="89"/>
        <v>0</v>
      </c>
      <c r="BH228" s="442">
        <v>1</v>
      </c>
      <c r="BI228" s="443">
        <v>55000</v>
      </c>
      <c r="BJ228" s="444">
        <f t="shared" si="90"/>
        <v>45001</v>
      </c>
      <c r="BK228" s="469">
        <v>1</v>
      </c>
      <c r="BL228" s="470">
        <v>55000</v>
      </c>
      <c r="BM228" s="445">
        <f t="shared" si="91"/>
        <v>45001</v>
      </c>
      <c r="BN228" s="442">
        <v>3</v>
      </c>
      <c r="BO228" s="443">
        <v>46307</v>
      </c>
      <c r="BP228" s="444">
        <f t="shared" si="92"/>
        <v>113665.16220000001</v>
      </c>
      <c r="BQ228" s="469">
        <v>0</v>
      </c>
      <c r="BR228" s="470">
        <v>0</v>
      </c>
      <c r="BS228" s="445">
        <f t="shared" si="93"/>
        <v>0</v>
      </c>
      <c r="BT228" s="442"/>
      <c r="BU228" s="443"/>
      <c r="BV228" s="444">
        <f t="shared" si="94"/>
        <v>0</v>
      </c>
      <c r="BW228" s="469"/>
      <c r="BX228" s="470"/>
      <c r="BY228" s="449">
        <f t="shared" si="95"/>
        <v>0</v>
      </c>
    </row>
    <row r="229" spans="1:77" s="308" customFormat="1" ht="12.75" customHeight="1">
      <c r="A229" s="422" t="s">
        <v>308</v>
      </c>
      <c r="B229" s="364" t="s">
        <v>972</v>
      </c>
      <c r="C229" s="523" t="s">
        <v>1068</v>
      </c>
      <c r="D229" s="423">
        <v>160649</v>
      </c>
      <c r="E229" s="424">
        <v>10</v>
      </c>
      <c r="F229" s="471">
        <v>2</v>
      </c>
      <c r="G229" s="472">
        <v>68127</v>
      </c>
      <c r="H229" s="439">
        <f t="shared" si="72"/>
        <v>136254</v>
      </c>
      <c r="I229" s="463">
        <v>4</v>
      </c>
      <c r="J229" s="464">
        <v>58234</v>
      </c>
      <c r="K229" s="441">
        <f t="shared" si="73"/>
        <v>232936</v>
      </c>
      <c r="L229" s="442">
        <v>16</v>
      </c>
      <c r="M229" s="443">
        <v>48241</v>
      </c>
      <c r="N229" s="444">
        <f t="shared" si="74"/>
        <v>771856</v>
      </c>
      <c r="O229" s="465">
        <v>17</v>
      </c>
      <c r="P229" s="466">
        <v>46559</v>
      </c>
      <c r="Q229" s="445">
        <f t="shared" si="75"/>
        <v>791503</v>
      </c>
      <c r="R229" s="442">
        <v>16</v>
      </c>
      <c r="S229" s="443">
        <v>44329</v>
      </c>
      <c r="T229" s="444">
        <f t="shared" si="76"/>
        <v>709264</v>
      </c>
      <c r="U229" s="306">
        <v>25</v>
      </c>
      <c r="V229" s="306">
        <v>42548</v>
      </c>
      <c r="W229" s="441">
        <f t="shared" si="77"/>
        <v>1063700</v>
      </c>
      <c r="X229" s="442">
        <v>21</v>
      </c>
      <c r="Y229" s="443">
        <v>36857</v>
      </c>
      <c r="Z229" s="444">
        <f t="shared" si="78"/>
        <v>773997</v>
      </c>
      <c r="AA229" s="467">
        <v>13</v>
      </c>
      <c r="AB229" s="468">
        <v>41377</v>
      </c>
      <c r="AC229" s="445">
        <f t="shared" si="79"/>
        <v>537901</v>
      </c>
      <c r="AD229" s="442">
        <v>0</v>
      </c>
      <c r="AE229" s="443">
        <v>0</v>
      </c>
      <c r="AF229" s="444">
        <f t="shared" si="80"/>
        <v>0</v>
      </c>
      <c r="AG229" s="469">
        <v>0</v>
      </c>
      <c r="AH229" s="470">
        <v>0</v>
      </c>
      <c r="AI229" s="445">
        <f t="shared" si="81"/>
        <v>0</v>
      </c>
      <c r="AJ229" s="446"/>
      <c r="AK229" s="443"/>
      <c r="AL229" s="444">
        <f t="shared" si="82"/>
        <v>0</v>
      </c>
      <c r="AM229" s="307"/>
      <c r="AN229" s="307"/>
      <c r="AO229" s="447">
        <f t="shared" si="83"/>
        <v>0</v>
      </c>
      <c r="AP229" s="448">
        <v>0</v>
      </c>
      <c r="AQ229" s="443">
        <v>0</v>
      </c>
      <c r="AR229" s="444">
        <f t="shared" si="84"/>
        <v>0</v>
      </c>
      <c r="AS229" s="473"/>
      <c r="AT229" s="474"/>
      <c r="AU229" s="441">
        <f t="shared" si="85"/>
        <v>0</v>
      </c>
      <c r="AV229" s="442">
        <v>1</v>
      </c>
      <c r="AW229" s="443">
        <v>70967</v>
      </c>
      <c r="AX229" s="444">
        <f t="shared" si="86"/>
        <v>58065.199400000005</v>
      </c>
      <c r="AY229" s="469">
        <v>3</v>
      </c>
      <c r="AZ229" s="470">
        <v>90484</v>
      </c>
      <c r="BA229" s="445">
        <f t="shared" si="87"/>
        <v>222102.0264</v>
      </c>
      <c r="BB229" s="442">
        <v>2</v>
      </c>
      <c r="BC229" s="443">
        <v>62423</v>
      </c>
      <c r="BD229" s="444">
        <f t="shared" si="88"/>
        <v>102148.9972</v>
      </c>
      <c r="BE229" s="469">
        <v>8</v>
      </c>
      <c r="BF229" s="470">
        <v>55780</v>
      </c>
      <c r="BG229" s="445">
        <f t="shared" si="89"/>
        <v>365113.56800000003</v>
      </c>
      <c r="BH229" s="442">
        <v>20</v>
      </c>
      <c r="BI229" s="443">
        <v>50032</v>
      </c>
      <c r="BJ229" s="444">
        <f t="shared" si="90"/>
        <v>818723.64800000004</v>
      </c>
      <c r="BK229" s="469">
        <v>17</v>
      </c>
      <c r="BL229" s="470">
        <v>42474</v>
      </c>
      <c r="BM229" s="445">
        <f t="shared" si="91"/>
        <v>590787.85560000001</v>
      </c>
      <c r="BN229" s="442">
        <v>0</v>
      </c>
      <c r="BO229" s="443">
        <v>0</v>
      </c>
      <c r="BP229" s="444">
        <f t="shared" si="92"/>
        <v>0</v>
      </c>
      <c r="BQ229" s="469">
        <v>0</v>
      </c>
      <c r="BR229" s="470">
        <v>0</v>
      </c>
      <c r="BS229" s="445">
        <f t="shared" si="93"/>
        <v>0</v>
      </c>
      <c r="BT229" s="442"/>
      <c r="BU229" s="443"/>
      <c r="BV229" s="444">
        <f t="shared" si="94"/>
        <v>0</v>
      </c>
      <c r="BW229" s="469"/>
      <c r="BX229" s="470"/>
      <c r="BY229" s="449">
        <f t="shared" si="95"/>
        <v>0</v>
      </c>
    </row>
    <row r="230" spans="1:77" s="308" customFormat="1" ht="12.75" customHeight="1">
      <c r="A230" s="417" t="s">
        <v>308</v>
      </c>
      <c r="B230" s="418" t="s">
        <v>977</v>
      </c>
      <c r="C230" s="524" t="s">
        <v>1109</v>
      </c>
      <c r="D230" s="419"/>
      <c r="E230" s="525">
        <v>12</v>
      </c>
      <c r="F230" s="471"/>
      <c r="G230" s="472"/>
      <c r="H230" s="439">
        <f t="shared" si="72"/>
        <v>0</v>
      </c>
      <c r="I230" s="463"/>
      <c r="J230" s="464"/>
      <c r="K230" s="441">
        <f t="shared" si="73"/>
        <v>0</v>
      </c>
      <c r="L230" s="442"/>
      <c r="M230" s="443"/>
      <c r="N230" s="444">
        <f t="shared" si="74"/>
        <v>0</v>
      </c>
      <c r="O230" s="465"/>
      <c r="P230" s="466"/>
      <c r="Q230" s="445">
        <f t="shared" si="75"/>
        <v>0</v>
      </c>
      <c r="R230" s="442"/>
      <c r="S230" s="443"/>
      <c r="T230" s="444">
        <f t="shared" si="76"/>
        <v>0</v>
      </c>
      <c r="U230" s="306"/>
      <c r="V230" s="306"/>
      <c r="W230" s="441">
        <f t="shared" si="77"/>
        <v>0</v>
      </c>
      <c r="X230" s="442"/>
      <c r="Y230" s="443"/>
      <c r="Z230" s="444">
        <f t="shared" si="78"/>
        <v>0</v>
      </c>
      <c r="AA230" s="467"/>
      <c r="AB230" s="468"/>
      <c r="AC230" s="445">
        <f t="shared" si="79"/>
        <v>0</v>
      </c>
      <c r="AD230" s="442"/>
      <c r="AE230" s="443"/>
      <c r="AF230" s="444">
        <f t="shared" si="80"/>
        <v>0</v>
      </c>
      <c r="AG230" s="469"/>
      <c r="AH230" s="470"/>
      <c r="AI230" s="445">
        <f t="shared" si="81"/>
        <v>0</v>
      </c>
      <c r="AJ230" s="446"/>
      <c r="AK230" s="443"/>
      <c r="AL230" s="444">
        <f t="shared" si="82"/>
        <v>0</v>
      </c>
      <c r="AM230" s="307"/>
      <c r="AN230" s="307"/>
      <c r="AO230" s="447">
        <f t="shared" si="83"/>
        <v>0</v>
      </c>
      <c r="AP230" s="448"/>
      <c r="AQ230" s="443"/>
      <c r="AR230" s="444">
        <f t="shared" si="84"/>
        <v>0</v>
      </c>
      <c r="AS230" s="473"/>
      <c r="AT230" s="474"/>
      <c r="AU230" s="441">
        <f t="shared" si="85"/>
        <v>0</v>
      </c>
      <c r="AV230" s="442"/>
      <c r="AW230" s="443"/>
      <c r="AX230" s="444">
        <f t="shared" si="86"/>
        <v>0</v>
      </c>
      <c r="AY230" s="469"/>
      <c r="AZ230" s="470"/>
      <c r="BA230" s="445">
        <f t="shared" si="87"/>
        <v>0</v>
      </c>
      <c r="BB230" s="442"/>
      <c r="BC230" s="443"/>
      <c r="BD230" s="444">
        <f t="shared" si="88"/>
        <v>0</v>
      </c>
      <c r="BE230" s="469"/>
      <c r="BF230" s="470"/>
      <c r="BG230" s="445">
        <f t="shared" si="89"/>
        <v>0</v>
      </c>
      <c r="BH230" s="442"/>
      <c r="BI230" s="443"/>
      <c r="BJ230" s="444">
        <f t="shared" si="90"/>
        <v>0</v>
      </c>
      <c r="BK230" s="469"/>
      <c r="BL230" s="470"/>
      <c r="BM230" s="445">
        <f t="shared" si="91"/>
        <v>0</v>
      </c>
      <c r="BN230" s="442"/>
      <c r="BO230" s="443"/>
      <c r="BP230" s="444">
        <f t="shared" si="92"/>
        <v>0</v>
      </c>
      <c r="BQ230" s="469"/>
      <c r="BR230" s="470"/>
      <c r="BS230" s="445">
        <f t="shared" si="93"/>
        <v>0</v>
      </c>
      <c r="BT230" s="442"/>
      <c r="BU230" s="443"/>
      <c r="BV230" s="444">
        <f t="shared" si="94"/>
        <v>0</v>
      </c>
      <c r="BW230" s="469"/>
      <c r="BX230" s="470"/>
      <c r="BY230" s="449">
        <f t="shared" si="95"/>
        <v>0</v>
      </c>
    </row>
    <row r="231" spans="1:77" s="308" customFormat="1" ht="12.6" customHeight="1">
      <c r="A231" s="417" t="s">
        <v>308</v>
      </c>
      <c r="B231" s="418" t="s">
        <v>978</v>
      </c>
      <c r="C231" s="524" t="s">
        <v>1110</v>
      </c>
      <c r="D231" s="419"/>
      <c r="E231" s="525">
        <v>12</v>
      </c>
      <c r="F231" s="471"/>
      <c r="G231" s="472"/>
      <c r="H231" s="439">
        <f t="shared" si="72"/>
        <v>0</v>
      </c>
      <c r="I231" s="463"/>
      <c r="J231" s="464"/>
      <c r="K231" s="441">
        <f t="shared" si="73"/>
        <v>0</v>
      </c>
      <c r="L231" s="442"/>
      <c r="M231" s="443"/>
      <c r="N231" s="444">
        <f t="shared" si="74"/>
        <v>0</v>
      </c>
      <c r="O231" s="465"/>
      <c r="P231" s="466"/>
      <c r="Q231" s="445">
        <f t="shared" si="75"/>
        <v>0</v>
      </c>
      <c r="R231" s="442"/>
      <c r="S231" s="443"/>
      <c r="T231" s="444">
        <f t="shared" si="76"/>
        <v>0</v>
      </c>
      <c r="U231" s="306"/>
      <c r="V231" s="306"/>
      <c r="W231" s="441">
        <f t="shared" si="77"/>
        <v>0</v>
      </c>
      <c r="X231" s="442"/>
      <c r="Y231" s="443"/>
      <c r="Z231" s="444">
        <f t="shared" si="78"/>
        <v>0</v>
      </c>
      <c r="AA231" s="467"/>
      <c r="AB231" s="468"/>
      <c r="AC231" s="445">
        <f t="shared" si="79"/>
        <v>0</v>
      </c>
      <c r="AD231" s="442"/>
      <c r="AE231" s="443"/>
      <c r="AF231" s="444">
        <f t="shared" si="80"/>
        <v>0</v>
      </c>
      <c r="AG231" s="469"/>
      <c r="AH231" s="470"/>
      <c r="AI231" s="445">
        <f t="shared" si="81"/>
        <v>0</v>
      </c>
      <c r="AJ231" s="446"/>
      <c r="AK231" s="443"/>
      <c r="AL231" s="444">
        <f t="shared" si="82"/>
        <v>0</v>
      </c>
      <c r="AM231" s="307"/>
      <c r="AN231" s="307"/>
      <c r="AO231" s="447">
        <f t="shared" si="83"/>
        <v>0</v>
      </c>
      <c r="AP231" s="448"/>
      <c r="AQ231" s="443"/>
      <c r="AR231" s="444">
        <f t="shared" si="84"/>
        <v>0</v>
      </c>
      <c r="AS231" s="473"/>
      <c r="AT231" s="474"/>
      <c r="AU231" s="441">
        <f t="shared" si="85"/>
        <v>0</v>
      </c>
      <c r="AV231" s="442"/>
      <c r="AW231" s="443"/>
      <c r="AX231" s="444">
        <f t="shared" si="86"/>
        <v>0</v>
      </c>
      <c r="AY231" s="469"/>
      <c r="AZ231" s="470"/>
      <c r="BA231" s="445">
        <f t="shared" si="87"/>
        <v>0</v>
      </c>
      <c r="BB231" s="442"/>
      <c r="BC231" s="443"/>
      <c r="BD231" s="444">
        <f t="shared" si="88"/>
        <v>0</v>
      </c>
      <c r="BE231" s="469"/>
      <c r="BF231" s="470"/>
      <c r="BG231" s="445">
        <f t="shared" si="89"/>
        <v>0</v>
      </c>
      <c r="BH231" s="442"/>
      <c r="BI231" s="443"/>
      <c r="BJ231" s="444">
        <f t="shared" si="90"/>
        <v>0</v>
      </c>
      <c r="BK231" s="469"/>
      <c r="BL231" s="470"/>
      <c r="BM231" s="445">
        <f t="shared" si="91"/>
        <v>0</v>
      </c>
      <c r="BN231" s="442"/>
      <c r="BO231" s="443"/>
      <c r="BP231" s="444">
        <f t="shared" si="92"/>
        <v>0</v>
      </c>
      <c r="BQ231" s="469"/>
      <c r="BR231" s="470"/>
      <c r="BS231" s="445">
        <f t="shared" si="93"/>
        <v>0</v>
      </c>
      <c r="BT231" s="442"/>
      <c r="BU231" s="443"/>
      <c r="BV231" s="444">
        <f t="shared" si="94"/>
        <v>0</v>
      </c>
      <c r="BW231" s="469"/>
      <c r="BX231" s="470"/>
      <c r="BY231" s="449">
        <f t="shared" si="95"/>
        <v>0</v>
      </c>
    </row>
    <row r="232" spans="1:77" s="308" customFormat="1" ht="12.75" customHeight="1">
      <c r="A232" s="417" t="s">
        <v>308</v>
      </c>
      <c r="B232" s="418" t="s">
        <v>979</v>
      </c>
      <c r="C232" s="524" t="s">
        <v>1111</v>
      </c>
      <c r="D232" s="419"/>
      <c r="E232" s="525">
        <v>12</v>
      </c>
      <c r="F232" s="471"/>
      <c r="G232" s="472"/>
      <c r="H232" s="439">
        <f t="shared" si="72"/>
        <v>0</v>
      </c>
      <c r="I232" s="463"/>
      <c r="J232" s="464"/>
      <c r="K232" s="441">
        <f t="shared" si="73"/>
        <v>0</v>
      </c>
      <c r="L232" s="442"/>
      <c r="M232" s="443"/>
      <c r="N232" s="444">
        <f t="shared" si="74"/>
        <v>0</v>
      </c>
      <c r="O232" s="465"/>
      <c r="P232" s="466"/>
      <c r="Q232" s="445">
        <f t="shared" si="75"/>
        <v>0</v>
      </c>
      <c r="R232" s="442"/>
      <c r="S232" s="443"/>
      <c r="T232" s="444">
        <f t="shared" si="76"/>
        <v>0</v>
      </c>
      <c r="U232" s="306"/>
      <c r="V232" s="306"/>
      <c r="W232" s="441">
        <f t="shared" si="77"/>
        <v>0</v>
      </c>
      <c r="X232" s="442"/>
      <c r="Y232" s="443"/>
      <c r="Z232" s="444">
        <f t="shared" si="78"/>
        <v>0</v>
      </c>
      <c r="AA232" s="467"/>
      <c r="AB232" s="468"/>
      <c r="AC232" s="445">
        <f t="shared" si="79"/>
        <v>0</v>
      </c>
      <c r="AD232" s="442"/>
      <c r="AE232" s="443"/>
      <c r="AF232" s="444">
        <f t="shared" si="80"/>
        <v>0</v>
      </c>
      <c r="AG232" s="469"/>
      <c r="AH232" s="470"/>
      <c r="AI232" s="445">
        <f t="shared" si="81"/>
        <v>0</v>
      </c>
      <c r="AJ232" s="446"/>
      <c r="AK232" s="443"/>
      <c r="AL232" s="444">
        <f t="shared" si="82"/>
        <v>0</v>
      </c>
      <c r="AM232" s="307"/>
      <c r="AN232" s="307"/>
      <c r="AO232" s="447">
        <f t="shared" si="83"/>
        <v>0</v>
      </c>
      <c r="AP232" s="448"/>
      <c r="AQ232" s="443"/>
      <c r="AR232" s="444">
        <f t="shared" si="84"/>
        <v>0</v>
      </c>
      <c r="AS232" s="473"/>
      <c r="AT232" s="474"/>
      <c r="AU232" s="441">
        <f t="shared" si="85"/>
        <v>0</v>
      </c>
      <c r="AV232" s="442"/>
      <c r="AW232" s="443"/>
      <c r="AX232" s="444">
        <f t="shared" si="86"/>
        <v>0</v>
      </c>
      <c r="AY232" s="469"/>
      <c r="AZ232" s="470"/>
      <c r="BA232" s="445">
        <f t="shared" si="87"/>
        <v>0</v>
      </c>
      <c r="BB232" s="442"/>
      <c r="BC232" s="443"/>
      <c r="BD232" s="444">
        <f t="shared" si="88"/>
        <v>0</v>
      </c>
      <c r="BE232" s="469"/>
      <c r="BF232" s="470"/>
      <c r="BG232" s="445">
        <f t="shared" si="89"/>
        <v>0</v>
      </c>
      <c r="BH232" s="442"/>
      <c r="BI232" s="443"/>
      <c r="BJ232" s="444">
        <f t="shared" si="90"/>
        <v>0</v>
      </c>
      <c r="BK232" s="469"/>
      <c r="BL232" s="470"/>
      <c r="BM232" s="445">
        <f t="shared" si="91"/>
        <v>0</v>
      </c>
      <c r="BN232" s="442"/>
      <c r="BO232" s="443"/>
      <c r="BP232" s="444">
        <f t="shared" si="92"/>
        <v>0</v>
      </c>
      <c r="BQ232" s="469"/>
      <c r="BR232" s="470"/>
      <c r="BS232" s="445">
        <f t="shared" si="93"/>
        <v>0</v>
      </c>
      <c r="BT232" s="442"/>
      <c r="BU232" s="443"/>
      <c r="BV232" s="444">
        <f t="shared" si="94"/>
        <v>0</v>
      </c>
      <c r="BW232" s="469"/>
      <c r="BX232" s="470"/>
      <c r="BY232" s="449">
        <f t="shared" si="95"/>
        <v>0</v>
      </c>
    </row>
    <row r="233" spans="1:77" s="308" customFormat="1" ht="12.75" customHeight="1">
      <c r="A233" s="417" t="s">
        <v>308</v>
      </c>
      <c r="B233" s="418" t="s">
        <v>980</v>
      </c>
      <c r="C233" s="524" t="s">
        <v>1112</v>
      </c>
      <c r="D233" s="419"/>
      <c r="E233" s="525">
        <v>12</v>
      </c>
      <c r="F233" s="471"/>
      <c r="G233" s="472"/>
      <c r="H233" s="439">
        <f t="shared" si="72"/>
        <v>0</v>
      </c>
      <c r="I233" s="463"/>
      <c r="J233" s="464"/>
      <c r="K233" s="441">
        <f t="shared" si="73"/>
        <v>0</v>
      </c>
      <c r="L233" s="442"/>
      <c r="M233" s="443"/>
      <c r="N233" s="444">
        <f t="shared" si="74"/>
        <v>0</v>
      </c>
      <c r="O233" s="465"/>
      <c r="P233" s="466"/>
      <c r="Q233" s="445">
        <f t="shared" si="75"/>
        <v>0</v>
      </c>
      <c r="R233" s="442"/>
      <c r="S233" s="443"/>
      <c r="T233" s="444">
        <f t="shared" si="76"/>
        <v>0</v>
      </c>
      <c r="U233" s="306"/>
      <c r="V233" s="306"/>
      <c r="W233" s="441">
        <f t="shared" si="77"/>
        <v>0</v>
      </c>
      <c r="X233" s="442"/>
      <c r="Y233" s="443"/>
      <c r="Z233" s="444">
        <f t="shared" si="78"/>
        <v>0</v>
      </c>
      <c r="AA233" s="467"/>
      <c r="AB233" s="468"/>
      <c r="AC233" s="445">
        <f t="shared" si="79"/>
        <v>0</v>
      </c>
      <c r="AD233" s="442"/>
      <c r="AE233" s="443"/>
      <c r="AF233" s="444">
        <f t="shared" si="80"/>
        <v>0</v>
      </c>
      <c r="AG233" s="469"/>
      <c r="AH233" s="470"/>
      <c r="AI233" s="445">
        <f t="shared" si="81"/>
        <v>0</v>
      </c>
      <c r="AJ233" s="446"/>
      <c r="AK233" s="443"/>
      <c r="AL233" s="444">
        <f t="shared" si="82"/>
        <v>0</v>
      </c>
      <c r="AM233" s="307"/>
      <c r="AN233" s="307"/>
      <c r="AO233" s="447">
        <f t="shared" si="83"/>
        <v>0</v>
      </c>
      <c r="AP233" s="448"/>
      <c r="AQ233" s="443"/>
      <c r="AR233" s="444">
        <f t="shared" si="84"/>
        <v>0</v>
      </c>
      <c r="AS233" s="473"/>
      <c r="AT233" s="474"/>
      <c r="AU233" s="441">
        <f t="shared" si="85"/>
        <v>0</v>
      </c>
      <c r="AV233" s="442"/>
      <c r="AW233" s="443"/>
      <c r="AX233" s="444">
        <f t="shared" si="86"/>
        <v>0</v>
      </c>
      <c r="AY233" s="469"/>
      <c r="AZ233" s="470"/>
      <c r="BA233" s="445">
        <f t="shared" si="87"/>
        <v>0</v>
      </c>
      <c r="BB233" s="442"/>
      <c r="BC233" s="443"/>
      <c r="BD233" s="444">
        <f t="shared" si="88"/>
        <v>0</v>
      </c>
      <c r="BE233" s="469"/>
      <c r="BF233" s="470"/>
      <c r="BG233" s="445">
        <f t="shared" si="89"/>
        <v>0</v>
      </c>
      <c r="BH233" s="442"/>
      <c r="BI233" s="443"/>
      <c r="BJ233" s="444">
        <f t="shared" si="90"/>
        <v>0</v>
      </c>
      <c r="BK233" s="469"/>
      <c r="BL233" s="470"/>
      <c r="BM233" s="445">
        <f t="shared" si="91"/>
        <v>0</v>
      </c>
      <c r="BN233" s="442"/>
      <c r="BO233" s="443"/>
      <c r="BP233" s="444">
        <f t="shared" si="92"/>
        <v>0</v>
      </c>
      <c r="BQ233" s="469"/>
      <c r="BR233" s="470"/>
      <c r="BS233" s="445">
        <f t="shared" si="93"/>
        <v>0</v>
      </c>
      <c r="BT233" s="442"/>
      <c r="BU233" s="443"/>
      <c r="BV233" s="444">
        <f t="shared" si="94"/>
        <v>0</v>
      </c>
      <c r="BW233" s="469"/>
      <c r="BX233" s="470"/>
      <c r="BY233" s="449">
        <f t="shared" si="95"/>
        <v>0</v>
      </c>
    </row>
    <row r="234" spans="1:77" s="308" customFormat="1" ht="12.75" customHeight="1">
      <c r="A234" s="417" t="s">
        <v>308</v>
      </c>
      <c r="B234" s="418" t="s">
        <v>981</v>
      </c>
      <c r="C234" s="524" t="s">
        <v>1113</v>
      </c>
      <c r="D234" s="419"/>
      <c r="E234" s="525">
        <v>12</v>
      </c>
      <c r="F234" s="471"/>
      <c r="G234" s="472"/>
      <c r="H234" s="439">
        <f t="shared" si="72"/>
        <v>0</v>
      </c>
      <c r="I234" s="463"/>
      <c r="J234" s="464"/>
      <c r="K234" s="441">
        <f t="shared" si="73"/>
        <v>0</v>
      </c>
      <c r="L234" s="442"/>
      <c r="M234" s="443"/>
      <c r="N234" s="444">
        <f t="shared" si="74"/>
        <v>0</v>
      </c>
      <c r="O234" s="465"/>
      <c r="P234" s="466"/>
      <c r="Q234" s="445">
        <f t="shared" si="75"/>
        <v>0</v>
      </c>
      <c r="R234" s="442"/>
      <c r="S234" s="443"/>
      <c r="T234" s="444">
        <f t="shared" si="76"/>
        <v>0</v>
      </c>
      <c r="U234" s="306"/>
      <c r="V234" s="306"/>
      <c r="W234" s="441">
        <f t="shared" si="77"/>
        <v>0</v>
      </c>
      <c r="X234" s="442"/>
      <c r="Y234" s="443"/>
      <c r="Z234" s="444">
        <f t="shared" si="78"/>
        <v>0</v>
      </c>
      <c r="AA234" s="467"/>
      <c r="AB234" s="468"/>
      <c r="AC234" s="445">
        <f t="shared" si="79"/>
        <v>0</v>
      </c>
      <c r="AD234" s="442"/>
      <c r="AE234" s="443"/>
      <c r="AF234" s="444">
        <f t="shared" si="80"/>
        <v>0</v>
      </c>
      <c r="AG234" s="475"/>
      <c r="AH234" s="476"/>
      <c r="AI234" s="445">
        <f t="shared" si="81"/>
        <v>0</v>
      </c>
      <c r="AJ234" s="446"/>
      <c r="AK234" s="443"/>
      <c r="AL234" s="444">
        <f t="shared" si="82"/>
        <v>0</v>
      </c>
      <c r="AM234" s="307"/>
      <c r="AN234" s="307"/>
      <c r="AO234" s="447">
        <f t="shared" si="83"/>
        <v>0</v>
      </c>
      <c r="AP234" s="448"/>
      <c r="AQ234" s="443"/>
      <c r="AR234" s="444">
        <f t="shared" si="84"/>
        <v>0</v>
      </c>
      <c r="AS234" s="473"/>
      <c r="AT234" s="474"/>
      <c r="AU234" s="441">
        <f t="shared" si="85"/>
        <v>0</v>
      </c>
      <c r="AV234" s="442"/>
      <c r="AW234" s="443"/>
      <c r="AX234" s="444">
        <f t="shared" si="86"/>
        <v>0</v>
      </c>
      <c r="AY234" s="475"/>
      <c r="AZ234" s="476"/>
      <c r="BA234" s="445">
        <f t="shared" si="87"/>
        <v>0</v>
      </c>
      <c r="BB234" s="442"/>
      <c r="BC234" s="443"/>
      <c r="BD234" s="444">
        <f t="shared" si="88"/>
        <v>0</v>
      </c>
      <c r="BE234" s="475"/>
      <c r="BF234" s="476"/>
      <c r="BG234" s="445">
        <f t="shared" si="89"/>
        <v>0</v>
      </c>
      <c r="BH234" s="442"/>
      <c r="BI234" s="443"/>
      <c r="BJ234" s="444">
        <f t="shared" si="90"/>
        <v>0</v>
      </c>
      <c r="BK234" s="475"/>
      <c r="BL234" s="476"/>
      <c r="BM234" s="445">
        <f t="shared" si="91"/>
        <v>0</v>
      </c>
      <c r="BN234" s="442"/>
      <c r="BO234" s="443"/>
      <c r="BP234" s="444">
        <f t="shared" si="92"/>
        <v>0</v>
      </c>
      <c r="BQ234" s="475"/>
      <c r="BR234" s="476"/>
      <c r="BS234" s="445">
        <f t="shared" si="93"/>
        <v>0</v>
      </c>
      <c r="BT234" s="442"/>
      <c r="BU234" s="443"/>
      <c r="BV234" s="444">
        <f t="shared" si="94"/>
        <v>0</v>
      </c>
      <c r="BW234" s="475"/>
      <c r="BX234" s="476"/>
      <c r="BY234" s="449">
        <f t="shared" si="95"/>
        <v>0</v>
      </c>
    </row>
    <row r="235" spans="1:77" s="308" customFormat="1" ht="12.75" customHeight="1">
      <c r="A235" s="417" t="s">
        <v>308</v>
      </c>
      <c r="B235" s="418" t="s">
        <v>982</v>
      </c>
      <c r="C235" s="524" t="s">
        <v>1114</v>
      </c>
      <c r="D235" s="419"/>
      <c r="E235" s="525">
        <v>12</v>
      </c>
      <c r="F235" s="471"/>
      <c r="G235" s="472"/>
      <c r="H235" s="439">
        <f t="shared" si="72"/>
        <v>0</v>
      </c>
      <c r="I235" s="463"/>
      <c r="J235" s="464"/>
      <c r="K235" s="441">
        <f t="shared" si="73"/>
        <v>0</v>
      </c>
      <c r="L235" s="442"/>
      <c r="M235" s="443"/>
      <c r="N235" s="444">
        <f t="shared" si="74"/>
        <v>0</v>
      </c>
      <c r="O235" s="465"/>
      <c r="P235" s="466"/>
      <c r="Q235" s="445">
        <f t="shared" si="75"/>
        <v>0</v>
      </c>
      <c r="R235" s="442"/>
      <c r="S235" s="443"/>
      <c r="T235" s="444">
        <f t="shared" si="76"/>
        <v>0</v>
      </c>
      <c r="U235" s="306"/>
      <c r="V235" s="306"/>
      <c r="W235" s="441">
        <f t="shared" si="77"/>
        <v>0</v>
      </c>
      <c r="X235" s="442"/>
      <c r="Y235" s="443"/>
      <c r="Z235" s="444">
        <f t="shared" si="78"/>
        <v>0</v>
      </c>
      <c r="AA235" s="467"/>
      <c r="AB235" s="468"/>
      <c r="AC235" s="445">
        <f t="shared" si="79"/>
        <v>0</v>
      </c>
      <c r="AD235" s="442"/>
      <c r="AE235" s="443"/>
      <c r="AF235" s="444">
        <f t="shared" si="80"/>
        <v>0</v>
      </c>
      <c r="AG235" s="469"/>
      <c r="AH235" s="470"/>
      <c r="AI235" s="445">
        <f t="shared" si="81"/>
        <v>0</v>
      </c>
      <c r="AJ235" s="446"/>
      <c r="AK235" s="443"/>
      <c r="AL235" s="444">
        <f t="shared" si="82"/>
        <v>0</v>
      </c>
      <c r="AM235" s="307"/>
      <c r="AN235" s="307"/>
      <c r="AO235" s="447">
        <f t="shared" si="83"/>
        <v>0</v>
      </c>
      <c r="AP235" s="448"/>
      <c r="AQ235" s="443"/>
      <c r="AR235" s="444">
        <f t="shared" si="84"/>
        <v>0</v>
      </c>
      <c r="AS235" s="473"/>
      <c r="AT235" s="474"/>
      <c r="AU235" s="441">
        <f t="shared" si="85"/>
        <v>0</v>
      </c>
      <c r="AV235" s="442"/>
      <c r="AW235" s="443"/>
      <c r="AX235" s="444">
        <f t="shared" si="86"/>
        <v>0</v>
      </c>
      <c r="AY235" s="469"/>
      <c r="AZ235" s="470"/>
      <c r="BA235" s="445">
        <f t="shared" si="87"/>
        <v>0</v>
      </c>
      <c r="BB235" s="442"/>
      <c r="BC235" s="443"/>
      <c r="BD235" s="444">
        <f t="shared" si="88"/>
        <v>0</v>
      </c>
      <c r="BE235" s="469"/>
      <c r="BF235" s="470"/>
      <c r="BG235" s="445">
        <f t="shared" si="89"/>
        <v>0</v>
      </c>
      <c r="BH235" s="442"/>
      <c r="BI235" s="443"/>
      <c r="BJ235" s="444">
        <f t="shared" si="90"/>
        <v>0</v>
      </c>
      <c r="BK235" s="469"/>
      <c r="BL235" s="470"/>
      <c r="BM235" s="445">
        <f t="shared" si="91"/>
        <v>0</v>
      </c>
      <c r="BN235" s="442"/>
      <c r="BO235" s="443"/>
      <c r="BP235" s="444">
        <f t="shared" si="92"/>
        <v>0</v>
      </c>
      <c r="BQ235" s="469"/>
      <c r="BR235" s="470"/>
      <c r="BS235" s="445">
        <f t="shared" si="93"/>
        <v>0</v>
      </c>
      <c r="BT235" s="442"/>
      <c r="BU235" s="443"/>
      <c r="BV235" s="444">
        <f t="shared" si="94"/>
        <v>0</v>
      </c>
      <c r="BW235" s="469"/>
      <c r="BX235" s="470"/>
      <c r="BY235" s="449">
        <f t="shared" si="95"/>
        <v>0</v>
      </c>
    </row>
    <row r="236" spans="1:77" s="308" customFormat="1" ht="12.75" customHeight="1">
      <c r="A236" s="417" t="s">
        <v>308</v>
      </c>
      <c r="B236" s="418" t="s">
        <v>983</v>
      </c>
      <c r="C236" s="524" t="s">
        <v>1115</v>
      </c>
      <c r="D236" s="419"/>
      <c r="E236" s="525">
        <v>12</v>
      </c>
      <c r="F236" s="453"/>
      <c r="G236" s="454"/>
      <c r="H236" s="439">
        <f t="shared" si="72"/>
        <v>0</v>
      </c>
      <c r="I236" s="311"/>
      <c r="J236" s="311"/>
      <c r="K236" s="441">
        <f t="shared" si="73"/>
        <v>0</v>
      </c>
      <c r="L236" s="442"/>
      <c r="M236" s="443"/>
      <c r="N236" s="444">
        <f t="shared" si="74"/>
        <v>0</v>
      </c>
      <c r="O236" s="307"/>
      <c r="P236" s="307"/>
      <c r="Q236" s="445">
        <f t="shared" si="75"/>
        <v>0</v>
      </c>
      <c r="R236" s="442"/>
      <c r="S236" s="443"/>
      <c r="T236" s="444">
        <f t="shared" si="76"/>
        <v>0</v>
      </c>
      <c r="U236" s="306"/>
      <c r="V236" s="306"/>
      <c r="W236" s="441">
        <f t="shared" si="77"/>
        <v>0</v>
      </c>
      <c r="X236" s="442"/>
      <c r="Y236" s="443"/>
      <c r="Z236" s="444">
        <f t="shared" si="78"/>
        <v>0</v>
      </c>
      <c r="AA236" s="307"/>
      <c r="AB236" s="307"/>
      <c r="AC236" s="445">
        <f t="shared" si="79"/>
        <v>0</v>
      </c>
      <c r="AD236" s="442"/>
      <c r="AE236" s="443"/>
      <c r="AF236" s="444">
        <f t="shared" si="80"/>
        <v>0</v>
      </c>
      <c r="AG236" s="307"/>
      <c r="AH236" s="307"/>
      <c r="AI236" s="445">
        <f t="shared" si="81"/>
        <v>0</v>
      </c>
      <c r="AJ236" s="446"/>
      <c r="AK236" s="443"/>
      <c r="AL236" s="444">
        <f t="shared" si="82"/>
        <v>0</v>
      </c>
      <c r="AM236" s="307"/>
      <c r="AN236" s="307"/>
      <c r="AO236" s="447">
        <f t="shared" si="83"/>
        <v>0</v>
      </c>
      <c r="AP236" s="448"/>
      <c r="AQ236" s="443"/>
      <c r="AR236" s="444">
        <f t="shared" si="84"/>
        <v>0</v>
      </c>
      <c r="AS236" s="307"/>
      <c r="AT236" s="307"/>
      <c r="AU236" s="441">
        <f t="shared" si="85"/>
        <v>0</v>
      </c>
      <c r="AV236" s="442"/>
      <c r="AW236" s="443"/>
      <c r="AX236" s="444">
        <f t="shared" si="86"/>
        <v>0</v>
      </c>
      <c r="AY236" s="307"/>
      <c r="AZ236" s="307"/>
      <c r="BA236" s="445">
        <f t="shared" si="87"/>
        <v>0</v>
      </c>
      <c r="BB236" s="442"/>
      <c r="BC236" s="443"/>
      <c r="BD236" s="444">
        <f t="shared" si="88"/>
        <v>0</v>
      </c>
      <c r="BE236" s="307"/>
      <c r="BF236" s="307"/>
      <c r="BG236" s="445">
        <f t="shared" si="89"/>
        <v>0</v>
      </c>
      <c r="BH236" s="442"/>
      <c r="BI236" s="443"/>
      <c r="BJ236" s="444">
        <f t="shared" si="90"/>
        <v>0</v>
      </c>
      <c r="BK236" s="307"/>
      <c r="BL236" s="307"/>
      <c r="BM236" s="445">
        <f t="shared" si="91"/>
        <v>0</v>
      </c>
      <c r="BN236" s="442"/>
      <c r="BO236" s="443"/>
      <c r="BP236" s="444">
        <f t="shared" si="92"/>
        <v>0</v>
      </c>
      <c r="BQ236" s="307"/>
      <c r="BR236" s="307"/>
      <c r="BS236" s="445">
        <f t="shared" si="93"/>
        <v>0</v>
      </c>
      <c r="BT236" s="442"/>
      <c r="BU236" s="443"/>
      <c r="BV236" s="444">
        <f t="shared" si="94"/>
        <v>0</v>
      </c>
      <c r="BW236" s="307"/>
      <c r="BX236" s="307"/>
      <c r="BY236" s="449">
        <f t="shared" si="95"/>
        <v>0</v>
      </c>
    </row>
    <row r="237" spans="1:77" s="308" customFormat="1" ht="12.75" customHeight="1">
      <c r="A237" s="359" t="s">
        <v>308</v>
      </c>
      <c r="B237" s="360" t="s">
        <v>973</v>
      </c>
      <c r="C237" s="360"/>
      <c r="D237" s="361">
        <v>160579</v>
      </c>
      <c r="E237" s="362">
        <v>12</v>
      </c>
      <c r="F237" s="471">
        <v>0</v>
      </c>
      <c r="G237" s="472">
        <v>0</v>
      </c>
      <c r="H237" s="439">
        <f t="shared" si="72"/>
        <v>0</v>
      </c>
      <c r="I237" s="463"/>
      <c r="J237" s="464"/>
      <c r="K237" s="441">
        <f t="shared" si="73"/>
        <v>0</v>
      </c>
      <c r="L237" s="442">
        <v>0</v>
      </c>
      <c r="M237" s="443">
        <v>0</v>
      </c>
      <c r="N237" s="444">
        <f t="shared" si="74"/>
        <v>0</v>
      </c>
      <c r="O237" s="465">
        <v>0</v>
      </c>
      <c r="P237" s="466">
        <v>0</v>
      </c>
      <c r="Q237" s="445">
        <f t="shared" si="75"/>
        <v>0</v>
      </c>
      <c r="R237" s="442">
        <v>0</v>
      </c>
      <c r="S237" s="443">
        <v>0</v>
      </c>
      <c r="T237" s="444">
        <f t="shared" si="76"/>
        <v>0</v>
      </c>
      <c r="U237" s="306"/>
      <c r="V237" s="306"/>
      <c r="W237" s="441">
        <f t="shared" si="77"/>
        <v>0</v>
      </c>
      <c r="X237" s="442">
        <v>28</v>
      </c>
      <c r="Y237" s="443">
        <v>36073</v>
      </c>
      <c r="Z237" s="444">
        <f t="shared" si="78"/>
        <v>1010044</v>
      </c>
      <c r="AA237" s="467">
        <v>29</v>
      </c>
      <c r="AB237" s="468">
        <v>36001</v>
      </c>
      <c r="AC237" s="445">
        <f t="shared" si="79"/>
        <v>1044029</v>
      </c>
      <c r="AD237" s="442">
        <v>0</v>
      </c>
      <c r="AE237" s="443">
        <v>0</v>
      </c>
      <c r="AF237" s="444">
        <f t="shared" si="80"/>
        <v>0</v>
      </c>
      <c r="AG237" s="469">
        <v>0</v>
      </c>
      <c r="AH237" s="470">
        <v>0</v>
      </c>
      <c r="AI237" s="445">
        <f t="shared" si="81"/>
        <v>0</v>
      </c>
      <c r="AJ237" s="446"/>
      <c r="AK237" s="443"/>
      <c r="AL237" s="444">
        <f t="shared" si="82"/>
        <v>0</v>
      </c>
      <c r="AM237" s="307"/>
      <c r="AN237" s="307"/>
      <c r="AO237" s="447">
        <f t="shared" si="83"/>
        <v>0</v>
      </c>
      <c r="AP237" s="448">
        <v>0</v>
      </c>
      <c r="AQ237" s="443">
        <v>0</v>
      </c>
      <c r="AR237" s="444">
        <f t="shared" si="84"/>
        <v>0</v>
      </c>
      <c r="AS237" s="473"/>
      <c r="AT237" s="474"/>
      <c r="AU237" s="441">
        <f t="shared" si="85"/>
        <v>0</v>
      </c>
      <c r="AV237" s="442">
        <v>0</v>
      </c>
      <c r="AW237" s="443">
        <v>0</v>
      </c>
      <c r="AX237" s="444">
        <f t="shared" si="86"/>
        <v>0</v>
      </c>
      <c r="AY237" s="469">
        <v>0</v>
      </c>
      <c r="AZ237" s="470">
        <v>0</v>
      </c>
      <c r="BA237" s="445">
        <f t="shared" si="87"/>
        <v>0</v>
      </c>
      <c r="BB237" s="442">
        <v>0</v>
      </c>
      <c r="BC237" s="443">
        <v>0</v>
      </c>
      <c r="BD237" s="444">
        <f t="shared" si="88"/>
        <v>0</v>
      </c>
      <c r="BE237" s="469">
        <v>0</v>
      </c>
      <c r="BF237" s="470">
        <v>0</v>
      </c>
      <c r="BG237" s="445">
        <f t="shared" si="89"/>
        <v>0</v>
      </c>
      <c r="BH237" s="442">
        <v>40</v>
      </c>
      <c r="BI237" s="443">
        <v>55391</v>
      </c>
      <c r="BJ237" s="444">
        <f t="shared" si="90"/>
        <v>1812836.648</v>
      </c>
      <c r="BK237" s="469">
        <v>37</v>
      </c>
      <c r="BL237" s="470">
        <v>54689</v>
      </c>
      <c r="BM237" s="445">
        <f t="shared" si="91"/>
        <v>1655621.9726</v>
      </c>
      <c r="BN237" s="442">
        <v>0</v>
      </c>
      <c r="BO237" s="443">
        <v>0</v>
      </c>
      <c r="BP237" s="444">
        <f t="shared" si="92"/>
        <v>0</v>
      </c>
      <c r="BQ237" s="469">
        <v>0</v>
      </c>
      <c r="BR237" s="470">
        <v>0</v>
      </c>
      <c r="BS237" s="445">
        <f t="shared" si="93"/>
        <v>0</v>
      </c>
      <c r="BT237" s="442"/>
      <c r="BU237" s="443"/>
      <c r="BV237" s="444">
        <f t="shared" si="94"/>
        <v>0</v>
      </c>
      <c r="BW237" s="469"/>
      <c r="BX237" s="470"/>
      <c r="BY237" s="449">
        <f t="shared" si="95"/>
        <v>0</v>
      </c>
    </row>
    <row r="238" spans="1:77" s="308" customFormat="1" ht="12.75" customHeight="1">
      <c r="A238" s="359" t="s">
        <v>308</v>
      </c>
      <c r="B238" s="360" t="s">
        <v>974</v>
      </c>
      <c r="C238" s="360"/>
      <c r="D238" s="361">
        <v>160481</v>
      </c>
      <c r="E238" s="362">
        <v>13</v>
      </c>
      <c r="F238" s="471">
        <v>0</v>
      </c>
      <c r="G238" s="472">
        <v>0</v>
      </c>
      <c r="H238" s="439">
        <f t="shared" si="72"/>
        <v>0</v>
      </c>
      <c r="I238" s="463"/>
      <c r="J238" s="464"/>
      <c r="K238" s="441">
        <f t="shared" si="73"/>
        <v>0</v>
      </c>
      <c r="L238" s="442">
        <v>0</v>
      </c>
      <c r="M238" s="443">
        <v>0</v>
      </c>
      <c r="N238" s="444">
        <f t="shared" si="74"/>
        <v>0</v>
      </c>
      <c r="O238" s="465">
        <v>0</v>
      </c>
      <c r="P238" s="466">
        <v>0</v>
      </c>
      <c r="Q238" s="445">
        <f t="shared" si="75"/>
        <v>0</v>
      </c>
      <c r="R238" s="442">
        <v>0</v>
      </c>
      <c r="S238" s="443">
        <v>0</v>
      </c>
      <c r="T238" s="444">
        <f t="shared" si="76"/>
        <v>0</v>
      </c>
      <c r="U238" s="306"/>
      <c r="V238" s="306"/>
      <c r="W238" s="441">
        <f t="shared" si="77"/>
        <v>0</v>
      </c>
      <c r="X238" s="442">
        <v>23</v>
      </c>
      <c r="Y238" s="443">
        <v>34271</v>
      </c>
      <c r="Z238" s="444">
        <f t="shared" si="78"/>
        <v>788233</v>
      </c>
      <c r="AA238" s="467">
        <v>30</v>
      </c>
      <c r="AB238" s="468">
        <v>34661</v>
      </c>
      <c r="AC238" s="445">
        <f t="shared" si="79"/>
        <v>1039830</v>
      </c>
      <c r="AD238" s="442">
        <v>1</v>
      </c>
      <c r="AE238" s="443">
        <v>25000</v>
      </c>
      <c r="AF238" s="444">
        <f t="shared" si="80"/>
        <v>25000</v>
      </c>
      <c r="AG238" s="469">
        <v>5</v>
      </c>
      <c r="AH238" s="470">
        <v>26200</v>
      </c>
      <c r="AI238" s="445">
        <f t="shared" si="81"/>
        <v>131000</v>
      </c>
      <c r="AJ238" s="446"/>
      <c r="AK238" s="443"/>
      <c r="AL238" s="444">
        <f t="shared" si="82"/>
        <v>0</v>
      </c>
      <c r="AM238" s="307"/>
      <c r="AN238" s="307"/>
      <c r="AO238" s="447">
        <f t="shared" si="83"/>
        <v>0</v>
      </c>
      <c r="AP238" s="448">
        <v>0</v>
      </c>
      <c r="AQ238" s="443">
        <v>0</v>
      </c>
      <c r="AR238" s="444">
        <f t="shared" si="84"/>
        <v>0</v>
      </c>
      <c r="AS238" s="473"/>
      <c r="AT238" s="474"/>
      <c r="AU238" s="441">
        <f t="shared" si="85"/>
        <v>0</v>
      </c>
      <c r="AV238" s="442">
        <v>0</v>
      </c>
      <c r="AW238" s="443">
        <v>0</v>
      </c>
      <c r="AX238" s="444">
        <f t="shared" si="86"/>
        <v>0</v>
      </c>
      <c r="AY238" s="469">
        <v>0</v>
      </c>
      <c r="AZ238" s="470">
        <v>0</v>
      </c>
      <c r="BA238" s="445">
        <f t="shared" si="87"/>
        <v>0</v>
      </c>
      <c r="BB238" s="442">
        <v>0</v>
      </c>
      <c r="BC238" s="443">
        <v>0</v>
      </c>
      <c r="BD238" s="444">
        <f t="shared" si="88"/>
        <v>0</v>
      </c>
      <c r="BE238" s="469">
        <v>1</v>
      </c>
      <c r="BF238" s="470">
        <v>64872</v>
      </c>
      <c r="BG238" s="445">
        <f t="shared" si="89"/>
        <v>53078.270400000001</v>
      </c>
      <c r="BH238" s="442">
        <v>17</v>
      </c>
      <c r="BI238" s="443">
        <v>52549</v>
      </c>
      <c r="BJ238" s="444">
        <f t="shared" si="90"/>
        <v>730925.06060000008</v>
      </c>
      <c r="BK238" s="469">
        <v>17</v>
      </c>
      <c r="BL238" s="470">
        <v>52147</v>
      </c>
      <c r="BM238" s="445">
        <f t="shared" si="91"/>
        <v>725333.48180000007</v>
      </c>
      <c r="BN238" s="442">
        <v>0</v>
      </c>
      <c r="BO238" s="443">
        <v>0</v>
      </c>
      <c r="BP238" s="444">
        <f t="shared" si="92"/>
        <v>0</v>
      </c>
      <c r="BQ238" s="469">
        <v>0</v>
      </c>
      <c r="BR238" s="470">
        <v>0</v>
      </c>
      <c r="BS238" s="445">
        <f t="shared" si="93"/>
        <v>0</v>
      </c>
      <c r="BT238" s="442"/>
      <c r="BU238" s="443"/>
      <c r="BV238" s="444">
        <f t="shared" si="94"/>
        <v>0</v>
      </c>
      <c r="BW238" s="469"/>
      <c r="BX238" s="470"/>
      <c r="BY238" s="449">
        <f t="shared" si="95"/>
        <v>0</v>
      </c>
    </row>
    <row r="239" spans="1:77" s="308" customFormat="1" ht="12.75" customHeight="1">
      <c r="A239" s="359" t="s">
        <v>308</v>
      </c>
      <c r="B239" s="360" t="s">
        <v>975</v>
      </c>
      <c r="C239" s="360"/>
      <c r="D239" s="361" t="s">
        <v>976</v>
      </c>
      <c r="E239" s="362">
        <v>14</v>
      </c>
      <c r="F239" s="471"/>
      <c r="G239" s="472"/>
      <c r="H239" s="439">
        <f t="shared" si="72"/>
        <v>0</v>
      </c>
      <c r="I239" s="463">
        <v>5</v>
      </c>
      <c r="J239" s="464">
        <v>40740</v>
      </c>
      <c r="K239" s="441">
        <f t="shared" si="73"/>
        <v>203700</v>
      </c>
      <c r="L239" s="442"/>
      <c r="M239" s="443"/>
      <c r="N239" s="444">
        <f t="shared" si="74"/>
        <v>0</v>
      </c>
      <c r="O239" s="465">
        <v>5</v>
      </c>
      <c r="P239" s="466">
        <v>38529</v>
      </c>
      <c r="Q239" s="445">
        <f t="shared" si="75"/>
        <v>192645</v>
      </c>
      <c r="R239" s="442"/>
      <c r="S239" s="443"/>
      <c r="T239" s="444">
        <f t="shared" si="76"/>
        <v>0</v>
      </c>
      <c r="U239" s="306">
        <v>9</v>
      </c>
      <c r="V239" s="306">
        <v>38626</v>
      </c>
      <c r="W239" s="441">
        <f t="shared" si="77"/>
        <v>347634</v>
      </c>
      <c r="X239" s="442"/>
      <c r="Y239" s="443"/>
      <c r="Z239" s="444">
        <f t="shared" si="78"/>
        <v>0</v>
      </c>
      <c r="AA239" s="467">
        <v>86</v>
      </c>
      <c r="AB239" s="468">
        <v>35161</v>
      </c>
      <c r="AC239" s="445">
        <f t="shared" si="79"/>
        <v>3023846</v>
      </c>
      <c r="AD239" s="442">
        <v>0</v>
      </c>
      <c r="AE239" s="443">
        <v>0</v>
      </c>
      <c r="AF239" s="444">
        <f t="shared" si="80"/>
        <v>0</v>
      </c>
      <c r="AG239" s="469"/>
      <c r="AH239" s="470"/>
      <c r="AI239" s="445">
        <f t="shared" si="81"/>
        <v>0</v>
      </c>
      <c r="AJ239" s="446">
        <v>73</v>
      </c>
      <c r="AK239" s="443">
        <v>37368</v>
      </c>
      <c r="AL239" s="444">
        <f t="shared" si="82"/>
        <v>2727864</v>
      </c>
      <c r="AM239" s="307">
        <v>35</v>
      </c>
      <c r="AN239" s="307">
        <v>33453</v>
      </c>
      <c r="AO239" s="447">
        <f t="shared" si="83"/>
        <v>1170855</v>
      </c>
      <c r="AP239" s="448"/>
      <c r="AQ239" s="443"/>
      <c r="AR239" s="444">
        <f t="shared" si="84"/>
        <v>0</v>
      </c>
      <c r="AS239" s="473">
        <v>93</v>
      </c>
      <c r="AT239" s="474">
        <v>54311</v>
      </c>
      <c r="AU239" s="441">
        <f t="shared" si="85"/>
        <v>4132665.1986000002</v>
      </c>
      <c r="AV239" s="442"/>
      <c r="AW239" s="443"/>
      <c r="AX239" s="444">
        <f t="shared" si="86"/>
        <v>0</v>
      </c>
      <c r="AY239" s="469">
        <v>16</v>
      </c>
      <c r="AZ239" s="470">
        <v>48297</v>
      </c>
      <c r="BA239" s="445">
        <f t="shared" si="87"/>
        <v>632265.68640000001</v>
      </c>
      <c r="BB239" s="442"/>
      <c r="BC239" s="443"/>
      <c r="BD239" s="444">
        <f t="shared" si="88"/>
        <v>0</v>
      </c>
      <c r="BE239" s="469">
        <v>29</v>
      </c>
      <c r="BF239" s="470">
        <v>52548</v>
      </c>
      <c r="BG239" s="445">
        <f t="shared" si="89"/>
        <v>1246848.4344000001</v>
      </c>
      <c r="BH239" s="442"/>
      <c r="BI239" s="443"/>
      <c r="BJ239" s="444">
        <f t="shared" si="90"/>
        <v>0</v>
      </c>
      <c r="BK239" s="469">
        <v>351</v>
      </c>
      <c r="BL239" s="470">
        <v>48279</v>
      </c>
      <c r="BM239" s="445">
        <f t="shared" si="91"/>
        <v>13865159.107800001</v>
      </c>
      <c r="BN239" s="442"/>
      <c r="BO239" s="443"/>
      <c r="BP239" s="444">
        <f t="shared" si="92"/>
        <v>0</v>
      </c>
      <c r="BQ239" s="469"/>
      <c r="BR239" s="470"/>
      <c r="BS239" s="445">
        <f t="shared" si="93"/>
        <v>0</v>
      </c>
      <c r="BT239" s="442">
        <v>427</v>
      </c>
      <c r="BU239" s="443">
        <v>49612</v>
      </c>
      <c r="BV239" s="444">
        <f t="shared" si="94"/>
        <v>17333013.8968</v>
      </c>
      <c r="BW239" s="469">
        <v>489</v>
      </c>
      <c r="BX239" s="470">
        <v>49680</v>
      </c>
      <c r="BY239" s="449">
        <f t="shared" si="95"/>
        <v>19876958.063999999</v>
      </c>
    </row>
    <row r="240" spans="1:77" s="308" customFormat="1" ht="12.75" customHeight="1">
      <c r="A240" s="365" t="s">
        <v>340</v>
      </c>
      <c r="B240" s="366" t="s">
        <v>984</v>
      </c>
      <c r="C240" s="366"/>
      <c r="D240" s="367">
        <v>163286</v>
      </c>
      <c r="E240" s="368">
        <v>1</v>
      </c>
      <c r="F240" s="369">
        <v>385</v>
      </c>
      <c r="G240" s="370">
        <v>131382.45973999999</v>
      </c>
      <c r="H240" s="439">
        <f t="shared" si="72"/>
        <v>50582246.999899998</v>
      </c>
      <c r="I240" s="311">
        <v>380</v>
      </c>
      <c r="J240" s="311">
        <v>130142</v>
      </c>
      <c r="K240" s="441">
        <f t="shared" si="73"/>
        <v>49453960</v>
      </c>
      <c r="L240" s="442">
        <v>313</v>
      </c>
      <c r="M240" s="443">
        <v>93114.568700000003</v>
      </c>
      <c r="N240" s="444">
        <f t="shared" si="74"/>
        <v>29144860.0031</v>
      </c>
      <c r="O240" s="307">
        <v>310</v>
      </c>
      <c r="P240" s="307">
        <v>93505</v>
      </c>
      <c r="Q240" s="445">
        <f t="shared" si="75"/>
        <v>28986550</v>
      </c>
      <c r="R240" s="442">
        <v>264</v>
      </c>
      <c r="S240" s="443">
        <v>81959</v>
      </c>
      <c r="T240" s="444">
        <f t="shared" si="76"/>
        <v>21637176</v>
      </c>
      <c r="U240" s="306">
        <v>255</v>
      </c>
      <c r="V240" s="306">
        <v>81572</v>
      </c>
      <c r="W240" s="441">
        <f t="shared" si="77"/>
        <v>20800860</v>
      </c>
      <c r="X240" s="442">
        <v>12</v>
      </c>
      <c r="Y240" s="443">
        <v>56951.666665999997</v>
      </c>
      <c r="Z240" s="444">
        <f t="shared" si="78"/>
        <v>683419.99999199994</v>
      </c>
      <c r="AA240" s="307">
        <v>11</v>
      </c>
      <c r="AB240" s="307">
        <v>57027</v>
      </c>
      <c r="AC240" s="445">
        <f t="shared" si="79"/>
        <v>627297</v>
      </c>
      <c r="AD240" s="442">
        <v>169</v>
      </c>
      <c r="AE240" s="443">
        <v>63165.535239999997</v>
      </c>
      <c r="AF240" s="444">
        <f t="shared" si="80"/>
        <v>10674975.455559999</v>
      </c>
      <c r="AG240" s="307"/>
      <c r="AH240" s="307"/>
      <c r="AI240" s="445">
        <f t="shared" si="81"/>
        <v>0</v>
      </c>
      <c r="AJ240" s="446"/>
      <c r="AK240" s="443"/>
      <c r="AL240" s="444">
        <f t="shared" si="82"/>
        <v>0</v>
      </c>
      <c r="AM240" s="307"/>
      <c r="AN240" s="307"/>
      <c r="AO240" s="447">
        <f t="shared" si="83"/>
        <v>0</v>
      </c>
      <c r="AP240" s="448">
        <v>272</v>
      </c>
      <c r="AQ240" s="443">
        <v>170474.36029000001</v>
      </c>
      <c r="AR240" s="444">
        <f t="shared" si="84"/>
        <v>37939137.072283626</v>
      </c>
      <c r="AS240" s="307">
        <v>273</v>
      </c>
      <c r="AT240" s="307">
        <v>171577</v>
      </c>
      <c r="AU240" s="441">
        <f t="shared" si="85"/>
        <v>38324914.282200001</v>
      </c>
      <c r="AV240" s="442">
        <v>100</v>
      </c>
      <c r="AW240" s="443">
        <v>120366.54</v>
      </c>
      <c r="AX240" s="444">
        <f t="shared" si="86"/>
        <v>9848390.3027999997</v>
      </c>
      <c r="AY240" s="307">
        <v>94</v>
      </c>
      <c r="AZ240" s="307">
        <v>119753</v>
      </c>
      <c r="BA240" s="445">
        <f t="shared" si="87"/>
        <v>9210299.0324000008</v>
      </c>
      <c r="BB240" s="371">
        <v>47</v>
      </c>
      <c r="BC240" s="372">
        <v>105151.8085</v>
      </c>
      <c r="BD240" s="444">
        <f t="shared" si="88"/>
        <v>4043654.8565909001</v>
      </c>
      <c r="BE240" s="307">
        <v>45</v>
      </c>
      <c r="BF240" s="307">
        <v>106849</v>
      </c>
      <c r="BG240" s="445">
        <f t="shared" si="89"/>
        <v>3934073.3310000002</v>
      </c>
      <c r="BH240" s="371">
        <v>9</v>
      </c>
      <c r="BI240" s="372">
        <v>78719.111099999995</v>
      </c>
      <c r="BJ240" s="444">
        <f t="shared" si="90"/>
        <v>579671.79031817999</v>
      </c>
      <c r="BK240" s="307">
        <v>7</v>
      </c>
      <c r="BL240" s="307"/>
      <c r="BM240" s="445">
        <f t="shared" si="91"/>
        <v>0</v>
      </c>
      <c r="BN240" s="371">
        <v>47</v>
      </c>
      <c r="BO240" s="372">
        <v>65452.553200000002</v>
      </c>
      <c r="BP240" s="444">
        <f t="shared" si="92"/>
        <v>2517004.1143272803</v>
      </c>
      <c r="BQ240" s="307"/>
      <c r="BR240" s="307"/>
      <c r="BS240" s="445">
        <f t="shared" si="93"/>
        <v>0</v>
      </c>
      <c r="BT240" s="371"/>
      <c r="BU240" s="372"/>
      <c r="BV240" s="444">
        <f t="shared" si="94"/>
        <v>0</v>
      </c>
      <c r="BW240" s="307"/>
      <c r="BX240" s="307"/>
      <c r="BY240" s="449">
        <f t="shared" si="95"/>
        <v>0</v>
      </c>
    </row>
    <row r="241" spans="1:77" s="308" customFormat="1" ht="12.75" customHeight="1">
      <c r="A241" s="365" t="s">
        <v>340</v>
      </c>
      <c r="B241" s="366" t="s">
        <v>985</v>
      </c>
      <c r="C241" s="366"/>
      <c r="D241" s="367">
        <v>163268</v>
      </c>
      <c r="E241" s="368">
        <v>2</v>
      </c>
      <c r="F241" s="369">
        <v>104</v>
      </c>
      <c r="G241" s="370">
        <v>105491.6923</v>
      </c>
      <c r="H241" s="439">
        <f t="shared" si="72"/>
        <v>10971135.999199999</v>
      </c>
      <c r="I241" s="311">
        <v>105</v>
      </c>
      <c r="J241" s="311">
        <v>104350</v>
      </c>
      <c r="K241" s="441">
        <f t="shared" si="73"/>
        <v>10956750</v>
      </c>
      <c r="L241" s="442">
        <v>126</v>
      </c>
      <c r="M241" s="443">
        <v>77593.936499999996</v>
      </c>
      <c r="N241" s="444">
        <f t="shared" si="74"/>
        <v>9776835.9989999998</v>
      </c>
      <c r="O241" s="307">
        <v>130</v>
      </c>
      <c r="P241" s="307">
        <v>77486</v>
      </c>
      <c r="Q241" s="445">
        <f t="shared" si="75"/>
        <v>10073180</v>
      </c>
      <c r="R241" s="442">
        <v>97</v>
      </c>
      <c r="S241" s="443">
        <v>67045.546390000003</v>
      </c>
      <c r="T241" s="444">
        <f t="shared" si="76"/>
        <v>6503417.9998300001</v>
      </c>
      <c r="U241" s="306">
        <v>90</v>
      </c>
      <c r="V241" s="306">
        <v>66479</v>
      </c>
      <c r="W241" s="441">
        <f t="shared" si="77"/>
        <v>5983110</v>
      </c>
      <c r="X241" s="442">
        <v>8</v>
      </c>
      <c r="Y241" s="443">
        <v>47945.875</v>
      </c>
      <c r="Z241" s="444">
        <f t="shared" si="78"/>
        <v>383567</v>
      </c>
      <c r="AA241" s="307">
        <v>7</v>
      </c>
      <c r="AB241" s="307">
        <v>48332</v>
      </c>
      <c r="AC241" s="445">
        <f t="shared" si="79"/>
        <v>338324</v>
      </c>
      <c r="AD241" s="442">
        <v>64</v>
      </c>
      <c r="AE241" s="443">
        <v>52192.296875</v>
      </c>
      <c r="AF241" s="444">
        <f t="shared" si="80"/>
        <v>3340307</v>
      </c>
      <c r="AG241" s="307"/>
      <c r="AH241" s="307"/>
      <c r="AI241" s="445">
        <f t="shared" si="81"/>
        <v>0</v>
      </c>
      <c r="AJ241" s="446"/>
      <c r="AK241" s="443"/>
      <c r="AL241" s="444">
        <f t="shared" si="82"/>
        <v>0</v>
      </c>
      <c r="AM241" s="307"/>
      <c r="AN241" s="307"/>
      <c r="AO241" s="447">
        <f t="shared" si="83"/>
        <v>0</v>
      </c>
      <c r="AP241" s="448">
        <v>43</v>
      </c>
      <c r="AQ241" s="443">
        <v>160042</v>
      </c>
      <c r="AR241" s="444">
        <f t="shared" si="84"/>
        <v>5630693.6692000004</v>
      </c>
      <c r="AS241" s="307">
        <v>45</v>
      </c>
      <c r="AT241" s="307">
        <v>162036</v>
      </c>
      <c r="AU241" s="441">
        <f t="shared" si="85"/>
        <v>5966003.4840000002</v>
      </c>
      <c r="AV241" s="442">
        <v>22</v>
      </c>
      <c r="AW241" s="443">
        <v>100358.5</v>
      </c>
      <c r="AX241" s="444">
        <f t="shared" si="86"/>
        <v>1806493.1434000002</v>
      </c>
      <c r="AY241" s="307">
        <v>20</v>
      </c>
      <c r="AZ241" s="307">
        <v>96641</v>
      </c>
      <c r="BA241" s="445">
        <f t="shared" si="87"/>
        <v>1581433.324</v>
      </c>
      <c r="BB241" s="371">
        <v>6</v>
      </c>
      <c r="BC241" s="372">
        <v>87481</v>
      </c>
      <c r="BD241" s="444">
        <f t="shared" si="88"/>
        <v>429461.72520000004</v>
      </c>
      <c r="BE241" s="307">
        <v>5</v>
      </c>
      <c r="BF241" s="307">
        <v>82063</v>
      </c>
      <c r="BG241" s="445">
        <f t="shared" si="89"/>
        <v>335719.73300000001</v>
      </c>
      <c r="BH241" s="371">
        <v>5</v>
      </c>
      <c r="BI241" s="372">
        <v>69249</v>
      </c>
      <c r="BJ241" s="444">
        <f t="shared" si="90"/>
        <v>283297.65899999999</v>
      </c>
      <c r="BK241" s="307">
        <v>5</v>
      </c>
      <c r="BL241" s="307"/>
      <c r="BM241" s="445">
        <f t="shared" si="91"/>
        <v>0</v>
      </c>
      <c r="BN241" s="371">
        <v>5</v>
      </c>
      <c r="BO241" s="372">
        <v>66097</v>
      </c>
      <c r="BP241" s="444">
        <f t="shared" si="92"/>
        <v>270402.82699999999</v>
      </c>
      <c r="BQ241" s="307"/>
      <c r="BR241" s="307"/>
      <c r="BS241" s="445">
        <f t="shared" si="93"/>
        <v>0</v>
      </c>
      <c r="BT241" s="371"/>
      <c r="BU241" s="372"/>
      <c r="BV241" s="444">
        <f t="shared" si="94"/>
        <v>0</v>
      </c>
      <c r="BW241" s="307"/>
      <c r="BX241" s="307"/>
      <c r="BY241" s="449">
        <f t="shared" si="95"/>
        <v>0</v>
      </c>
    </row>
    <row r="242" spans="1:77" s="308" customFormat="1" ht="12.75" customHeight="1">
      <c r="A242" s="365" t="s">
        <v>340</v>
      </c>
      <c r="B242" s="396" t="s">
        <v>986</v>
      </c>
      <c r="C242" s="526" t="s">
        <v>1116</v>
      </c>
      <c r="D242" s="367">
        <v>163453</v>
      </c>
      <c r="E242" s="368">
        <v>3</v>
      </c>
      <c r="F242" s="369">
        <v>23</v>
      </c>
      <c r="G242" s="370">
        <v>100860.79313000001</v>
      </c>
      <c r="H242" s="439">
        <f t="shared" si="72"/>
        <v>2319798.24199</v>
      </c>
      <c r="I242" s="311">
        <v>22</v>
      </c>
      <c r="J242" s="311">
        <v>99993</v>
      </c>
      <c r="K242" s="441">
        <f t="shared" si="73"/>
        <v>2199846</v>
      </c>
      <c r="L242" s="442">
        <v>98</v>
      </c>
      <c r="M242" s="443">
        <v>78900.418699999995</v>
      </c>
      <c r="N242" s="444">
        <f t="shared" si="74"/>
        <v>7732241.0325999996</v>
      </c>
      <c r="O242" s="307">
        <v>97</v>
      </c>
      <c r="P242" s="307">
        <v>79290</v>
      </c>
      <c r="Q242" s="445">
        <f t="shared" si="75"/>
        <v>7691130</v>
      </c>
      <c r="R242" s="442">
        <v>105</v>
      </c>
      <c r="S242" s="443">
        <v>66854.819000000003</v>
      </c>
      <c r="T242" s="444">
        <f t="shared" si="76"/>
        <v>7019755.9950000001</v>
      </c>
      <c r="U242" s="306">
        <v>102</v>
      </c>
      <c r="V242" s="306">
        <v>67450</v>
      </c>
      <c r="W242" s="441">
        <f t="shared" si="77"/>
        <v>6879900</v>
      </c>
      <c r="X242" s="442">
        <v>6</v>
      </c>
      <c r="Y242" s="443">
        <v>52189.833333299997</v>
      </c>
      <c r="Z242" s="444">
        <f t="shared" si="78"/>
        <v>313138.9999998</v>
      </c>
      <c r="AA242" s="307">
        <v>4</v>
      </c>
      <c r="AB242" s="307">
        <v>48877</v>
      </c>
      <c r="AC242" s="445">
        <f t="shared" si="79"/>
        <v>195508</v>
      </c>
      <c r="AD242" s="442">
        <v>158</v>
      </c>
      <c r="AE242" s="443">
        <v>43609.765820000001</v>
      </c>
      <c r="AF242" s="444">
        <f t="shared" si="80"/>
        <v>6890342.9995600004</v>
      </c>
      <c r="AG242" s="307"/>
      <c r="AH242" s="307"/>
      <c r="AI242" s="445">
        <f t="shared" si="81"/>
        <v>0</v>
      </c>
      <c r="AJ242" s="446"/>
      <c r="AK242" s="443"/>
      <c r="AL242" s="444">
        <f t="shared" si="82"/>
        <v>0</v>
      </c>
      <c r="AM242" s="307"/>
      <c r="AN242" s="307"/>
      <c r="AO242" s="447">
        <f t="shared" si="83"/>
        <v>0</v>
      </c>
      <c r="AP242" s="448">
        <v>21</v>
      </c>
      <c r="AQ242" s="443">
        <v>121894.47619</v>
      </c>
      <c r="AR242" s="444">
        <f t="shared" si="84"/>
        <v>2094415.2687918181</v>
      </c>
      <c r="AS242" s="307">
        <v>22</v>
      </c>
      <c r="AT242" s="307">
        <v>124013</v>
      </c>
      <c r="AU242" s="441">
        <f t="shared" si="85"/>
        <v>2232283.6052000001</v>
      </c>
      <c r="AV242" s="442">
        <v>18</v>
      </c>
      <c r="AW242" s="443">
        <v>107791.94444000001</v>
      </c>
      <c r="AX242" s="444">
        <f t="shared" si="86"/>
        <v>1587516.6409345441</v>
      </c>
      <c r="AY242" s="307">
        <v>26</v>
      </c>
      <c r="AZ242" s="307">
        <v>103767</v>
      </c>
      <c r="BA242" s="445">
        <f t="shared" si="87"/>
        <v>2207456.1444000001</v>
      </c>
      <c r="BB242" s="371">
        <v>5</v>
      </c>
      <c r="BC242" s="372">
        <v>88683.4</v>
      </c>
      <c r="BD242" s="444">
        <f t="shared" si="88"/>
        <v>362803.78940000001</v>
      </c>
      <c r="BE242" s="307">
        <v>6</v>
      </c>
      <c r="BF242" s="307">
        <v>79861</v>
      </c>
      <c r="BG242" s="445">
        <f t="shared" si="89"/>
        <v>392053.62119999999</v>
      </c>
      <c r="BH242" s="371"/>
      <c r="BI242" s="372"/>
      <c r="BJ242" s="444">
        <f t="shared" si="90"/>
        <v>0</v>
      </c>
      <c r="BK242" s="307"/>
      <c r="BL242" s="307"/>
      <c r="BM242" s="445">
        <f t="shared" si="91"/>
        <v>0</v>
      </c>
      <c r="BN242" s="371">
        <v>3</v>
      </c>
      <c r="BO242" s="372">
        <v>64570.333299999998</v>
      </c>
      <c r="BP242" s="444">
        <f t="shared" si="92"/>
        <v>158494.34011818</v>
      </c>
      <c r="BQ242" s="307"/>
      <c r="BR242" s="307"/>
      <c r="BS242" s="445">
        <f t="shared" si="93"/>
        <v>0</v>
      </c>
      <c r="BT242" s="371"/>
      <c r="BU242" s="372"/>
      <c r="BV242" s="444">
        <f t="shared" si="94"/>
        <v>0</v>
      </c>
      <c r="BW242" s="307"/>
      <c r="BX242" s="307"/>
      <c r="BY242" s="449">
        <f t="shared" si="95"/>
        <v>0</v>
      </c>
    </row>
    <row r="243" spans="1:77" s="308" customFormat="1" ht="12.75" customHeight="1">
      <c r="A243" s="365" t="s">
        <v>340</v>
      </c>
      <c r="B243" s="366" t="s">
        <v>987</v>
      </c>
      <c r="C243" s="366"/>
      <c r="D243" s="367">
        <v>164076</v>
      </c>
      <c r="E243" s="368">
        <v>3</v>
      </c>
      <c r="F243" s="369">
        <v>147</v>
      </c>
      <c r="G243" s="370">
        <v>90325.806389999998</v>
      </c>
      <c r="H243" s="439">
        <f t="shared" si="72"/>
        <v>13277893.53933</v>
      </c>
      <c r="I243" s="311">
        <v>159</v>
      </c>
      <c r="J243" s="311">
        <v>88846</v>
      </c>
      <c r="K243" s="441">
        <f t="shared" si="73"/>
        <v>14126514</v>
      </c>
      <c r="L243" s="442">
        <v>153</v>
      </c>
      <c r="M243" s="443">
        <v>72991.967300000004</v>
      </c>
      <c r="N243" s="444">
        <f t="shared" si="74"/>
        <v>11167770.9969</v>
      </c>
      <c r="O243" s="307">
        <v>151</v>
      </c>
      <c r="P243" s="307">
        <v>71414</v>
      </c>
      <c r="Q243" s="445">
        <f t="shared" si="75"/>
        <v>10783514</v>
      </c>
      <c r="R243" s="442">
        <v>277</v>
      </c>
      <c r="S243" s="443">
        <v>61539.815900000001</v>
      </c>
      <c r="T243" s="444">
        <f t="shared" si="76"/>
        <v>17046529.004300002</v>
      </c>
      <c r="U243" s="306">
        <v>289</v>
      </c>
      <c r="V243" s="306">
        <v>61191</v>
      </c>
      <c r="W243" s="441">
        <f t="shared" si="77"/>
        <v>17684199</v>
      </c>
      <c r="X243" s="442">
        <v>31</v>
      </c>
      <c r="Y243" s="443">
        <v>49598.967700000001</v>
      </c>
      <c r="Z243" s="444">
        <f t="shared" si="78"/>
        <v>1537567.9987000001</v>
      </c>
      <c r="AA243" s="307">
        <v>21</v>
      </c>
      <c r="AB243" s="307">
        <v>49596</v>
      </c>
      <c r="AC243" s="445">
        <f t="shared" si="79"/>
        <v>1041516</v>
      </c>
      <c r="AD243" s="442">
        <v>169</v>
      </c>
      <c r="AE243" s="443">
        <v>40478.372799999997</v>
      </c>
      <c r="AF243" s="444">
        <f t="shared" si="80"/>
        <v>6840845.0031999992</v>
      </c>
      <c r="AG243" s="307"/>
      <c r="AH243" s="307"/>
      <c r="AI243" s="445">
        <f t="shared" si="81"/>
        <v>0</v>
      </c>
      <c r="AJ243" s="446"/>
      <c r="AK243" s="443"/>
      <c r="AL243" s="444">
        <f t="shared" si="82"/>
        <v>0</v>
      </c>
      <c r="AM243" s="307"/>
      <c r="AN243" s="307"/>
      <c r="AO243" s="447">
        <f t="shared" si="83"/>
        <v>0</v>
      </c>
      <c r="AP243" s="448">
        <v>33</v>
      </c>
      <c r="AQ243" s="443">
        <v>109533.51519999999</v>
      </c>
      <c r="AR243" s="444">
        <f t="shared" si="84"/>
        <v>2957470.6305091199</v>
      </c>
      <c r="AS243" s="307">
        <v>30</v>
      </c>
      <c r="AT243" s="307">
        <v>110031</v>
      </c>
      <c r="AU243" s="441">
        <f t="shared" si="85"/>
        <v>2700820.926</v>
      </c>
      <c r="AV243" s="442">
        <v>8</v>
      </c>
      <c r="AW243" s="443">
        <v>102875.25</v>
      </c>
      <c r="AX243" s="444">
        <f t="shared" si="86"/>
        <v>673380.23640000005</v>
      </c>
      <c r="AY243" s="307">
        <v>9</v>
      </c>
      <c r="AZ243" s="307">
        <v>107040</v>
      </c>
      <c r="BA243" s="445">
        <f t="shared" si="87"/>
        <v>788221.152</v>
      </c>
      <c r="BB243" s="371"/>
      <c r="BC243" s="372"/>
      <c r="BD243" s="444">
        <f t="shared" si="88"/>
        <v>0</v>
      </c>
      <c r="BE243" s="307"/>
      <c r="BF243" s="307">
        <v>83750</v>
      </c>
      <c r="BG243" s="445">
        <f t="shared" si="89"/>
        <v>0</v>
      </c>
      <c r="BH243" s="371"/>
      <c r="BI243" s="372"/>
      <c r="BJ243" s="444">
        <f t="shared" si="90"/>
        <v>0</v>
      </c>
      <c r="BK243" s="307"/>
      <c r="BL243" s="307"/>
      <c r="BM243" s="445">
        <f t="shared" si="91"/>
        <v>0</v>
      </c>
      <c r="BN243" s="371"/>
      <c r="BO243" s="372"/>
      <c r="BP243" s="444">
        <f t="shared" si="92"/>
        <v>0</v>
      </c>
      <c r="BQ243" s="307"/>
      <c r="BR243" s="307"/>
      <c r="BS243" s="445">
        <f t="shared" si="93"/>
        <v>0</v>
      </c>
      <c r="BT243" s="371"/>
      <c r="BU243" s="372"/>
      <c r="BV243" s="444">
        <f t="shared" si="94"/>
        <v>0</v>
      </c>
      <c r="BW243" s="307"/>
      <c r="BX243" s="307"/>
      <c r="BY243" s="449">
        <f t="shared" si="95"/>
        <v>0</v>
      </c>
    </row>
    <row r="244" spans="1:77" s="308" customFormat="1" ht="12.75" customHeight="1">
      <c r="A244" s="365" t="s">
        <v>340</v>
      </c>
      <c r="B244" s="366" t="s">
        <v>988</v>
      </c>
      <c r="C244" s="366"/>
      <c r="D244" s="367">
        <v>162007</v>
      </c>
      <c r="E244" s="368">
        <v>4</v>
      </c>
      <c r="F244" s="369">
        <v>28</v>
      </c>
      <c r="G244" s="370">
        <v>87932.214000000007</v>
      </c>
      <c r="H244" s="439">
        <f t="shared" si="72"/>
        <v>2462101.9920000001</v>
      </c>
      <c r="I244" s="311">
        <v>26</v>
      </c>
      <c r="J244" s="311">
        <v>88136</v>
      </c>
      <c r="K244" s="441">
        <f t="shared" si="73"/>
        <v>2291536</v>
      </c>
      <c r="L244" s="442">
        <v>27</v>
      </c>
      <c r="M244" s="443">
        <v>71716.777770000001</v>
      </c>
      <c r="N244" s="444">
        <f t="shared" si="74"/>
        <v>1936352.99979</v>
      </c>
      <c r="O244" s="307">
        <v>32</v>
      </c>
      <c r="P244" s="307">
        <v>71769</v>
      </c>
      <c r="Q244" s="445">
        <f t="shared" si="75"/>
        <v>2296608</v>
      </c>
      <c r="R244" s="442">
        <v>89</v>
      </c>
      <c r="S244" s="443">
        <v>62446.370799999997</v>
      </c>
      <c r="T244" s="444">
        <f t="shared" si="76"/>
        <v>5557727.0011999998</v>
      </c>
      <c r="U244" s="306">
        <v>90</v>
      </c>
      <c r="V244" s="306">
        <v>62422</v>
      </c>
      <c r="W244" s="441">
        <f t="shared" si="77"/>
        <v>5617980</v>
      </c>
      <c r="X244" s="442">
        <v>8</v>
      </c>
      <c r="Y244" s="443">
        <v>58829</v>
      </c>
      <c r="Z244" s="444">
        <f t="shared" si="78"/>
        <v>470632</v>
      </c>
      <c r="AA244" s="307">
        <v>7</v>
      </c>
      <c r="AB244" s="307">
        <v>57757</v>
      </c>
      <c r="AC244" s="445">
        <f t="shared" si="79"/>
        <v>404299</v>
      </c>
      <c r="AD244" s="442">
        <v>33</v>
      </c>
      <c r="AE244" s="443">
        <v>54131</v>
      </c>
      <c r="AF244" s="444">
        <f t="shared" si="80"/>
        <v>1786323</v>
      </c>
      <c r="AG244" s="307"/>
      <c r="AH244" s="307"/>
      <c r="AI244" s="445">
        <f t="shared" si="81"/>
        <v>0</v>
      </c>
      <c r="AJ244" s="446"/>
      <c r="AK244" s="443"/>
      <c r="AL244" s="444">
        <f t="shared" si="82"/>
        <v>0</v>
      </c>
      <c r="AM244" s="307"/>
      <c r="AN244" s="307"/>
      <c r="AO244" s="447">
        <f t="shared" si="83"/>
        <v>0</v>
      </c>
      <c r="AP244" s="448">
        <v>6</v>
      </c>
      <c r="AQ244" s="443">
        <v>107994.5</v>
      </c>
      <c r="AR244" s="444">
        <f t="shared" si="84"/>
        <v>530166.59940000006</v>
      </c>
      <c r="AS244" s="307">
        <v>6</v>
      </c>
      <c r="AT244" s="307">
        <v>108995</v>
      </c>
      <c r="AU244" s="441">
        <f t="shared" si="85"/>
        <v>535078.25400000007</v>
      </c>
      <c r="AV244" s="442">
        <v>5</v>
      </c>
      <c r="AW244" s="443">
        <v>91164.800000000003</v>
      </c>
      <c r="AX244" s="444">
        <f t="shared" si="86"/>
        <v>372955.19680000003</v>
      </c>
      <c r="AY244" s="307">
        <v>5</v>
      </c>
      <c r="AZ244" s="307">
        <v>92165</v>
      </c>
      <c r="BA244" s="445">
        <f t="shared" si="87"/>
        <v>377047.01500000001</v>
      </c>
      <c r="BB244" s="371">
        <v>5</v>
      </c>
      <c r="BC244" s="372">
        <v>83644.399999999994</v>
      </c>
      <c r="BD244" s="444">
        <f t="shared" si="88"/>
        <v>342189.24040000001</v>
      </c>
      <c r="BE244" s="307">
        <v>5</v>
      </c>
      <c r="BF244" s="307">
        <v>78176</v>
      </c>
      <c r="BG244" s="445">
        <f t="shared" si="89"/>
        <v>319818.016</v>
      </c>
      <c r="BH244" s="371"/>
      <c r="BI244" s="372"/>
      <c r="BJ244" s="444">
        <f t="shared" si="90"/>
        <v>0</v>
      </c>
      <c r="BK244" s="307"/>
      <c r="BL244" s="307"/>
      <c r="BM244" s="445">
        <f t="shared" si="91"/>
        <v>0</v>
      </c>
      <c r="BN244" s="371"/>
      <c r="BO244" s="372"/>
      <c r="BP244" s="444">
        <f t="shared" si="92"/>
        <v>0</v>
      </c>
      <c r="BQ244" s="307">
        <v>1</v>
      </c>
      <c r="BR244" s="307">
        <v>78762</v>
      </c>
      <c r="BS244" s="445">
        <f t="shared" si="93"/>
        <v>64443.068400000004</v>
      </c>
      <c r="BT244" s="371"/>
      <c r="BU244" s="372"/>
      <c r="BV244" s="444">
        <f t="shared" si="94"/>
        <v>0</v>
      </c>
      <c r="BW244" s="307"/>
      <c r="BX244" s="307"/>
      <c r="BY244" s="449">
        <f t="shared" si="95"/>
        <v>0</v>
      </c>
    </row>
    <row r="245" spans="1:77" s="308" customFormat="1" ht="12.75" customHeight="1">
      <c r="A245" s="365" t="s">
        <v>340</v>
      </c>
      <c r="B245" s="397" t="s">
        <v>989</v>
      </c>
      <c r="C245" s="527" t="s">
        <v>1072</v>
      </c>
      <c r="D245" s="367">
        <v>162283</v>
      </c>
      <c r="E245" s="368">
        <v>4</v>
      </c>
      <c r="F245" s="369">
        <v>17</v>
      </c>
      <c r="G245" s="370">
        <v>89769.411800000002</v>
      </c>
      <c r="H245" s="439">
        <f t="shared" si="72"/>
        <v>1526080.0005999999</v>
      </c>
      <c r="I245" s="311">
        <v>21</v>
      </c>
      <c r="J245" s="311">
        <v>86117</v>
      </c>
      <c r="K245" s="441">
        <f t="shared" si="73"/>
        <v>1808457</v>
      </c>
      <c r="L245" s="442">
        <v>22</v>
      </c>
      <c r="M245" s="443">
        <v>68028.044999999998</v>
      </c>
      <c r="N245" s="444">
        <f t="shared" si="74"/>
        <v>1496616.99</v>
      </c>
      <c r="O245" s="307">
        <v>27</v>
      </c>
      <c r="P245" s="307">
        <v>66693</v>
      </c>
      <c r="Q245" s="445">
        <f t="shared" si="75"/>
        <v>1800711</v>
      </c>
      <c r="R245" s="442">
        <v>83</v>
      </c>
      <c r="S245" s="443">
        <v>60638.650999999998</v>
      </c>
      <c r="T245" s="444">
        <f t="shared" si="76"/>
        <v>5033008.0329999998</v>
      </c>
      <c r="U245" s="306">
        <v>74</v>
      </c>
      <c r="V245" s="306">
        <v>60198</v>
      </c>
      <c r="W245" s="441">
        <f t="shared" si="77"/>
        <v>4454652</v>
      </c>
      <c r="X245" s="442">
        <v>3</v>
      </c>
      <c r="Y245" s="443">
        <v>53221</v>
      </c>
      <c r="Z245" s="444">
        <f t="shared" si="78"/>
        <v>159663</v>
      </c>
      <c r="AA245" s="307">
        <v>2</v>
      </c>
      <c r="AB245" s="307">
        <v>55596</v>
      </c>
      <c r="AC245" s="445">
        <f t="shared" si="79"/>
        <v>111192</v>
      </c>
      <c r="AD245" s="442">
        <v>16</v>
      </c>
      <c r="AE245" s="443">
        <v>45593.0625</v>
      </c>
      <c r="AF245" s="444">
        <f t="shared" si="80"/>
        <v>729489</v>
      </c>
      <c r="AG245" s="307"/>
      <c r="AH245" s="307"/>
      <c r="AI245" s="445">
        <f t="shared" si="81"/>
        <v>0</v>
      </c>
      <c r="AJ245" s="446"/>
      <c r="AK245" s="443"/>
      <c r="AL245" s="444">
        <f t="shared" si="82"/>
        <v>0</v>
      </c>
      <c r="AM245" s="307"/>
      <c r="AN245" s="307"/>
      <c r="AO245" s="447">
        <f t="shared" si="83"/>
        <v>0</v>
      </c>
      <c r="AP245" s="448">
        <v>3</v>
      </c>
      <c r="AQ245" s="443">
        <v>111872.33332999999</v>
      </c>
      <c r="AR245" s="444">
        <f t="shared" si="84"/>
        <v>274601.82939181797</v>
      </c>
      <c r="AS245" s="307">
        <v>3</v>
      </c>
      <c r="AT245" s="307">
        <v>111872</v>
      </c>
      <c r="AU245" s="441">
        <f t="shared" si="85"/>
        <v>274601.01120000001</v>
      </c>
      <c r="AV245" s="442">
        <v>3</v>
      </c>
      <c r="AW245" s="443">
        <v>85529</v>
      </c>
      <c r="AX245" s="444">
        <f t="shared" si="86"/>
        <v>209939.4834</v>
      </c>
      <c r="AY245" s="307">
        <v>2</v>
      </c>
      <c r="AZ245" s="307">
        <v>82178</v>
      </c>
      <c r="BA245" s="445">
        <f t="shared" si="87"/>
        <v>134476.07920000001</v>
      </c>
      <c r="BB245" s="371">
        <v>10</v>
      </c>
      <c r="BC245" s="372">
        <v>79132.7</v>
      </c>
      <c r="BD245" s="444">
        <f t="shared" si="88"/>
        <v>647463.75140000007</v>
      </c>
      <c r="BE245" s="307">
        <v>8</v>
      </c>
      <c r="BF245" s="307">
        <v>79927</v>
      </c>
      <c r="BG245" s="445">
        <f t="shared" si="89"/>
        <v>523170.17120000004</v>
      </c>
      <c r="BH245" s="371"/>
      <c r="BI245" s="372"/>
      <c r="BJ245" s="444">
        <f t="shared" si="90"/>
        <v>0</v>
      </c>
      <c r="BK245" s="307"/>
      <c r="BL245" s="307"/>
      <c r="BM245" s="445">
        <f t="shared" si="91"/>
        <v>0</v>
      </c>
      <c r="BN245" s="371">
        <v>1</v>
      </c>
      <c r="BO245" s="372">
        <v>75000</v>
      </c>
      <c r="BP245" s="444">
        <f t="shared" si="92"/>
        <v>61365</v>
      </c>
      <c r="BQ245" s="307"/>
      <c r="BR245" s="307"/>
      <c r="BS245" s="445">
        <f t="shared" si="93"/>
        <v>0</v>
      </c>
      <c r="BT245" s="371"/>
      <c r="BU245" s="372"/>
      <c r="BV245" s="444">
        <f t="shared" si="94"/>
        <v>0</v>
      </c>
      <c r="BW245" s="307"/>
      <c r="BX245" s="307"/>
      <c r="BY245" s="449">
        <f t="shared" si="95"/>
        <v>0</v>
      </c>
    </row>
    <row r="246" spans="1:77" s="308" customFormat="1" ht="12.75" customHeight="1">
      <c r="A246" s="365" t="s">
        <v>340</v>
      </c>
      <c r="B246" s="366" t="s">
        <v>990</v>
      </c>
      <c r="C246" s="366"/>
      <c r="D246" s="367">
        <v>162584</v>
      </c>
      <c r="E246" s="368">
        <v>4</v>
      </c>
      <c r="F246" s="369">
        <v>80</v>
      </c>
      <c r="G246" s="370">
        <v>84642.887499999997</v>
      </c>
      <c r="H246" s="439">
        <f t="shared" si="72"/>
        <v>6771431</v>
      </c>
      <c r="I246" s="311">
        <v>78</v>
      </c>
      <c r="J246" s="311">
        <v>83501</v>
      </c>
      <c r="K246" s="441">
        <f t="shared" si="73"/>
        <v>6513078</v>
      </c>
      <c r="L246" s="442">
        <v>56</v>
      </c>
      <c r="M246" s="443">
        <v>68540.321400000001</v>
      </c>
      <c r="N246" s="444">
        <f t="shared" si="74"/>
        <v>3838257.9983999999</v>
      </c>
      <c r="O246" s="307">
        <v>57</v>
      </c>
      <c r="P246" s="307">
        <v>69109</v>
      </c>
      <c r="Q246" s="445">
        <f t="shared" si="75"/>
        <v>3939213</v>
      </c>
      <c r="R246" s="442">
        <v>67</v>
      </c>
      <c r="S246" s="443">
        <v>60077.671600000001</v>
      </c>
      <c r="T246" s="444">
        <f t="shared" si="76"/>
        <v>4025203.9972000001</v>
      </c>
      <c r="U246" s="306">
        <v>63</v>
      </c>
      <c r="V246" s="306">
        <v>58359</v>
      </c>
      <c r="W246" s="441">
        <f t="shared" si="77"/>
        <v>3676617</v>
      </c>
      <c r="X246" s="442">
        <v>8</v>
      </c>
      <c r="Y246" s="443">
        <v>51105.625</v>
      </c>
      <c r="Z246" s="444">
        <f t="shared" si="78"/>
        <v>408845</v>
      </c>
      <c r="AA246" s="307">
        <v>10</v>
      </c>
      <c r="AB246" s="307">
        <v>54685</v>
      </c>
      <c r="AC246" s="445">
        <f t="shared" si="79"/>
        <v>546850</v>
      </c>
      <c r="AD246" s="442">
        <v>29</v>
      </c>
      <c r="AE246" s="443">
        <v>39141.689700000003</v>
      </c>
      <c r="AF246" s="444">
        <f t="shared" si="80"/>
        <v>1135109.0013000001</v>
      </c>
      <c r="AG246" s="307"/>
      <c r="AH246" s="307"/>
      <c r="AI246" s="445">
        <f t="shared" si="81"/>
        <v>0</v>
      </c>
      <c r="AJ246" s="446"/>
      <c r="AK246" s="443"/>
      <c r="AL246" s="444">
        <f t="shared" si="82"/>
        <v>0</v>
      </c>
      <c r="AM246" s="307"/>
      <c r="AN246" s="307"/>
      <c r="AO246" s="447">
        <f t="shared" si="83"/>
        <v>0</v>
      </c>
      <c r="AP246" s="448"/>
      <c r="AQ246" s="443"/>
      <c r="AR246" s="444">
        <f t="shared" si="84"/>
        <v>0</v>
      </c>
      <c r="AS246" s="307"/>
      <c r="AT246" s="307"/>
      <c r="AU246" s="441">
        <f t="shared" si="85"/>
        <v>0</v>
      </c>
      <c r="AV246" s="442"/>
      <c r="AW246" s="443"/>
      <c r="AX246" s="444">
        <f t="shared" si="86"/>
        <v>0</v>
      </c>
      <c r="AY246" s="307"/>
      <c r="AZ246" s="307"/>
      <c r="BA246" s="445">
        <f t="shared" si="87"/>
        <v>0</v>
      </c>
      <c r="BB246" s="371"/>
      <c r="BC246" s="372"/>
      <c r="BD246" s="444">
        <f t="shared" si="88"/>
        <v>0</v>
      </c>
      <c r="BE246" s="307"/>
      <c r="BF246" s="307"/>
      <c r="BG246" s="445">
        <f t="shared" si="89"/>
        <v>0</v>
      </c>
      <c r="BH246" s="371"/>
      <c r="BI246" s="372"/>
      <c r="BJ246" s="444">
        <f t="shared" si="90"/>
        <v>0</v>
      </c>
      <c r="BK246" s="307"/>
      <c r="BL246" s="307"/>
      <c r="BM246" s="445">
        <f t="shared" si="91"/>
        <v>0</v>
      </c>
      <c r="BN246" s="371"/>
      <c r="BO246" s="372"/>
      <c r="BP246" s="444">
        <f t="shared" si="92"/>
        <v>0</v>
      </c>
      <c r="BQ246" s="307"/>
      <c r="BR246" s="307"/>
      <c r="BS246" s="445">
        <f t="shared" si="93"/>
        <v>0</v>
      </c>
      <c r="BT246" s="371"/>
      <c r="BU246" s="372"/>
      <c r="BV246" s="444">
        <f t="shared" si="94"/>
        <v>0</v>
      </c>
      <c r="BW246" s="307"/>
      <c r="BX246" s="307"/>
      <c r="BY246" s="449">
        <f t="shared" si="95"/>
        <v>0</v>
      </c>
    </row>
    <row r="247" spans="1:77" s="308" customFormat="1" ht="12.75" customHeight="1">
      <c r="A247" s="365" t="s">
        <v>340</v>
      </c>
      <c r="B247" s="366" t="s">
        <v>991</v>
      </c>
      <c r="C247" s="366"/>
      <c r="D247" s="367">
        <v>163851</v>
      </c>
      <c r="E247" s="368">
        <v>4</v>
      </c>
      <c r="F247" s="369">
        <v>78</v>
      </c>
      <c r="G247" s="370">
        <v>83944.3462</v>
      </c>
      <c r="H247" s="439">
        <f t="shared" si="72"/>
        <v>6547659.0036000004</v>
      </c>
      <c r="I247" s="311">
        <v>85</v>
      </c>
      <c r="J247" s="311">
        <v>83789</v>
      </c>
      <c r="K247" s="441">
        <f t="shared" si="73"/>
        <v>7122065</v>
      </c>
      <c r="L247" s="442">
        <v>101</v>
      </c>
      <c r="M247" s="443">
        <v>67780.494999999995</v>
      </c>
      <c r="N247" s="444">
        <f t="shared" si="74"/>
        <v>6845829.9949999992</v>
      </c>
      <c r="O247" s="307">
        <v>102</v>
      </c>
      <c r="P247" s="307">
        <v>67603</v>
      </c>
      <c r="Q247" s="445">
        <f t="shared" si="75"/>
        <v>6895506</v>
      </c>
      <c r="R247" s="442">
        <v>113</v>
      </c>
      <c r="S247" s="443">
        <v>64270.628299999997</v>
      </c>
      <c r="T247" s="444">
        <f t="shared" si="76"/>
        <v>7262580.9978999998</v>
      </c>
      <c r="U247" s="306">
        <v>104</v>
      </c>
      <c r="V247" s="306">
        <v>64404</v>
      </c>
      <c r="W247" s="441">
        <f t="shared" si="77"/>
        <v>6698016</v>
      </c>
      <c r="X247" s="442">
        <v>6</v>
      </c>
      <c r="Y247" s="443">
        <v>56319.166665999997</v>
      </c>
      <c r="Z247" s="444">
        <f t="shared" si="78"/>
        <v>337914.99999599997</v>
      </c>
      <c r="AA247" s="307">
        <v>4</v>
      </c>
      <c r="AB247" s="307">
        <v>59097</v>
      </c>
      <c r="AC247" s="445">
        <f t="shared" si="79"/>
        <v>236388</v>
      </c>
      <c r="AD247" s="442">
        <v>73</v>
      </c>
      <c r="AE247" s="443">
        <v>44372.836000000003</v>
      </c>
      <c r="AF247" s="444">
        <f t="shared" si="80"/>
        <v>3239217.0280000004</v>
      </c>
      <c r="AG247" s="307"/>
      <c r="AH247" s="307"/>
      <c r="AI247" s="445">
        <f t="shared" si="81"/>
        <v>0</v>
      </c>
      <c r="AJ247" s="446"/>
      <c r="AK247" s="443"/>
      <c r="AL247" s="444">
        <f t="shared" si="82"/>
        <v>0</v>
      </c>
      <c r="AM247" s="307"/>
      <c r="AN247" s="307"/>
      <c r="AO247" s="447">
        <f t="shared" si="83"/>
        <v>0</v>
      </c>
      <c r="AP247" s="448">
        <v>3</v>
      </c>
      <c r="AQ247" s="443">
        <v>115033</v>
      </c>
      <c r="AR247" s="444">
        <f t="shared" si="84"/>
        <v>282360.00180000003</v>
      </c>
      <c r="AS247" s="307">
        <v>3</v>
      </c>
      <c r="AT247" s="307">
        <v>115033</v>
      </c>
      <c r="AU247" s="441">
        <f t="shared" si="85"/>
        <v>282360.00180000003</v>
      </c>
      <c r="AV247" s="442">
        <v>1</v>
      </c>
      <c r="AW247" s="443">
        <v>108848</v>
      </c>
      <c r="AX247" s="444">
        <f t="shared" si="86"/>
        <v>89059.433600000004</v>
      </c>
      <c r="AY247" s="307">
        <v>2</v>
      </c>
      <c r="AZ247" s="307">
        <v>98745</v>
      </c>
      <c r="BA247" s="445">
        <f t="shared" si="87"/>
        <v>161586.318</v>
      </c>
      <c r="BB247" s="371"/>
      <c r="BC247" s="372"/>
      <c r="BD247" s="444">
        <f t="shared" si="88"/>
        <v>0</v>
      </c>
      <c r="BE247" s="307"/>
      <c r="BF247" s="307"/>
      <c r="BG247" s="445">
        <f t="shared" si="89"/>
        <v>0</v>
      </c>
      <c r="BH247" s="371"/>
      <c r="BI247" s="372"/>
      <c r="BJ247" s="444">
        <f t="shared" si="90"/>
        <v>0</v>
      </c>
      <c r="BK247" s="307"/>
      <c r="BL247" s="307"/>
      <c r="BM247" s="445">
        <f t="shared" si="91"/>
        <v>0</v>
      </c>
      <c r="BN247" s="371">
        <v>5</v>
      </c>
      <c r="BO247" s="372">
        <v>50709</v>
      </c>
      <c r="BP247" s="444">
        <f t="shared" si="92"/>
        <v>207450.519</v>
      </c>
      <c r="BQ247" s="307"/>
      <c r="BR247" s="307"/>
      <c r="BS247" s="445">
        <f t="shared" si="93"/>
        <v>0</v>
      </c>
      <c r="BT247" s="371"/>
      <c r="BU247" s="372"/>
      <c r="BV247" s="444">
        <f t="shared" si="94"/>
        <v>0</v>
      </c>
      <c r="BW247" s="307"/>
      <c r="BX247" s="307"/>
      <c r="BY247" s="449">
        <f t="shared" si="95"/>
        <v>0</v>
      </c>
    </row>
    <row r="248" spans="1:77" s="308" customFormat="1" ht="12.75" customHeight="1">
      <c r="A248" s="365" t="s">
        <v>340</v>
      </c>
      <c r="B248" s="366" t="s">
        <v>992</v>
      </c>
      <c r="C248" s="366"/>
      <c r="D248" s="367">
        <v>161873</v>
      </c>
      <c r="E248" s="368">
        <v>4</v>
      </c>
      <c r="F248" s="369">
        <v>52</v>
      </c>
      <c r="G248" s="370">
        <v>131787.82689999999</v>
      </c>
      <c r="H248" s="439">
        <f t="shared" si="72"/>
        <v>6852966.9987999992</v>
      </c>
      <c r="I248" s="311">
        <v>50</v>
      </c>
      <c r="J248" s="311">
        <v>128449</v>
      </c>
      <c r="K248" s="441">
        <f t="shared" si="73"/>
        <v>6422450</v>
      </c>
      <c r="L248" s="442">
        <v>52</v>
      </c>
      <c r="M248" s="443">
        <v>99968.6538</v>
      </c>
      <c r="N248" s="444">
        <f t="shared" si="74"/>
        <v>5198369.9976000004</v>
      </c>
      <c r="O248" s="307">
        <v>52</v>
      </c>
      <c r="P248" s="307">
        <v>97742</v>
      </c>
      <c r="Q248" s="445">
        <f t="shared" si="75"/>
        <v>5082584</v>
      </c>
      <c r="R248" s="442">
        <v>45</v>
      </c>
      <c r="S248" s="443">
        <v>78599.733330000003</v>
      </c>
      <c r="T248" s="444">
        <f t="shared" si="76"/>
        <v>3536987.9998500003</v>
      </c>
      <c r="U248" s="306">
        <v>52</v>
      </c>
      <c r="V248" s="306">
        <v>81338</v>
      </c>
      <c r="W248" s="441">
        <f t="shared" si="77"/>
        <v>4229576</v>
      </c>
      <c r="X248" s="442">
        <v>6</v>
      </c>
      <c r="Y248" s="443">
        <v>70720.833329999994</v>
      </c>
      <c r="Z248" s="444">
        <f t="shared" si="78"/>
        <v>424324.99997999996</v>
      </c>
      <c r="AA248" s="307">
        <v>7</v>
      </c>
      <c r="AB248" s="307">
        <v>75818</v>
      </c>
      <c r="AC248" s="445">
        <f t="shared" si="79"/>
        <v>530726</v>
      </c>
      <c r="AD248" s="442">
        <v>11</v>
      </c>
      <c r="AE248" s="443">
        <v>55209</v>
      </c>
      <c r="AF248" s="444">
        <f t="shared" si="80"/>
        <v>607299</v>
      </c>
      <c r="AG248" s="307"/>
      <c r="AH248" s="307"/>
      <c r="AI248" s="445">
        <f t="shared" si="81"/>
        <v>0</v>
      </c>
      <c r="AJ248" s="446"/>
      <c r="AK248" s="443"/>
      <c r="AL248" s="444">
        <f t="shared" si="82"/>
        <v>0</v>
      </c>
      <c r="AM248" s="307"/>
      <c r="AN248" s="307"/>
      <c r="AO248" s="447">
        <f t="shared" si="83"/>
        <v>0</v>
      </c>
      <c r="AP248" s="448">
        <v>4</v>
      </c>
      <c r="AQ248" s="443">
        <v>127071.5</v>
      </c>
      <c r="AR248" s="444">
        <f t="shared" si="84"/>
        <v>415879.60519999999</v>
      </c>
      <c r="AS248" s="307">
        <v>4</v>
      </c>
      <c r="AT248" s="307">
        <v>127072</v>
      </c>
      <c r="AU248" s="441">
        <f t="shared" si="85"/>
        <v>415881.24160000001</v>
      </c>
      <c r="AV248" s="442">
        <v>2</v>
      </c>
      <c r="AW248" s="443">
        <v>106423</v>
      </c>
      <c r="AX248" s="444">
        <f t="shared" si="86"/>
        <v>174150.59720000002</v>
      </c>
      <c r="AY248" s="307">
        <v>1</v>
      </c>
      <c r="AZ248" s="307">
        <v>102846</v>
      </c>
      <c r="BA248" s="445">
        <f t="shared" si="87"/>
        <v>84148.597200000004</v>
      </c>
      <c r="BB248" s="371">
        <v>1</v>
      </c>
      <c r="BC248" s="372">
        <v>85000</v>
      </c>
      <c r="BD248" s="444">
        <f t="shared" si="88"/>
        <v>69547</v>
      </c>
      <c r="BE248" s="307">
        <v>2</v>
      </c>
      <c r="BF248" s="307">
        <v>70000</v>
      </c>
      <c r="BG248" s="445">
        <f t="shared" si="89"/>
        <v>114548</v>
      </c>
      <c r="BH248" s="371">
        <v>5</v>
      </c>
      <c r="BI248" s="372">
        <v>51800</v>
      </c>
      <c r="BJ248" s="444">
        <f t="shared" si="90"/>
        <v>211913.80000000002</v>
      </c>
      <c r="BK248" s="307">
        <v>4</v>
      </c>
      <c r="BL248" s="307"/>
      <c r="BM248" s="445">
        <f t="shared" si="91"/>
        <v>0</v>
      </c>
      <c r="BN248" s="371"/>
      <c r="BO248" s="372"/>
      <c r="BP248" s="444">
        <f t="shared" si="92"/>
        <v>0</v>
      </c>
      <c r="BQ248" s="307"/>
      <c r="BR248" s="307"/>
      <c r="BS248" s="445">
        <f t="shared" si="93"/>
        <v>0</v>
      </c>
      <c r="BT248" s="371"/>
      <c r="BU248" s="372"/>
      <c r="BV248" s="444">
        <f t="shared" si="94"/>
        <v>0</v>
      </c>
      <c r="BW248" s="307"/>
      <c r="BX248" s="307"/>
      <c r="BY248" s="449">
        <f t="shared" si="95"/>
        <v>0</v>
      </c>
    </row>
    <row r="249" spans="1:77" s="308" customFormat="1" ht="12.75" customHeight="1">
      <c r="A249" s="365" t="s">
        <v>340</v>
      </c>
      <c r="B249" s="366" t="s">
        <v>993</v>
      </c>
      <c r="C249" s="366"/>
      <c r="D249" s="367">
        <v>163338</v>
      </c>
      <c r="E249" s="368">
        <v>4</v>
      </c>
      <c r="F249" s="369">
        <v>18</v>
      </c>
      <c r="G249" s="370">
        <v>80807.5</v>
      </c>
      <c r="H249" s="439">
        <f t="shared" si="72"/>
        <v>1454535</v>
      </c>
      <c r="I249" s="311">
        <v>18</v>
      </c>
      <c r="J249" s="311">
        <v>77945</v>
      </c>
      <c r="K249" s="441">
        <f t="shared" si="73"/>
        <v>1403010</v>
      </c>
      <c r="L249" s="442">
        <v>31</v>
      </c>
      <c r="M249" s="443">
        <v>66828.032300000006</v>
      </c>
      <c r="N249" s="444">
        <f t="shared" si="74"/>
        <v>2071669.0013000001</v>
      </c>
      <c r="O249" s="307">
        <v>37</v>
      </c>
      <c r="P249" s="307">
        <v>67385</v>
      </c>
      <c r="Q249" s="445">
        <f t="shared" si="75"/>
        <v>2493245</v>
      </c>
      <c r="R249" s="442">
        <v>35</v>
      </c>
      <c r="S249" s="443">
        <v>62086.885699999999</v>
      </c>
      <c r="T249" s="444">
        <f t="shared" si="76"/>
        <v>2173040.9994999999</v>
      </c>
      <c r="U249" s="306">
        <v>37</v>
      </c>
      <c r="V249" s="306">
        <v>62113</v>
      </c>
      <c r="W249" s="441">
        <f t="shared" si="77"/>
        <v>2298181</v>
      </c>
      <c r="X249" s="442">
        <v>2</v>
      </c>
      <c r="Y249" s="443">
        <v>56714</v>
      </c>
      <c r="Z249" s="444">
        <f t="shared" si="78"/>
        <v>113428</v>
      </c>
      <c r="AA249" s="307">
        <v>3</v>
      </c>
      <c r="AB249" s="307">
        <v>67809</v>
      </c>
      <c r="AC249" s="445">
        <f t="shared" si="79"/>
        <v>203427</v>
      </c>
      <c r="AD249" s="442">
        <v>50</v>
      </c>
      <c r="AE249" s="443">
        <v>47364.800000000003</v>
      </c>
      <c r="AF249" s="444">
        <f t="shared" si="80"/>
        <v>2368240</v>
      </c>
      <c r="AG249" s="307"/>
      <c r="AH249" s="307"/>
      <c r="AI249" s="445">
        <f t="shared" si="81"/>
        <v>0</v>
      </c>
      <c r="AJ249" s="446"/>
      <c r="AK249" s="443"/>
      <c r="AL249" s="444">
        <f t="shared" si="82"/>
        <v>0</v>
      </c>
      <c r="AM249" s="307"/>
      <c r="AN249" s="307"/>
      <c r="AO249" s="447">
        <f t="shared" si="83"/>
        <v>0</v>
      </c>
      <c r="AP249" s="448">
        <v>16</v>
      </c>
      <c r="AQ249" s="443">
        <v>98613.625</v>
      </c>
      <c r="AR249" s="444">
        <f t="shared" si="84"/>
        <v>1290970.6876000001</v>
      </c>
      <c r="AS249" s="307">
        <v>12</v>
      </c>
      <c r="AT249" s="307">
        <v>106998</v>
      </c>
      <c r="AU249" s="441">
        <f t="shared" si="85"/>
        <v>1050549.1632000001</v>
      </c>
      <c r="AV249" s="442">
        <v>12</v>
      </c>
      <c r="AW249" s="443">
        <v>98303.833333000002</v>
      </c>
      <c r="AX249" s="444">
        <f t="shared" si="86"/>
        <v>965186.35719672719</v>
      </c>
      <c r="AY249" s="307">
        <v>13</v>
      </c>
      <c r="AZ249" s="307">
        <v>96112</v>
      </c>
      <c r="BA249" s="445">
        <f t="shared" si="87"/>
        <v>1022304.8992000001</v>
      </c>
      <c r="BB249" s="371">
        <v>4</v>
      </c>
      <c r="BC249" s="372">
        <v>70655</v>
      </c>
      <c r="BD249" s="444">
        <f t="shared" si="88"/>
        <v>231239.68400000001</v>
      </c>
      <c r="BE249" s="307">
        <v>21</v>
      </c>
      <c r="BF249" s="307">
        <v>85818</v>
      </c>
      <c r="BG249" s="445">
        <f t="shared" si="89"/>
        <v>1474542.0396</v>
      </c>
      <c r="BH249" s="371">
        <v>1</v>
      </c>
      <c r="BI249" s="372">
        <v>63787</v>
      </c>
      <c r="BJ249" s="444">
        <f t="shared" si="90"/>
        <v>52190.523400000005</v>
      </c>
      <c r="BK249" s="307">
        <v>1</v>
      </c>
      <c r="BL249" s="307"/>
      <c r="BM249" s="445">
        <f t="shared" si="91"/>
        <v>0</v>
      </c>
      <c r="BN249" s="371">
        <v>9</v>
      </c>
      <c r="BO249" s="372">
        <v>62103</v>
      </c>
      <c r="BP249" s="444">
        <f t="shared" si="92"/>
        <v>457314.07140000002</v>
      </c>
      <c r="BQ249" s="307">
        <v>2</v>
      </c>
      <c r="BR249" s="307"/>
      <c r="BS249" s="445">
        <f t="shared" si="93"/>
        <v>0</v>
      </c>
      <c r="BT249" s="371"/>
      <c r="BU249" s="372"/>
      <c r="BV249" s="444">
        <f t="shared" si="94"/>
        <v>0</v>
      </c>
      <c r="BW249" s="307"/>
      <c r="BX249" s="307"/>
      <c r="BY249" s="449">
        <f t="shared" si="95"/>
        <v>0</v>
      </c>
    </row>
    <row r="250" spans="1:77" s="308" customFormat="1" ht="12.75" customHeight="1">
      <c r="A250" s="365" t="s">
        <v>340</v>
      </c>
      <c r="B250" s="397" t="s">
        <v>994</v>
      </c>
      <c r="C250" s="527" t="s">
        <v>1072</v>
      </c>
      <c r="D250" s="367">
        <v>163912</v>
      </c>
      <c r="E250" s="368">
        <v>6</v>
      </c>
      <c r="F250" s="369">
        <v>44</v>
      </c>
      <c r="G250" s="370">
        <v>91843.044999999998</v>
      </c>
      <c r="H250" s="439">
        <f t="shared" si="72"/>
        <v>4041093.98</v>
      </c>
      <c r="I250" s="311">
        <v>43</v>
      </c>
      <c r="J250" s="311">
        <v>88734</v>
      </c>
      <c r="K250" s="441">
        <f t="shared" si="73"/>
        <v>3815562</v>
      </c>
      <c r="L250" s="442">
        <v>45</v>
      </c>
      <c r="M250" s="443">
        <v>64194.555500000002</v>
      </c>
      <c r="N250" s="444">
        <f t="shared" si="74"/>
        <v>2888754.9975000001</v>
      </c>
      <c r="O250" s="307">
        <v>48</v>
      </c>
      <c r="P250" s="307">
        <v>64696</v>
      </c>
      <c r="Q250" s="445">
        <f t="shared" si="75"/>
        <v>3105408</v>
      </c>
      <c r="R250" s="442">
        <v>49</v>
      </c>
      <c r="S250" s="443">
        <v>53476.7143</v>
      </c>
      <c r="T250" s="444">
        <f t="shared" si="76"/>
        <v>2620359.0007000002</v>
      </c>
      <c r="U250" s="306">
        <v>51</v>
      </c>
      <c r="V250" s="306">
        <v>52941</v>
      </c>
      <c r="W250" s="441">
        <f t="shared" si="77"/>
        <v>2699991</v>
      </c>
      <c r="X250" s="442">
        <v>5</v>
      </c>
      <c r="Y250" s="443">
        <v>48885</v>
      </c>
      <c r="Z250" s="444">
        <f t="shared" si="78"/>
        <v>244425</v>
      </c>
      <c r="AA250" s="307">
        <v>2</v>
      </c>
      <c r="AB250" s="307">
        <v>43250</v>
      </c>
      <c r="AC250" s="445">
        <f t="shared" si="79"/>
        <v>86500</v>
      </c>
      <c r="AD250" s="442"/>
      <c r="AE250" s="443"/>
      <c r="AF250" s="444">
        <f t="shared" si="80"/>
        <v>0</v>
      </c>
      <c r="AG250" s="307"/>
      <c r="AH250" s="307"/>
      <c r="AI250" s="445">
        <f t="shared" si="81"/>
        <v>0</v>
      </c>
      <c r="AJ250" s="446"/>
      <c r="AK250" s="443"/>
      <c r="AL250" s="444">
        <f t="shared" si="82"/>
        <v>0</v>
      </c>
      <c r="AM250" s="307"/>
      <c r="AN250" s="307"/>
      <c r="AO250" s="447">
        <f t="shared" si="83"/>
        <v>0</v>
      </c>
      <c r="AP250" s="448"/>
      <c r="AQ250" s="443"/>
      <c r="AR250" s="444">
        <f t="shared" si="84"/>
        <v>0</v>
      </c>
      <c r="AS250" s="307"/>
      <c r="AT250" s="307"/>
      <c r="AU250" s="441">
        <f t="shared" si="85"/>
        <v>0</v>
      </c>
      <c r="AV250" s="442"/>
      <c r="AW250" s="443"/>
      <c r="AX250" s="444">
        <f t="shared" si="86"/>
        <v>0</v>
      </c>
      <c r="AY250" s="307"/>
      <c r="AZ250" s="307"/>
      <c r="BA250" s="445">
        <f t="shared" si="87"/>
        <v>0</v>
      </c>
      <c r="BB250" s="371"/>
      <c r="BC250" s="372"/>
      <c r="BD250" s="444">
        <f t="shared" si="88"/>
        <v>0</v>
      </c>
      <c r="BE250" s="307"/>
      <c r="BF250" s="307"/>
      <c r="BG250" s="445">
        <f t="shared" si="89"/>
        <v>0</v>
      </c>
      <c r="BH250" s="371"/>
      <c r="BI250" s="372"/>
      <c r="BJ250" s="444">
        <f t="shared" si="90"/>
        <v>0</v>
      </c>
      <c r="BK250" s="307">
        <v>1</v>
      </c>
      <c r="BL250" s="307"/>
      <c r="BM250" s="445">
        <f t="shared" si="91"/>
        <v>0</v>
      </c>
      <c r="BN250" s="371"/>
      <c r="BO250" s="372"/>
      <c r="BP250" s="444">
        <f t="shared" si="92"/>
        <v>0</v>
      </c>
      <c r="BQ250" s="307"/>
      <c r="BR250" s="307"/>
      <c r="BS250" s="445">
        <f t="shared" si="93"/>
        <v>0</v>
      </c>
      <c r="BT250" s="371"/>
      <c r="BU250" s="372"/>
      <c r="BV250" s="444">
        <f t="shared" si="94"/>
        <v>0</v>
      </c>
      <c r="BW250" s="307"/>
      <c r="BX250" s="307"/>
      <c r="BY250" s="449">
        <f t="shared" si="95"/>
        <v>0</v>
      </c>
    </row>
    <row r="251" spans="1:77" s="308" customFormat="1" ht="12.75" customHeight="1">
      <c r="A251" s="365" t="s">
        <v>340</v>
      </c>
      <c r="B251" s="366" t="s">
        <v>995</v>
      </c>
      <c r="C251" s="366"/>
      <c r="D251" s="367">
        <v>161767</v>
      </c>
      <c r="E251" s="368">
        <v>8</v>
      </c>
      <c r="F251" s="369">
        <v>71</v>
      </c>
      <c r="G251" s="370">
        <v>85602.606</v>
      </c>
      <c r="H251" s="439">
        <f t="shared" si="72"/>
        <v>6077785.0259999996</v>
      </c>
      <c r="I251" s="311">
        <v>74</v>
      </c>
      <c r="J251" s="311">
        <v>82950</v>
      </c>
      <c r="K251" s="441">
        <f t="shared" si="73"/>
        <v>6138300</v>
      </c>
      <c r="L251" s="442">
        <v>80</v>
      </c>
      <c r="M251" s="443">
        <v>67211.725000000006</v>
      </c>
      <c r="N251" s="444">
        <f t="shared" si="74"/>
        <v>5376938</v>
      </c>
      <c r="O251" s="307">
        <v>82</v>
      </c>
      <c r="P251" s="307">
        <v>66174</v>
      </c>
      <c r="Q251" s="445">
        <f t="shared" si="75"/>
        <v>5426268</v>
      </c>
      <c r="R251" s="442">
        <v>75</v>
      </c>
      <c r="S251" s="443">
        <v>58577</v>
      </c>
      <c r="T251" s="444">
        <f t="shared" si="76"/>
        <v>4393275</v>
      </c>
      <c r="U251" s="306">
        <v>74</v>
      </c>
      <c r="V251" s="306">
        <v>58049</v>
      </c>
      <c r="W251" s="441">
        <f t="shared" si="77"/>
        <v>4295626</v>
      </c>
      <c r="X251" s="442">
        <v>25</v>
      </c>
      <c r="Y251" s="443">
        <v>51332.24</v>
      </c>
      <c r="Z251" s="444">
        <f t="shared" si="78"/>
        <v>1283306</v>
      </c>
      <c r="AA251" s="307">
        <v>22</v>
      </c>
      <c r="AB251" s="307">
        <v>50050</v>
      </c>
      <c r="AC251" s="445">
        <f t="shared" si="79"/>
        <v>1101100</v>
      </c>
      <c r="AD251" s="442"/>
      <c r="AE251" s="443"/>
      <c r="AF251" s="444">
        <f t="shared" si="80"/>
        <v>0</v>
      </c>
      <c r="AG251" s="307"/>
      <c r="AH251" s="307"/>
      <c r="AI251" s="445">
        <f t="shared" si="81"/>
        <v>0</v>
      </c>
      <c r="AJ251" s="446"/>
      <c r="AK251" s="443"/>
      <c r="AL251" s="444">
        <f t="shared" si="82"/>
        <v>0</v>
      </c>
      <c r="AM251" s="307"/>
      <c r="AN251" s="307"/>
      <c r="AO251" s="447">
        <f t="shared" si="83"/>
        <v>0</v>
      </c>
      <c r="AP251" s="448">
        <v>1</v>
      </c>
      <c r="AQ251" s="443">
        <v>113007</v>
      </c>
      <c r="AR251" s="444">
        <f t="shared" si="84"/>
        <v>92462.327400000009</v>
      </c>
      <c r="AS251" s="307">
        <v>2</v>
      </c>
      <c r="AT251" s="307">
        <v>102856</v>
      </c>
      <c r="AU251" s="441">
        <f t="shared" si="85"/>
        <v>168313.55840000001</v>
      </c>
      <c r="AV251" s="442">
        <v>8</v>
      </c>
      <c r="AW251" s="443">
        <v>75427</v>
      </c>
      <c r="AX251" s="444">
        <f t="shared" si="86"/>
        <v>493714.97120000003</v>
      </c>
      <c r="AY251" s="307">
        <v>8</v>
      </c>
      <c r="AZ251" s="307">
        <v>77286</v>
      </c>
      <c r="BA251" s="445">
        <f t="shared" si="87"/>
        <v>505883.24160000001</v>
      </c>
      <c r="BB251" s="371">
        <v>2</v>
      </c>
      <c r="BC251" s="372">
        <v>70822</v>
      </c>
      <c r="BD251" s="444">
        <f t="shared" si="88"/>
        <v>115893.1208</v>
      </c>
      <c r="BE251" s="307">
        <v>2</v>
      </c>
      <c r="BF251" s="307">
        <v>70121</v>
      </c>
      <c r="BG251" s="445">
        <f t="shared" si="89"/>
        <v>114746.00440000001</v>
      </c>
      <c r="BH251" s="371"/>
      <c r="BI251" s="372"/>
      <c r="BJ251" s="444">
        <f t="shared" si="90"/>
        <v>0</v>
      </c>
      <c r="BK251" s="307">
        <v>1</v>
      </c>
      <c r="BL251" s="307">
        <v>63441</v>
      </c>
      <c r="BM251" s="445">
        <f t="shared" si="91"/>
        <v>51907.426200000002</v>
      </c>
      <c r="BN251" s="371"/>
      <c r="BO251" s="372"/>
      <c r="BP251" s="444">
        <f t="shared" si="92"/>
        <v>0</v>
      </c>
      <c r="BQ251" s="307"/>
      <c r="BR251" s="307"/>
      <c r="BS251" s="445">
        <f t="shared" si="93"/>
        <v>0</v>
      </c>
      <c r="BT251" s="371"/>
      <c r="BU251" s="372"/>
      <c r="BV251" s="444">
        <f t="shared" si="94"/>
        <v>0</v>
      </c>
      <c r="BW251" s="307"/>
      <c r="BX251" s="307"/>
      <c r="BY251" s="449">
        <f t="shared" si="95"/>
        <v>0</v>
      </c>
    </row>
    <row r="252" spans="1:77" s="308" customFormat="1" ht="12.75" customHeight="1">
      <c r="A252" s="365" t="s">
        <v>340</v>
      </c>
      <c r="B252" s="366" t="s">
        <v>996</v>
      </c>
      <c r="C252" s="366"/>
      <c r="D252" s="367">
        <v>434672</v>
      </c>
      <c r="E252" s="368">
        <v>8</v>
      </c>
      <c r="F252" s="369">
        <v>46</v>
      </c>
      <c r="G252" s="370">
        <v>83790.934779999996</v>
      </c>
      <c r="H252" s="439">
        <f t="shared" si="72"/>
        <v>3854382.99988</v>
      </c>
      <c r="I252" s="311">
        <v>53</v>
      </c>
      <c r="J252" s="311">
        <v>84276</v>
      </c>
      <c r="K252" s="441">
        <f t="shared" si="73"/>
        <v>4466628</v>
      </c>
      <c r="L252" s="442">
        <v>74</v>
      </c>
      <c r="M252" s="443">
        <v>67527.960000000006</v>
      </c>
      <c r="N252" s="444">
        <f t="shared" si="74"/>
        <v>4997069.04</v>
      </c>
      <c r="O252" s="307">
        <v>95</v>
      </c>
      <c r="P252" s="307">
        <v>66270</v>
      </c>
      <c r="Q252" s="445">
        <f t="shared" si="75"/>
        <v>6295650</v>
      </c>
      <c r="R252" s="442">
        <v>180</v>
      </c>
      <c r="S252" s="443">
        <v>56072</v>
      </c>
      <c r="T252" s="444">
        <f t="shared" si="76"/>
        <v>10092960</v>
      </c>
      <c r="U252" s="306">
        <v>159</v>
      </c>
      <c r="V252" s="306">
        <v>56374</v>
      </c>
      <c r="W252" s="441">
        <f t="shared" si="77"/>
        <v>8963466</v>
      </c>
      <c r="X252" s="442">
        <v>38</v>
      </c>
      <c r="Y252" s="443">
        <v>49049</v>
      </c>
      <c r="Z252" s="444">
        <f t="shared" si="78"/>
        <v>1863862</v>
      </c>
      <c r="AA252" s="307">
        <v>30</v>
      </c>
      <c r="AB252" s="307">
        <v>50423</v>
      </c>
      <c r="AC252" s="445">
        <f t="shared" si="79"/>
        <v>1512690</v>
      </c>
      <c r="AD252" s="442"/>
      <c r="AE252" s="443"/>
      <c r="AF252" s="444">
        <f t="shared" si="80"/>
        <v>0</v>
      </c>
      <c r="AG252" s="307"/>
      <c r="AH252" s="307"/>
      <c r="AI252" s="445">
        <f t="shared" si="81"/>
        <v>0</v>
      </c>
      <c r="AJ252" s="446"/>
      <c r="AK252" s="443"/>
      <c r="AL252" s="444">
        <f t="shared" si="82"/>
        <v>0</v>
      </c>
      <c r="AM252" s="307"/>
      <c r="AN252" s="307"/>
      <c r="AO252" s="447">
        <f t="shared" si="83"/>
        <v>0</v>
      </c>
      <c r="AP252" s="448">
        <v>12</v>
      </c>
      <c r="AQ252" s="443">
        <v>100234.67</v>
      </c>
      <c r="AR252" s="444">
        <f t="shared" si="84"/>
        <v>984144.08392800007</v>
      </c>
      <c r="AS252" s="307">
        <v>18</v>
      </c>
      <c r="AT252" s="307">
        <v>103186</v>
      </c>
      <c r="AU252" s="441">
        <f t="shared" si="85"/>
        <v>1519682.1336000001</v>
      </c>
      <c r="AV252" s="442">
        <v>13</v>
      </c>
      <c r="AW252" s="443">
        <v>80145.461500000005</v>
      </c>
      <c r="AX252" s="444">
        <f t="shared" si="86"/>
        <v>852475.21579090005</v>
      </c>
      <c r="AY252" s="307">
        <v>17</v>
      </c>
      <c r="AZ252" s="307">
        <v>80334</v>
      </c>
      <c r="BA252" s="445">
        <f t="shared" si="87"/>
        <v>1117397.7396</v>
      </c>
      <c r="BB252" s="371">
        <v>26</v>
      </c>
      <c r="BC252" s="372">
        <v>70427.386100000003</v>
      </c>
      <c r="BD252" s="444">
        <f t="shared" si="88"/>
        <v>1498215.8699825201</v>
      </c>
      <c r="BE252" s="307">
        <v>26</v>
      </c>
      <c r="BF252" s="307">
        <v>71026</v>
      </c>
      <c r="BG252" s="445">
        <f t="shared" si="89"/>
        <v>1510950.3032</v>
      </c>
      <c r="BH252" s="371">
        <v>14</v>
      </c>
      <c r="BI252" s="372">
        <v>58233.642899999999</v>
      </c>
      <c r="BJ252" s="444">
        <f t="shared" si="90"/>
        <v>667054.73269092001</v>
      </c>
      <c r="BK252" s="307">
        <v>17</v>
      </c>
      <c r="BL252" s="307">
        <v>56875</v>
      </c>
      <c r="BM252" s="445">
        <f t="shared" si="91"/>
        <v>791097.125</v>
      </c>
      <c r="BN252" s="371"/>
      <c r="BO252" s="372"/>
      <c r="BP252" s="444">
        <f t="shared" si="92"/>
        <v>0</v>
      </c>
      <c r="BQ252" s="307"/>
      <c r="BR252" s="307"/>
      <c r="BS252" s="445">
        <f t="shared" si="93"/>
        <v>0</v>
      </c>
      <c r="BT252" s="371"/>
      <c r="BU252" s="372"/>
      <c r="BV252" s="444">
        <f t="shared" si="94"/>
        <v>0</v>
      </c>
      <c r="BW252" s="307"/>
      <c r="BX252" s="307"/>
      <c r="BY252" s="449">
        <f t="shared" si="95"/>
        <v>0</v>
      </c>
    </row>
    <row r="253" spans="1:77" s="308" customFormat="1" ht="12.75" customHeight="1">
      <c r="A253" s="365" t="s">
        <v>340</v>
      </c>
      <c r="B253" s="366" t="s">
        <v>997</v>
      </c>
      <c r="C253" s="366"/>
      <c r="D253" s="367">
        <v>163426</v>
      </c>
      <c r="E253" s="368">
        <v>8</v>
      </c>
      <c r="F253" s="369">
        <v>277</v>
      </c>
      <c r="G253" s="370">
        <v>87892.768949999998</v>
      </c>
      <c r="H253" s="439">
        <f t="shared" si="72"/>
        <v>24346296.999150001</v>
      </c>
      <c r="I253" s="311">
        <v>286</v>
      </c>
      <c r="J253" s="311">
        <v>86922</v>
      </c>
      <c r="K253" s="441">
        <f t="shared" si="73"/>
        <v>24859692</v>
      </c>
      <c r="L253" s="442">
        <v>144</v>
      </c>
      <c r="M253" s="443">
        <v>70571.291670000006</v>
      </c>
      <c r="N253" s="444">
        <f t="shared" si="74"/>
        <v>10162266.00048</v>
      </c>
      <c r="O253" s="307">
        <v>134</v>
      </c>
      <c r="P253" s="307">
        <v>70429</v>
      </c>
      <c r="Q253" s="445">
        <f t="shared" si="75"/>
        <v>9437486</v>
      </c>
      <c r="R253" s="442">
        <v>87</v>
      </c>
      <c r="S253" s="443">
        <v>61654.701099999998</v>
      </c>
      <c r="T253" s="444">
        <f t="shared" si="76"/>
        <v>5363958.9956999999</v>
      </c>
      <c r="U253" s="306">
        <v>99</v>
      </c>
      <c r="V253" s="306">
        <v>59890</v>
      </c>
      <c r="W253" s="441">
        <f t="shared" si="77"/>
        <v>5929110</v>
      </c>
      <c r="X253" s="442">
        <v>6</v>
      </c>
      <c r="Y253" s="443">
        <v>54265.5</v>
      </c>
      <c r="Z253" s="444">
        <f t="shared" si="78"/>
        <v>325593</v>
      </c>
      <c r="AA253" s="307">
        <v>3</v>
      </c>
      <c r="AB253" s="307">
        <v>58401</v>
      </c>
      <c r="AC253" s="445">
        <f t="shared" si="79"/>
        <v>175203</v>
      </c>
      <c r="AD253" s="442"/>
      <c r="AE253" s="443"/>
      <c r="AF253" s="444">
        <f t="shared" si="80"/>
        <v>0</v>
      </c>
      <c r="AG253" s="307"/>
      <c r="AH253" s="307"/>
      <c r="AI253" s="445">
        <f t="shared" si="81"/>
        <v>0</v>
      </c>
      <c r="AJ253" s="446"/>
      <c r="AK253" s="443"/>
      <c r="AL253" s="444">
        <f t="shared" si="82"/>
        <v>0</v>
      </c>
      <c r="AM253" s="307"/>
      <c r="AN253" s="307"/>
      <c r="AO253" s="447">
        <f t="shared" si="83"/>
        <v>0</v>
      </c>
      <c r="AP253" s="448"/>
      <c r="AQ253" s="443"/>
      <c r="AR253" s="444">
        <f t="shared" si="84"/>
        <v>0</v>
      </c>
      <c r="AS253" s="307"/>
      <c r="AT253" s="307"/>
      <c r="AU253" s="441">
        <f t="shared" si="85"/>
        <v>0</v>
      </c>
      <c r="AV253" s="442"/>
      <c r="AW253" s="443"/>
      <c r="AX253" s="444">
        <f t="shared" si="86"/>
        <v>0</v>
      </c>
      <c r="AY253" s="307"/>
      <c r="AZ253" s="307"/>
      <c r="BA253" s="445">
        <f t="shared" si="87"/>
        <v>0</v>
      </c>
      <c r="BB253" s="371"/>
      <c r="BC253" s="372"/>
      <c r="BD253" s="444">
        <f t="shared" si="88"/>
        <v>0</v>
      </c>
      <c r="BE253" s="307"/>
      <c r="BF253" s="307"/>
      <c r="BG253" s="445">
        <f t="shared" si="89"/>
        <v>0</v>
      </c>
      <c r="BH253" s="371"/>
      <c r="BI253" s="372"/>
      <c r="BJ253" s="444">
        <f t="shared" si="90"/>
        <v>0</v>
      </c>
      <c r="BK253" s="307"/>
      <c r="BL253" s="307"/>
      <c r="BM253" s="445">
        <f t="shared" si="91"/>
        <v>0</v>
      </c>
      <c r="BN253" s="371"/>
      <c r="BO253" s="372"/>
      <c r="BP253" s="444">
        <f t="shared" si="92"/>
        <v>0</v>
      </c>
      <c r="BQ253" s="307"/>
      <c r="BR253" s="307"/>
      <c r="BS253" s="445">
        <f t="shared" si="93"/>
        <v>0</v>
      </c>
      <c r="BT253" s="371"/>
      <c r="BU253" s="372"/>
      <c r="BV253" s="444">
        <f t="shared" si="94"/>
        <v>0</v>
      </c>
      <c r="BW253" s="307"/>
      <c r="BX253" s="307"/>
      <c r="BY253" s="449">
        <f t="shared" si="95"/>
        <v>0</v>
      </c>
    </row>
    <row r="254" spans="1:77" s="308" customFormat="1" ht="12.75" customHeight="1">
      <c r="A254" s="365" t="s">
        <v>340</v>
      </c>
      <c r="B254" s="366" t="s">
        <v>998</v>
      </c>
      <c r="C254" s="366"/>
      <c r="D254" s="367">
        <v>163657</v>
      </c>
      <c r="E254" s="368">
        <v>8</v>
      </c>
      <c r="F254" s="369">
        <v>86</v>
      </c>
      <c r="G254" s="370">
        <v>69948.72</v>
      </c>
      <c r="H254" s="439">
        <f t="shared" si="72"/>
        <v>6015589.9199999999</v>
      </c>
      <c r="I254" s="311">
        <v>88</v>
      </c>
      <c r="J254" s="311">
        <v>73353</v>
      </c>
      <c r="K254" s="441">
        <f t="shared" si="73"/>
        <v>6455064</v>
      </c>
      <c r="L254" s="442">
        <v>106</v>
      </c>
      <c r="M254" s="443">
        <v>56354.603799999997</v>
      </c>
      <c r="N254" s="444">
        <f t="shared" si="74"/>
        <v>5973588.0027999999</v>
      </c>
      <c r="O254" s="307">
        <v>108</v>
      </c>
      <c r="P254" s="307">
        <v>59142</v>
      </c>
      <c r="Q254" s="445">
        <f t="shared" si="75"/>
        <v>6387336</v>
      </c>
      <c r="R254" s="442">
        <v>34</v>
      </c>
      <c r="S254" s="443">
        <v>47112.147010000001</v>
      </c>
      <c r="T254" s="444">
        <f t="shared" si="76"/>
        <v>1601812.9983399999</v>
      </c>
      <c r="U254" s="306">
        <v>33</v>
      </c>
      <c r="V254" s="306">
        <v>51032</v>
      </c>
      <c r="W254" s="441">
        <f t="shared" si="77"/>
        <v>1684056</v>
      </c>
      <c r="X254" s="442">
        <v>1</v>
      </c>
      <c r="Y254" s="443">
        <v>36536</v>
      </c>
      <c r="Z254" s="444">
        <f t="shared" si="78"/>
        <v>36536</v>
      </c>
      <c r="AA254" s="307">
        <v>2</v>
      </c>
      <c r="AB254" s="307">
        <v>46250</v>
      </c>
      <c r="AC254" s="445">
        <f t="shared" si="79"/>
        <v>92500</v>
      </c>
      <c r="AD254" s="442"/>
      <c r="AE254" s="443"/>
      <c r="AF254" s="444">
        <f t="shared" si="80"/>
        <v>0</v>
      </c>
      <c r="AG254" s="307"/>
      <c r="AH254" s="307"/>
      <c r="AI254" s="445">
        <f t="shared" si="81"/>
        <v>0</v>
      </c>
      <c r="AJ254" s="446"/>
      <c r="AK254" s="443"/>
      <c r="AL254" s="444">
        <f t="shared" si="82"/>
        <v>0</v>
      </c>
      <c r="AM254" s="307"/>
      <c r="AN254" s="307"/>
      <c r="AO254" s="447">
        <f t="shared" si="83"/>
        <v>0</v>
      </c>
      <c r="AP254" s="448">
        <v>2</v>
      </c>
      <c r="AQ254" s="443">
        <v>95433</v>
      </c>
      <c r="AR254" s="444">
        <f t="shared" si="84"/>
        <v>156166.5612</v>
      </c>
      <c r="AS254" s="307">
        <v>3</v>
      </c>
      <c r="AT254" s="307">
        <v>93766</v>
      </c>
      <c r="AU254" s="441">
        <f t="shared" si="85"/>
        <v>230158.02360000001</v>
      </c>
      <c r="AV254" s="442">
        <v>4</v>
      </c>
      <c r="AW254" s="443">
        <v>73281.75</v>
      </c>
      <c r="AX254" s="444">
        <f t="shared" si="86"/>
        <v>239836.51140000002</v>
      </c>
      <c r="AY254" s="307">
        <v>2</v>
      </c>
      <c r="AZ254" s="307">
        <v>75674</v>
      </c>
      <c r="BA254" s="445">
        <f t="shared" si="87"/>
        <v>123832.9336</v>
      </c>
      <c r="BB254" s="371">
        <v>2</v>
      </c>
      <c r="BC254" s="372">
        <v>62838</v>
      </c>
      <c r="BD254" s="444">
        <f t="shared" si="88"/>
        <v>102828.1032</v>
      </c>
      <c r="BE254" s="307">
        <v>2</v>
      </c>
      <c r="BF254" s="307">
        <v>68447</v>
      </c>
      <c r="BG254" s="445">
        <f t="shared" si="89"/>
        <v>112006.67080000001</v>
      </c>
      <c r="BH254" s="371">
        <v>1</v>
      </c>
      <c r="BI254" s="372">
        <v>45910</v>
      </c>
      <c r="BJ254" s="444">
        <f t="shared" si="90"/>
        <v>37563.562000000005</v>
      </c>
      <c r="BK254" s="307"/>
      <c r="BL254" s="307">
        <v>60563</v>
      </c>
      <c r="BM254" s="445">
        <f t="shared" si="91"/>
        <v>0</v>
      </c>
      <c r="BN254" s="371"/>
      <c r="BO254" s="372"/>
      <c r="BP254" s="444">
        <f t="shared" si="92"/>
        <v>0</v>
      </c>
      <c r="BQ254" s="307"/>
      <c r="BR254" s="307"/>
      <c r="BS254" s="445">
        <f t="shared" si="93"/>
        <v>0</v>
      </c>
      <c r="BT254" s="371"/>
      <c r="BU254" s="372"/>
      <c r="BV254" s="444">
        <f t="shared" si="94"/>
        <v>0</v>
      </c>
      <c r="BW254" s="307"/>
      <c r="BX254" s="307"/>
      <c r="BY254" s="449">
        <f t="shared" si="95"/>
        <v>0</v>
      </c>
    </row>
    <row r="255" spans="1:77" s="308" customFormat="1" ht="12.75" customHeight="1">
      <c r="A255" s="425" t="s">
        <v>340</v>
      </c>
      <c r="B255" s="366" t="s">
        <v>999</v>
      </c>
      <c r="C255" s="366"/>
      <c r="D255" s="426">
        <v>161688</v>
      </c>
      <c r="E255" s="427">
        <v>9</v>
      </c>
      <c r="F255" s="369">
        <v>32</v>
      </c>
      <c r="G255" s="370">
        <v>60338.3125</v>
      </c>
      <c r="H255" s="439">
        <f t="shared" si="72"/>
        <v>1930826</v>
      </c>
      <c r="I255" s="311">
        <v>32</v>
      </c>
      <c r="J255" s="311">
        <v>62184</v>
      </c>
      <c r="K255" s="441">
        <f t="shared" si="73"/>
        <v>1989888</v>
      </c>
      <c r="L255" s="442">
        <v>22</v>
      </c>
      <c r="M255" s="443">
        <v>47309.63</v>
      </c>
      <c r="N255" s="444">
        <f t="shared" si="74"/>
        <v>1040811.86</v>
      </c>
      <c r="O255" s="307">
        <v>22</v>
      </c>
      <c r="P255" s="307">
        <v>47705</v>
      </c>
      <c r="Q255" s="445">
        <f t="shared" si="75"/>
        <v>1049510</v>
      </c>
      <c r="R255" s="442">
        <v>25</v>
      </c>
      <c r="S255" s="443">
        <v>41842.04</v>
      </c>
      <c r="T255" s="444">
        <f t="shared" si="76"/>
        <v>1046051</v>
      </c>
      <c r="U255" s="306">
        <v>26</v>
      </c>
      <c r="V255" s="306">
        <v>43166</v>
      </c>
      <c r="W255" s="441">
        <f t="shared" si="77"/>
        <v>1122316</v>
      </c>
      <c r="X255" s="442">
        <v>5</v>
      </c>
      <c r="Y255" s="443">
        <v>38513</v>
      </c>
      <c r="Z255" s="444">
        <f t="shared" si="78"/>
        <v>192565</v>
      </c>
      <c r="AA255" s="307">
        <v>4</v>
      </c>
      <c r="AB255" s="307">
        <v>37452</v>
      </c>
      <c r="AC255" s="445">
        <f t="shared" si="79"/>
        <v>149808</v>
      </c>
      <c r="AD255" s="442"/>
      <c r="AE255" s="443"/>
      <c r="AF255" s="444">
        <f t="shared" si="80"/>
        <v>0</v>
      </c>
      <c r="AG255" s="307"/>
      <c r="AH255" s="307"/>
      <c r="AI255" s="445">
        <f t="shared" si="81"/>
        <v>0</v>
      </c>
      <c r="AJ255" s="446"/>
      <c r="AK255" s="443"/>
      <c r="AL255" s="444">
        <f t="shared" si="82"/>
        <v>0</v>
      </c>
      <c r="AM255" s="307"/>
      <c r="AN255" s="307"/>
      <c r="AO255" s="447">
        <f t="shared" si="83"/>
        <v>0</v>
      </c>
      <c r="AP255" s="448">
        <v>9</v>
      </c>
      <c r="AQ255" s="443">
        <v>75638</v>
      </c>
      <c r="AR255" s="444">
        <f t="shared" si="84"/>
        <v>556983.10440000007</v>
      </c>
      <c r="AS255" s="307">
        <v>9</v>
      </c>
      <c r="AT255" s="307">
        <v>77378</v>
      </c>
      <c r="AU255" s="441">
        <f t="shared" si="85"/>
        <v>569796.11640000006</v>
      </c>
      <c r="AV255" s="442">
        <v>8</v>
      </c>
      <c r="AW255" s="443">
        <v>59491</v>
      </c>
      <c r="AX255" s="444">
        <f t="shared" si="86"/>
        <v>389404.28960000002</v>
      </c>
      <c r="AY255" s="307">
        <v>11</v>
      </c>
      <c r="AZ255" s="307">
        <v>60559</v>
      </c>
      <c r="BA255" s="445">
        <f t="shared" si="87"/>
        <v>545043.11180000007</v>
      </c>
      <c r="BB255" s="371">
        <v>7</v>
      </c>
      <c r="BC255" s="372">
        <v>58459</v>
      </c>
      <c r="BD255" s="444">
        <f t="shared" si="88"/>
        <v>334818.07660000003</v>
      </c>
      <c r="BE255" s="307">
        <v>6</v>
      </c>
      <c r="BF255" s="307">
        <v>58763</v>
      </c>
      <c r="BG255" s="445">
        <f t="shared" si="89"/>
        <v>288479.31959999999</v>
      </c>
      <c r="BH255" s="371">
        <v>6</v>
      </c>
      <c r="BI255" s="372">
        <v>48120</v>
      </c>
      <c r="BJ255" s="444">
        <f t="shared" si="90"/>
        <v>236230.704</v>
      </c>
      <c r="BK255" s="307">
        <v>5</v>
      </c>
      <c r="BL255" s="307">
        <v>50689</v>
      </c>
      <c r="BM255" s="445">
        <f t="shared" si="91"/>
        <v>207368.69900000002</v>
      </c>
      <c r="BN255" s="371"/>
      <c r="BO255" s="372"/>
      <c r="BP255" s="444">
        <f t="shared" si="92"/>
        <v>0</v>
      </c>
      <c r="BQ255" s="307"/>
      <c r="BR255" s="307"/>
      <c r="BS255" s="445">
        <f t="shared" si="93"/>
        <v>0</v>
      </c>
      <c r="BT255" s="371"/>
      <c r="BU255" s="372"/>
      <c r="BV255" s="444">
        <f t="shared" si="94"/>
        <v>0</v>
      </c>
      <c r="BW255" s="307"/>
      <c r="BX255" s="307"/>
      <c r="BY255" s="449">
        <f t="shared" si="95"/>
        <v>0</v>
      </c>
    </row>
    <row r="256" spans="1:77" s="308" customFormat="1" ht="12.75" customHeight="1">
      <c r="A256" s="365" t="s">
        <v>340</v>
      </c>
      <c r="B256" s="366" t="s">
        <v>1000</v>
      </c>
      <c r="C256" s="366"/>
      <c r="D256" s="367">
        <v>161864</v>
      </c>
      <c r="E256" s="368">
        <v>9</v>
      </c>
      <c r="F256" s="369">
        <v>25</v>
      </c>
      <c r="G256" s="370">
        <v>77369.56</v>
      </c>
      <c r="H256" s="439">
        <f t="shared" si="72"/>
        <v>1934239</v>
      </c>
      <c r="I256" s="311">
        <v>23</v>
      </c>
      <c r="J256" s="311">
        <v>76950</v>
      </c>
      <c r="K256" s="441">
        <f t="shared" si="73"/>
        <v>1769850</v>
      </c>
      <c r="L256" s="442">
        <v>23</v>
      </c>
      <c r="M256" s="443">
        <v>63044.652000000002</v>
      </c>
      <c r="N256" s="444">
        <f t="shared" si="74"/>
        <v>1450026.996</v>
      </c>
      <c r="O256" s="307">
        <v>21</v>
      </c>
      <c r="P256" s="307">
        <v>63142</v>
      </c>
      <c r="Q256" s="445">
        <f t="shared" si="75"/>
        <v>1325982</v>
      </c>
      <c r="R256" s="442">
        <v>75</v>
      </c>
      <c r="S256" s="443">
        <v>55049.266660000001</v>
      </c>
      <c r="T256" s="444">
        <f t="shared" si="76"/>
        <v>4128694.9994999999</v>
      </c>
      <c r="U256" s="306">
        <v>74</v>
      </c>
      <c r="V256" s="306">
        <v>54738</v>
      </c>
      <c r="W256" s="441">
        <f t="shared" si="77"/>
        <v>4050612</v>
      </c>
      <c r="X256" s="442">
        <v>5</v>
      </c>
      <c r="Y256" s="443">
        <v>45369.2</v>
      </c>
      <c r="Z256" s="444">
        <f t="shared" si="78"/>
        <v>226846</v>
      </c>
      <c r="AA256" s="307">
        <v>5</v>
      </c>
      <c r="AB256" s="307">
        <v>45369</v>
      </c>
      <c r="AC256" s="445">
        <f t="shared" si="79"/>
        <v>226845</v>
      </c>
      <c r="AD256" s="442"/>
      <c r="AE256" s="443"/>
      <c r="AF256" s="444">
        <f t="shared" si="80"/>
        <v>0</v>
      </c>
      <c r="AG256" s="307"/>
      <c r="AH256" s="307"/>
      <c r="AI256" s="445">
        <f t="shared" si="81"/>
        <v>0</v>
      </c>
      <c r="AJ256" s="446"/>
      <c r="AK256" s="443"/>
      <c r="AL256" s="444">
        <f t="shared" si="82"/>
        <v>0</v>
      </c>
      <c r="AM256" s="307"/>
      <c r="AN256" s="307"/>
      <c r="AO256" s="447">
        <f t="shared" si="83"/>
        <v>0</v>
      </c>
      <c r="AP256" s="448"/>
      <c r="AQ256" s="443"/>
      <c r="AR256" s="444">
        <f t="shared" si="84"/>
        <v>0</v>
      </c>
      <c r="AS256" s="307">
        <v>1</v>
      </c>
      <c r="AT256" s="307"/>
      <c r="AU256" s="441">
        <f t="shared" si="85"/>
        <v>0</v>
      </c>
      <c r="AV256" s="442"/>
      <c r="AW256" s="443"/>
      <c r="AX256" s="444">
        <f t="shared" si="86"/>
        <v>0</v>
      </c>
      <c r="AY256" s="307"/>
      <c r="AZ256" s="307"/>
      <c r="BA256" s="445">
        <f t="shared" si="87"/>
        <v>0</v>
      </c>
      <c r="BB256" s="371"/>
      <c r="BC256" s="372"/>
      <c r="BD256" s="444">
        <f t="shared" si="88"/>
        <v>0</v>
      </c>
      <c r="BE256" s="307"/>
      <c r="BF256" s="307"/>
      <c r="BG256" s="445">
        <f t="shared" si="89"/>
        <v>0</v>
      </c>
      <c r="BH256" s="371"/>
      <c r="BI256" s="372"/>
      <c r="BJ256" s="444">
        <f t="shared" si="90"/>
        <v>0</v>
      </c>
      <c r="BK256" s="307"/>
      <c r="BL256" s="307"/>
      <c r="BM256" s="445">
        <f t="shared" si="91"/>
        <v>0</v>
      </c>
      <c r="BN256" s="371"/>
      <c r="BO256" s="372"/>
      <c r="BP256" s="444">
        <f t="shared" si="92"/>
        <v>0</v>
      </c>
      <c r="BQ256" s="307"/>
      <c r="BR256" s="307"/>
      <c r="BS256" s="445">
        <f t="shared" si="93"/>
        <v>0</v>
      </c>
      <c r="BT256" s="371"/>
      <c r="BU256" s="372"/>
      <c r="BV256" s="444">
        <f t="shared" si="94"/>
        <v>0</v>
      </c>
      <c r="BW256" s="307"/>
      <c r="BX256" s="307"/>
      <c r="BY256" s="449">
        <f t="shared" si="95"/>
        <v>0</v>
      </c>
    </row>
    <row r="257" spans="1:77" s="308" customFormat="1" ht="12.75" customHeight="1">
      <c r="A257" s="365" t="s">
        <v>340</v>
      </c>
      <c r="B257" s="528" t="s">
        <v>1006</v>
      </c>
      <c r="C257" s="529" t="s">
        <v>1117</v>
      </c>
      <c r="D257" s="367">
        <v>405872</v>
      </c>
      <c r="E257" s="530">
        <v>9</v>
      </c>
      <c r="F257" s="369">
        <v>7</v>
      </c>
      <c r="G257" s="370">
        <v>70519</v>
      </c>
      <c r="H257" s="439">
        <f t="shared" si="72"/>
        <v>493633</v>
      </c>
      <c r="I257" s="311">
        <v>6</v>
      </c>
      <c r="J257" s="311">
        <v>67221</v>
      </c>
      <c r="K257" s="441">
        <f t="shared" si="73"/>
        <v>403326</v>
      </c>
      <c r="L257" s="442">
        <v>18</v>
      </c>
      <c r="M257" s="443">
        <v>60626</v>
      </c>
      <c r="N257" s="444">
        <f t="shared" si="74"/>
        <v>1091268</v>
      </c>
      <c r="O257" s="307">
        <v>18</v>
      </c>
      <c r="P257" s="307">
        <v>59602</v>
      </c>
      <c r="Q257" s="445">
        <f t="shared" si="75"/>
        <v>1072836</v>
      </c>
      <c r="R257" s="442">
        <v>26</v>
      </c>
      <c r="S257" s="443">
        <v>53671</v>
      </c>
      <c r="T257" s="444">
        <f t="shared" si="76"/>
        <v>1395446</v>
      </c>
      <c r="U257" s="306">
        <v>33</v>
      </c>
      <c r="V257" s="306">
        <v>51225</v>
      </c>
      <c r="W257" s="441">
        <f t="shared" si="77"/>
        <v>1690425</v>
      </c>
      <c r="X257" s="442">
        <v>13</v>
      </c>
      <c r="Y257" s="443">
        <v>44548</v>
      </c>
      <c r="Z257" s="444">
        <f t="shared" si="78"/>
        <v>579124</v>
      </c>
      <c r="AA257" s="307">
        <v>9</v>
      </c>
      <c r="AB257" s="307">
        <v>47266</v>
      </c>
      <c r="AC257" s="445">
        <f t="shared" si="79"/>
        <v>425394</v>
      </c>
      <c r="AD257" s="442"/>
      <c r="AE257" s="443"/>
      <c r="AF257" s="444">
        <f t="shared" si="80"/>
        <v>0</v>
      </c>
      <c r="AG257" s="307"/>
      <c r="AH257" s="307"/>
      <c r="AI257" s="445">
        <f t="shared" si="81"/>
        <v>0</v>
      </c>
      <c r="AJ257" s="446"/>
      <c r="AK257" s="443"/>
      <c r="AL257" s="444">
        <f t="shared" si="82"/>
        <v>0</v>
      </c>
      <c r="AM257" s="307"/>
      <c r="AN257" s="307"/>
      <c r="AO257" s="447">
        <f t="shared" si="83"/>
        <v>0</v>
      </c>
      <c r="AP257" s="448"/>
      <c r="AQ257" s="443"/>
      <c r="AR257" s="444">
        <f t="shared" si="84"/>
        <v>0</v>
      </c>
      <c r="AS257" s="307"/>
      <c r="AT257" s="307"/>
      <c r="AU257" s="441">
        <f t="shared" si="85"/>
        <v>0</v>
      </c>
      <c r="AV257" s="442">
        <v>2</v>
      </c>
      <c r="AW257" s="443">
        <v>87660</v>
      </c>
      <c r="AX257" s="444">
        <f t="shared" si="86"/>
        <v>143446.82399999999</v>
      </c>
      <c r="AY257" s="307">
        <v>4</v>
      </c>
      <c r="AZ257" s="307">
        <v>84461</v>
      </c>
      <c r="BA257" s="445">
        <f t="shared" si="87"/>
        <v>276423.9608</v>
      </c>
      <c r="BB257" s="371">
        <v>3</v>
      </c>
      <c r="BC257" s="372">
        <v>55978</v>
      </c>
      <c r="BD257" s="444">
        <f t="shared" si="88"/>
        <v>137403.59880000001</v>
      </c>
      <c r="BE257" s="307">
        <v>3</v>
      </c>
      <c r="BF257" s="307"/>
      <c r="BG257" s="445">
        <f t="shared" si="89"/>
        <v>0</v>
      </c>
      <c r="BH257" s="371"/>
      <c r="BI257" s="372"/>
      <c r="BJ257" s="444">
        <f t="shared" si="90"/>
        <v>0</v>
      </c>
      <c r="BK257" s="307">
        <v>2</v>
      </c>
      <c r="BL257" s="307"/>
      <c r="BM257" s="445">
        <f t="shared" si="91"/>
        <v>0</v>
      </c>
      <c r="BN257" s="371"/>
      <c r="BO257" s="372"/>
      <c r="BP257" s="444">
        <f t="shared" si="92"/>
        <v>0</v>
      </c>
      <c r="BQ257" s="307"/>
      <c r="BR257" s="307"/>
      <c r="BS257" s="445">
        <f t="shared" si="93"/>
        <v>0</v>
      </c>
      <c r="BT257" s="371"/>
      <c r="BU257" s="372"/>
      <c r="BV257" s="444">
        <f t="shared" si="94"/>
        <v>0</v>
      </c>
      <c r="BW257" s="307"/>
      <c r="BX257" s="307"/>
      <c r="BY257" s="449">
        <f t="shared" si="95"/>
        <v>0</v>
      </c>
    </row>
    <row r="258" spans="1:77" s="308" customFormat="1" ht="12.75" customHeight="1">
      <c r="A258" s="365" t="s">
        <v>340</v>
      </c>
      <c r="B258" s="396" t="s">
        <v>1001</v>
      </c>
      <c r="C258" s="531" t="s">
        <v>1074</v>
      </c>
      <c r="D258" s="367">
        <v>162122</v>
      </c>
      <c r="E258" s="368">
        <v>9</v>
      </c>
      <c r="F258" s="369">
        <v>67</v>
      </c>
      <c r="G258" s="370">
        <v>82550.790999999997</v>
      </c>
      <c r="H258" s="439">
        <f t="shared" si="72"/>
        <v>5530902.9969999995</v>
      </c>
      <c r="I258" s="311">
        <v>74</v>
      </c>
      <c r="J258" s="311">
        <v>81356</v>
      </c>
      <c r="K258" s="441">
        <f t="shared" si="73"/>
        <v>6020344</v>
      </c>
      <c r="L258" s="442">
        <v>16</v>
      </c>
      <c r="M258" s="443">
        <v>63946.625</v>
      </c>
      <c r="N258" s="444">
        <f t="shared" si="74"/>
        <v>1023146</v>
      </c>
      <c r="O258" s="307">
        <v>16</v>
      </c>
      <c r="P258" s="307">
        <v>64597</v>
      </c>
      <c r="Q258" s="445">
        <f t="shared" si="75"/>
        <v>1033552</v>
      </c>
      <c r="R258" s="442">
        <v>17</v>
      </c>
      <c r="S258" s="443">
        <v>58988.941200000001</v>
      </c>
      <c r="T258" s="444">
        <f t="shared" si="76"/>
        <v>1002812.0004</v>
      </c>
      <c r="U258" s="306">
        <v>13</v>
      </c>
      <c r="V258" s="306">
        <v>58333</v>
      </c>
      <c r="W258" s="441">
        <f t="shared" si="77"/>
        <v>758329</v>
      </c>
      <c r="X258" s="442">
        <v>1</v>
      </c>
      <c r="Y258" s="443">
        <v>43827</v>
      </c>
      <c r="Z258" s="444">
        <f t="shared" si="78"/>
        <v>43827</v>
      </c>
      <c r="AA258" s="307">
        <v>1</v>
      </c>
      <c r="AB258" s="307">
        <v>43765</v>
      </c>
      <c r="AC258" s="445">
        <f t="shared" si="79"/>
        <v>43765</v>
      </c>
      <c r="AD258" s="442"/>
      <c r="AE258" s="443"/>
      <c r="AF258" s="444">
        <f t="shared" si="80"/>
        <v>0</v>
      </c>
      <c r="AG258" s="307"/>
      <c r="AH258" s="307"/>
      <c r="AI258" s="445">
        <f t="shared" si="81"/>
        <v>0</v>
      </c>
      <c r="AJ258" s="446"/>
      <c r="AK258" s="443"/>
      <c r="AL258" s="444">
        <f t="shared" si="82"/>
        <v>0</v>
      </c>
      <c r="AM258" s="307"/>
      <c r="AN258" s="307"/>
      <c r="AO258" s="447">
        <f t="shared" si="83"/>
        <v>0</v>
      </c>
      <c r="AP258" s="448">
        <v>17</v>
      </c>
      <c r="AQ258" s="443">
        <v>100552.118</v>
      </c>
      <c r="AR258" s="444">
        <f t="shared" si="84"/>
        <v>1398619.6301092</v>
      </c>
      <c r="AS258" s="307">
        <v>15</v>
      </c>
      <c r="AT258" s="307">
        <v>101673</v>
      </c>
      <c r="AU258" s="441">
        <f t="shared" si="85"/>
        <v>1247832.7290000001</v>
      </c>
      <c r="AV258" s="442">
        <v>3</v>
      </c>
      <c r="AW258" s="443">
        <v>81096.666599999997</v>
      </c>
      <c r="AX258" s="444">
        <f t="shared" si="86"/>
        <v>199059.87783636001</v>
      </c>
      <c r="AY258" s="307">
        <v>6</v>
      </c>
      <c r="AZ258" s="307">
        <v>81396</v>
      </c>
      <c r="BA258" s="445">
        <f t="shared" si="87"/>
        <v>399589.24320000003</v>
      </c>
      <c r="BB258" s="371">
        <v>2</v>
      </c>
      <c r="BC258" s="372">
        <v>72062</v>
      </c>
      <c r="BD258" s="444">
        <f t="shared" si="88"/>
        <v>117922.2568</v>
      </c>
      <c r="BE258" s="307">
        <v>1</v>
      </c>
      <c r="BF258" s="307">
        <v>72481</v>
      </c>
      <c r="BG258" s="445">
        <f t="shared" si="89"/>
        <v>59303.9542</v>
      </c>
      <c r="BH258" s="371"/>
      <c r="BI258" s="372"/>
      <c r="BJ258" s="444">
        <f t="shared" si="90"/>
        <v>0</v>
      </c>
      <c r="BK258" s="307"/>
      <c r="BL258" s="307"/>
      <c r="BM258" s="445">
        <f t="shared" si="91"/>
        <v>0</v>
      </c>
      <c r="BN258" s="371"/>
      <c r="BO258" s="372"/>
      <c r="BP258" s="444">
        <f t="shared" si="92"/>
        <v>0</v>
      </c>
      <c r="BQ258" s="307"/>
      <c r="BR258" s="307"/>
      <c r="BS258" s="445">
        <f t="shared" si="93"/>
        <v>0</v>
      </c>
      <c r="BT258" s="371"/>
      <c r="BU258" s="372"/>
      <c r="BV258" s="444">
        <f t="shared" si="94"/>
        <v>0</v>
      </c>
      <c r="BW258" s="307"/>
      <c r="BX258" s="307"/>
      <c r="BY258" s="449">
        <f t="shared" si="95"/>
        <v>0</v>
      </c>
    </row>
    <row r="259" spans="1:77" s="308" customFormat="1" ht="12.75" customHeight="1">
      <c r="A259" s="365" t="s">
        <v>340</v>
      </c>
      <c r="B259" s="366" t="s">
        <v>1002</v>
      </c>
      <c r="C259" s="366"/>
      <c r="D259" s="367">
        <v>162557</v>
      </c>
      <c r="E259" s="368">
        <v>9</v>
      </c>
      <c r="F259" s="369">
        <v>21</v>
      </c>
      <c r="G259" s="370">
        <v>82104.38</v>
      </c>
      <c r="H259" s="439">
        <f t="shared" si="72"/>
        <v>1724191.98</v>
      </c>
      <c r="I259" s="311">
        <v>21</v>
      </c>
      <c r="J259" s="311">
        <v>82671</v>
      </c>
      <c r="K259" s="441">
        <f t="shared" si="73"/>
        <v>1736091</v>
      </c>
      <c r="L259" s="442">
        <v>22</v>
      </c>
      <c r="M259" s="443">
        <v>71813</v>
      </c>
      <c r="N259" s="444">
        <f t="shared" si="74"/>
        <v>1579886</v>
      </c>
      <c r="O259" s="307">
        <v>19</v>
      </c>
      <c r="P259" s="307">
        <v>69956</v>
      </c>
      <c r="Q259" s="445">
        <f t="shared" si="75"/>
        <v>1329164</v>
      </c>
      <c r="R259" s="442">
        <v>47</v>
      </c>
      <c r="S259" s="443">
        <v>58874</v>
      </c>
      <c r="T259" s="444">
        <f t="shared" si="76"/>
        <v>2767078</v>
      </c>
      <c r="U259" s="306">
        <v>54</v>
      </c>
      <c r="V259" s="306">
        <v>58825</v>
      </c>
      <c r="W259" s="441">
        <f t="shared" si="77"/>
        <v>3176550</v>
      </c>
      <c r="X259" s="442"/>
      <c r="Y259" s="443"/>
      <c r="Z259" s="444">
        <f t="shared" si="78"/>
        <v>0</v>
      </c>
      <c r="AA259" s="307"/>
      <c r="AB259" s="307"/>
      <c r="AC259" s="445">
        <f t="shared" si="79"/>
        <v>0</v>
      </c>
      <c r="AD259" s="442"/>
      <c r="AE259" s="443"/>
      <c r="AF259" s="444">
        <f t="shared" si="80"/>
        <v>0</v>
      </c>
      <c r="AG259" s="307"/>
      <c r="AH259" s="307"/>
      <c r="AI259" s="445">
        <f t="shared" si="81"/>
        <v>0</v>
      </c>
      <c r="AJ259" s="446"/>
      <c r="AK259" s="443"/>
      <c r="AL259" s="444">
        <f t="shared" si="82"/>
        <v>0</v>
      </c>
      <c r="AM259" s="307"/>
      <c r="AN259" s="307"/>
      <c r="AO259" s="447">
        <f t="shared" si="83"/>
        <v>0</v>
      </c>
      <c r="AP259" s="448">
        <v>3</v>
      </c>
      <c r="AQ259" s="443">
        <v>102362</v>
      </c>
      <c r="AR259" s="444">
        <f t="shared" si="84"/>
        <v>251257.76520000002</v>
      </c>
      <c r="AS259" s="307">
        <v>2</v>
      </c>
      <c r="AT259" s="307">
        <v>102255</v>
      </c>
      <c r="AU259" s="441">
        <f t="shared" si="85"/>
        <v>167330.08199999999</v>
      </c>
      <c r="AV259" s="442">
        <v>1</v>
      </c>
      <c r="AW259" s="443">
        <v>92701</v>
      </c>
      <c r="AX259" s="444">
        <f t="shared" si="86"/>
        <v>75847.958200000008</v>
      </c>
      <c r="AY259" s="307">
        <v>1</v>
      </c>
      <c r="AZ259" s="307">
        <v>94555</v>
      </c>
      <c r="BA259" s="445">
        <f t="shared" si="87"/>
        <v>77364.900999999998</v>
      </c>
      <c r="BB259" s="371">
        <v>2</v>
      </c>
      <c r="BC259" s="372">
        <v>74398</v>
      </c>
      <c r="BD259" s="444">
        <f t="shared" si="88"/>
        <v>121744.88720000001</v>
      </c>
      <c r="BE259" s="307">
        <v>1</v>
      </c>
      <c r="BF259" s="307">
        <v>70041</v>
      </c>
      <c r="BG259" s="445">
        <f t="shared" si="89"/>
        <v>57307.546200000004</v>
      </c>
      <c r="BH259" s="371"/>
      <c r="BI259" s="372"/>
      <c r="BJ259" s="444">
        <f t="shared" si="90"/>
        <v>0</v>
      </c>
      <c r="BK259" s="307"/>
      <c r="BL259" s="307"/>
      <c r="BM259" s="445">
        <f t="shared" si="91"/>
        <v>0</v>
      </c>
      <c r="BN259" s="371"/>
      <c r="BO259" s="372"/>
      <c r="BP259" s="444">
        <f t="shared" si="92"/>
        <v>0</v>
      </c>
      <c r="BQ259" s="307"/>
      <c r="BR259" s="307"/>
      <c r="BS259" s="445">
        <f t="shared" si="93"/>
        <v>0</v>
      </c>
      <c r="BT259" s="371"/>
      <c r="BU259" s="372"/>
      <c r="BV259" s="444">
        <f t="shared" si="94"/>
        <v>0</v>
      </c>
      <c r="BW259" s="307"/>
      <c r="BX259" s="307"/>
      <c r="BY259" s="449">
        <f t="shared" si="95"/>
        <v>0</v>
      </c>
    </row>
    <row r="260" spans="1:77" s="308" customFormat="1" ht="12.75" customHeight="1">
      <c r="A260" s="425" t="s">
        <v>340</v>
      </c>
      <c r="B260" s="366" t="s">
        <v>1003</v>
      </c>
      <c r="C260" s="366"/>
      <c r="D260" s="426">
        <v>162690</v>
      </c>
      <c r="E260" s="427">
        <v>9</v>
      </c>
      <c r="F260" s="369">
        <v>13</v>
      </c>
      <c r="G260" s="370">
        <v>75030</v>
      </c>
      <c r="H260" s="439">
        <f t="shared" si="72"/>
        <v>975390</v>
      </c>
      <c r="I260" s="311">
        <v>12</v>
      </c>
      <c r="J260" s="311">
        <v>73654</v>
      </c>
      <c r="K260" s="441">
        <f t="shared" si="73"/>
        <v>883848</v>
      </c>
      <c r="L260" s="442">
        <v>8</v>
      </c>
      <c r="M260" s="443">
        <v>58810.75</v>
      </c>
      <c r="N260" s="444">
        <f t="shared" si="74"/>
        <v>470486</v>
      </c>
      <c r="O260" s="307">
        <v>10</v>
      </c>
      <c r="P260" s="307">
        <v>57062</v>
      </c>
      <c r="Q260" s="445">
        <f t="shared" si="75"/>
        <v>570620</v>
      </c>
      <c r="R260" s="442">
        <v>26</v>
      </c>
      <c r="S260" s="443">
        <v>52525</v>
      </c>
      <c r="T260" s="444">
        <f t="shared" si="76"/>
        <v>1365650</v>
      </c>
      <c r="U260" s="306">
        <v>23</v>
      </c>
      <c r="V260" s="306">
        <v>52187</v>
      </c>
      <c r="W260" s="441">
        <f t="shared" si="77"/>
        <v>1200301</v>
      </c>
      <c r="X260" s="442">
        <v>12</v>
      </c>
      <c r="Y260" s="443">
        <v>47481</v>
      </c>
      <c r="Z260" s="444">
        <f t="shared" si="78"/>
        <v>569772</v>
      </c>
      <c r="AA260" s="307">
        <v>16</v>
      </c>
      <c r="AB260" s="307">
        <v>46714</v>
      </c>
      <c r="AC260" s="445">
        <f t="shared" si="79"/>
        <v>747424</v>
      </c>
      <c r="AD260" s="442"/>
      <c r="AE260" s="443"/>
      <c r="AF260" s="444">
        <f t="shared" si="80"/>
        <v>0</v>
      </c>
      <c r="AG260" s="307"/>
      <c r="AH260" s="307"/>
      <c r="AI260" s="445">
        <f t="shared" si="81"/>
        <v>0</v>
      </c>
      <c r="AJ260" s="446"/>
      <c r="AK260" s="443"/>
      <c r="AL260" s="444">
        <f t="shared" si="82"/>
        <v>0</v>
      </c>
      <c r="AM260" s="307"/>
      <c r="AN260" s="307"/>
      <c r="AO260" s="447">
        <f t="shared" si="83"/>
        <v>0</v>
      </c>
      <c r="AP260" s="448">
        <v>3</v>
      </c>
      <c r="AQ260" s="443">
        <v>94663</v>
      </c>
      <c r="AR260" s="444">
        <f t="shared" si="84"/>
        <v>232359.79980000001</v>
      </c>
      <c r="AS260" s="307">
        <v>3</v>
      </c>
      <c r="AT260" s="307">
        <v>94894</v>
      </c>
      <c r="AU260" s="441">
        <f t="shared" si="85"/>
        <v>232926.81240000002</v>
      </c>
      <c r="AV260" s="442">
        <v>1</v>
      </c>
      <c r="AW260" s="443">
        <v>62802</v>
      </c>
      <c r="AX260" s="444">
        <f t="shared" si="86"/>
        <v>51384.596400000002</v>
      </c>
      <c r="AY260" s="307">
        <v>1</v>
      </c>
      <c r="AZ260" s="307">
        <v>62802</v>
      </c>
      <c r="BA260" s="445">
        <f t="shared" si="87"/>
        <v>51384.596400000002</v>
      </c>
      <c r="BB260" s="371">
        <v>4</v>
      </c>
      <c r="BC260" s="372">
        <v>60385</v>
      </c>
      <c r="BD260" s="444">
        <f t="shared" si="88"/>
        <v>197628.02800000002</v>
      </c>
      <c r="BE260" s="307">
        <v>4</v>
      </c>
      <c r="BF260" s="307">
        <v>60464</v>
      </c>
      <c r="BG260" s="445">
        <f t="shared" si="89"/>
        <v>197886.57920000001</v>
      </c>
      <c r="BH260" s="371">
        <v>6</v>
      </c>
      <c r="BI260" s="372">
        <v>50874</v>
      </c>
      <c r="BJ260" s="444">
        <f t="shared" si="90"/>
        <v>249750.64080000002</v>
      </c>
      <c r="BK260" s="307">
        <v>8</v>
      </c>
      <c r="BL260" s="307">
        <v>47685</v>
      </c>
      <c r="BM260" s="445">
        <f t="shared" si="91"/>
        <v>312126.93599999999</v>
      </c>
      <c r="BN260" s="371"/>
      <c r="BO260" s="372"/>
      <c r="BP260" s="444">
        <f t="shared" si="92"/>
        <v>0</v>
      </c>
      <c r="BQ260" s="307">
        <v>1</v>
      </c>
      <c r="BR260" s="307">
        <v>52000</v>
      </c>
      <c r="BS260" s="445">
        <f t="shared" si="93"/>
        <v>42546.400000000001</v>
      </c>
      <c r="BT260" s="371"/>
      <c r="BU260" s="372"/>
      <c r="BV260" s="444">
        <f t="shared" si="94"/>
        <v>0</v>
      </c>
      <c r="BW260" s="307"/>
      <c r="BX260" s="307"/>
      <c r="BY260" s="449">
        <f t="shared" si="95"/>
        <v>0</v>
      </c>
    </row>
    <row r="261" spans="1:77" s="308" customFormat="1" ht="12.75" customHeight="1">
      <c r="A261" s="365" t="s">
        <v>340</v>
      </c>
      <c r="B261" s="366" t="s">
        <v>1004</v>
      </c>
      <c r="C261" s="366"/>
      <c r="D261" s="367">
        <v>162706</v>
      </c>
      <c r="E261" s="368">
        <v>9</v>
      </c>
      <c r="F261" s="369">
        <v>17</v>
      </c>
      <c r="G261" s="370">
        <v>83520</v>
      </c>
      <c r="H261" s="439">
        <f t="shared" si="72"/>
        <v>1419840</v>
      </c>
      <c r="I261" s="311">
        <v>17</v>
      </c>
      <c r="J261" s="311">
        <v>81608</v>
      </c>
      <c r="K261" s="441">
        <f t="shared" si="73"/>
        <v>1387336</v>
      </c>
      <c r="L261" s="442">
        <v>20</v>
      </c>
      <c r="M261" s="443">
        <v>67531</v>
      </c>
      <c r="N261" s="444">
        <f t="shared" si="74"/>
        <v>1350620</v>
      </c>
      <c r="O261" s="307">
        <v>23</v>
      </c>
      <c r="P261" s="307">
        <v>66210</v>
      </c>
      <c r="Q261" s="445">
        <f t="shared" si="75"/>
        <v>1522830</v>
      </c>
      <c r="R261" s="442">
        <v>21</v>
      </c>
      <c r="S261" s="443">
        <v>55142.618999999999</v>
      </c>
      <c r="T261" s="444">
        <f t="shared" si="76"/>
        <v>1157994.9990000001</v>
      </c>
      <c r="U261" s="306">
        <v>19</v>
      </c>
      <c r="V261" s="306">
        <v>52731</v>
      </c>
      <c r="W261" s="441">
        <f t="shared" si="77"/>
        <v>1001889</v>
      </c>
      <c r="X261" s="442">
        <v>2</v>
      </c>
      <c r="Y261" s="443">
        <v>50114</v>
      </c>
      <c r="Z261" s="444">
        <f t="shared" si="78"/>
        <v>100228</v>
      </c>
      <c r="AA261" s="307"/>
      <c r="AB261" s="307"/>
      <c r="AC261" s="445">
        <f t="shared" si="79"/>
        <v>0</v>
      </c>
      <c r="AD261" s="442"/>
      <c r="AE261" s="443"/>
      <c r="AF261" s="444">
        <f t="shared" si="80"/>
        <v>0</v>
      </c>
      <c r="AG261" s="307">
        <v>36</v>
      </c>
      <c r="AH261" s="307">
        <v>44136</v>
      </c>
      <c r="AI261" s="445">
        <f t="shared" si="81"/>
        <v>1588896</v>
      </c>
      <c r="AJ261" s="446"/>
      <c r="AK261" s="443"/>
      <c r="AL261" s="444">
        <f t="shared" si="82"/>
        <v>0</v>
      </c>
      <c r="AM261" s="307"/>
      <c r="AN261" s="307"/>
      <c r="AO261" s="447">
        <f t="shared" si="83"/>
        <v>0</v>
      </c>
      <c r="AP261" s="448"/>
      <c r="AQ261" s="443"/>
      <c r="AR261" s="444">
        <f t="shared" si="84"/>
        <v>0</v>
      </c>
      <c r="AS261" s="307"/>
      <c r="AT261" s="307"/>
      <c r="AU261" s="441">
        <f t="shared" si="85"/>
        <v>0</v>
      </c>
      <c r="AV261" s="442">
        <v>1</v>
      </c>
      <c r="AW261" s="443">
        <v>88332</v>
      </c>
      <c r="AX261" s="444">
        <f t="shared" si="86"/>
        <v>72273.242400000003</v>
      </c>
      <c r="AY261" s="307">
        <v>1</v>
      </c>
      <c r="AZ261" s="307">
        <v>88332</v>
      </c>
      <c r="BA261" s="445">
        <f t="shared" si="87"/>
        <v>72273.242400000003</v>
      </c>
      <c r="BB261" s="371"/>
      <c r="BC261" s="372"/>
      <c r="BD261" s="444">
        <f t="shared" si="88"/>
        <v>0</v>
      </c>
      <c r="BE261" s="307">
        <v>3</v>
      </c>
      <c r="BF261" s="307"/>
      <c r="BG261" s="445">
        <f t="shared" si="89"/>
        <v>0</v>
      </c>
      <c r="BH261" s="371"/>
      <c r="BI261" s="372"/>
      <c r="BJ261" s="444">
        <f t="shared" si="90"/>
        <v>0</v>
      </c>
      <c r="BK261" s="307">
        <v>2</v>
      </c>
      <c r="BL261" s="307">
        <v>62986</v>
      </c>
      <c r="BM261" s="445">
        <f t="shared" si="91"/>
        <v>103070.2904</v>
      </c>
      <c r="BN261" s="371">
        <v>1</v>
      </c>
      <c r="BO261" s="372">
        <v>52000</v>
      </c>
      <c r="BP261" s="444">
        <f t="shared" si="92"/>
        <v>42546.400000000001</v>
      </c>
      <c r="BQ261" s="307"/>
      <c r="BR261" s="307"/>
      <c r="BS261" s="445">
        <f t="shared" si="93"/>
        <v>0</v>
      </c>
      <c r="BT261" s="371"/>
      <c r="BU261" s="372"/>
      <c r="BV261" s="444">
        <f t="shared" si="94"/>
        <v>0</v>
      </c>
      <c r="BW261" s="307"/>
      <c r="BX261" s="307"/>
      <c r="BY261" s="449">
        <f t="shared" si="95"/>
        <v>0</v>
      </c>
    </row>
    <row r="262" spans="1:77" s="308" customFormat="1" ht="12.75" customHeight="1">
      <c r="A262" s="365" t="s">
        <v>340</v>
      </c>
      <c r="B262" s="396" t="s">
        <v>1005</v>
      </c>
      <c r="C262" s="531" t="s">
        <v>1074</v>
      </c>
      <c r="D262" s="367">
        <v>162779</v>
      </c>
      <c r="E262" s="368">
        <v>9</v>
      </c>
      <c r="F262" s="369">
        <v>33</v>
      </c>
      <c r="G262" s="370">
        <v>81769</v>
      </c>
      <c r="H262" s="439">
        <f t="shared" si="72"/>
        <v>2698377</v>
      </c>
      <c r="I262" s="311">
        <v>34</v>
      </c>
      <c r="J262" s="311">
        <v>81219</v>
      </c>
      <c r="K262" s="441">
        <f t="shared" si="73"/>
        <v>2761446</v>
      </c>
      <c r="L262" s="442">
        <v>23</v>
      </c>
      <c r="M262" s="443">
        <v>67255.304000000004</v>
      </c>
      <c r="N262" s="444">
        <f t="shared" si="74"/>
        <v>1546871.9920000001</v>
      </c>
      <c r="O262" s="307">
        <v>23</v>
      </c>
      <c r="P262" s="307">
        <v>67336</v>
      </c>
      <c r="Q262" s="445">
        <f t="shared" si="75"/>
        <v>1548728</v>
      </c>
      <c r="R262" s="442">
        <v>43</v>
      </c>
      <c r="S262" s="443">
        <v>57706.6512</v>
      </c>
      <c r="T262" s="444">
        <f t="shared" si="76"/>
        <v>2481386.0016000001</v>
      </c>
      <c r="U262" s="306">
        <v>48</v>
      </c>
      <c r="V262" s="306">
        <v>57157</v>
      </c>
      <c r="W262" s="441">
        <f t="shared" si="77"/>
        <v>2743536</v>
      </c>
      <c r="X262" s="442">
        <v>21</v>
      </c>
      <c r="Y262" s="443">
        <v>51211.809000000001</v>
      </c>
      <c r="Z262" s="444">
        <f t="shared" si="78"/>
        <v>1075447.9890000001</v>
      </c>
      <c r="AA262" s="307">
        <v>19</v>
      </c>
      <c r="AB262" s="307">
        <v>52159</v>
      </c>
      <c r="AC262" s="445">
        <f t="shared" si="79"/>
        <v>991021</v>
      </c>
      <c r="AD262" s="442">
        <v>1</v>
      </c>
      <c r="AE262" s="443">
        <v>51980</v>
      </c>
      <c r="AF262" s="444">
        <f t="shared" si="80"/>
        <v>51980</v>
      </c>
      <c r="AG262" s="307"/>
      <c r="AH262" s="307"/>
      <c r="AI262" s="445">
        <f t="shared" si="81"/>
        <v>0</v>
      </c>
      <c r="AJ262" s="446"/>
      <c r="AK262" s="443"/>
      <c r="AL262" s="444">
        <f t="shared" si="82"/>
        <v>0</v>
      </c>
      <c r="AM262" s="307"/>
      <c r="AN262" s="307"/>
      <c r="AO262" s="447">
        <f t="shared" si="83"/>
        <v>0</v>
      </c>
      <c r="AP262" s="448">
        <v>18</v>
      </c>
      <c r="AQ262" s="443">
        <v>100778.3333</v>
      </c>
      <c r="AR262" s="444">
        <f t="shared" si="84"/>
        <v>1484222.9815090802</v>
      </c>
      <c r="AS262" s="307">
        <v>16</v>
      </c>
      <c r="AT262" s="307">
        <v>101378</v>
      </c>
      <c r="AU262" s="441">
        <f t="shared" si="85"/>
        <v>1327159.6736000001</v>
      </c>
      <c r="AV262" s="442">
        <v>5</v>
      </c>
      <c r="AW262" s="443">
        <v>82431.199999999997</v>
      </c>
      <c r="AX262" s="444">
        <f t="shared" si="86"/>
        <v>337226.0392</v>
      </c>
      <c r="AY262" s="307">
        <v>7</v>
      </c>
      <c r="AZ262" s="307">
        <v>81880</v>
      </c>
      <c r="BA262" s="445">
        <f t="shared" si="87"/>
        <v>468959.51200000005</v>
      </c>
      <c r="BB262" s="371">
        <v>4</v>
      </c>
      <c r="BC262" s="372">
        <v>71908</v>
      </c>
      <c r="BD262" s="444">
        <f t="shared" si="88"/>
        <v>235340.5024</v>
      </c>
      <c r="BE262" s="307">
        <v>3</v>
      </c>
      <c r="BF262" s="307">
        <v>73161</v>
      </c>
      <c r="BG262" s="445">
        <f t="shared" si="89"/>
        <v>179580.99060000002</v>
      </c>
      <c r="BH262" s="371">
        <v>1</v>
      </c>
      <c r="BI262" s="372">
        <v>53424</v>
      </c>
      <c r="BJ262" s="444">
        <f t="shared" si="90"/>
        <v>43711.516800000005</v>
      </c>
      <c r="BK262" s="307">
        <v>2</v>
      </c>
      <c r="BL262" s="307"/>
      <c r="BM262" s="445">
        <f t="shared" si="91"/>
        <v>0</v>
      </c>
      <c r="BN262" s="371"/>
      <c r="BO262" s="372"/>
      <c r="BP262" s="444">
        <f t="shared" si="92"/>
        <v>0</v>
      </c>
      <c r="BQ262" s="307"/>
      <c r="BR262" s="307"/>
      <c r="BS262" s="445">
        <f t="shared" si="93"/>
        <v>0</v>
      </c>
      <c r="BT262" s="371"/>
      <c r="BU262" s="372"/>
      <c r="BV262" s="444">
        <f t="shared" si="94"/>
        <v>0</v>
      </c>
      <c r="BW262" s="307"/>
      <c r="BX262" s="307"/>
      <c r="BY262" s="449">
        <f t="shared" si="95"/>
        <v>0</v>
      </c>
    </row>
    <row r="263" spans="1:77" s="308" customFormat="1" ht="12.75" customHeight="1">
      <c r="A263" s="365" t="s">
        <v>340</v>
      </c>
      <c r="B263" s="528" t="s">
        <v>1010</v>
      </c>
      <c r="C263" s="529" t="s">
        <v>1117</v>
      </c>
      <c r="D263" s="367">
        <v>164313</v>
      </c>
      <c r="E263" s="530">
        <v>9</v>
      </c>
      <c r="F263" s="369">
        <v>6</v>
      </c>
      <c r="G263" s="370">
        <v>82010.833299999998</v>
      </c>
      <c r="H263" s="439">
        <f t="shared" si="72"/>
        <v>492064.99979999999</v>
      </c>
      <c r="I263" s="311">
        <v>5</v>
      </c>
      <c r="J263" s="311">
        <v>82661</v>
      </c>
      <c r="K263" s="441">
        <f t="shared" si="73"/>
        <v>413305</v>
      </c>
      <c r="L263" s="442">
        <v>8</v>
      </c>
      <c r="M263" s="443">
        <v>63220.875</v>
      </c>
      <c r="N263" s="444">
        <f t="shared" si="74"/>
        <v>505767</v>
      </c>
      <c r="O263" s="307">
        <v>7</v>
      </c>
      <c r="P263" s="307">
        <v>62862</v>
      </c>
      <c r="Q263" s="445">
        <f t="shared" si="75"/>
        <v>440034</v>
      </c>
      <c r="R263" s="442">
        <v>17</v>
      </c>
      <c r="S263" s="443">
        <v>54532</v>
      </c>
      <c r="T263" s="444">
        <f t="shared" si="76"/>
        <v>927044</v>
      </c>
      <c r="U263" s="306">
        <v>18</v>
      </c>
      <c r="V263" s="306">
        <v>53865</v>
      </c>
      <c r="W263" s="441">
        <f t="shared" si="77"/>
        <v>969570</v>
      </c>
      <c r="X263" s="442">
        <v>21</v>
      </c>
      <c r="Y263" s="443">
        <v>46113.571000000004</v>
      </c>
      <c r="Z263" s="444">
        <f t="shared" si="78"/>
        <v>968384.99100000004</v>
      </c>
      <c r="AA263" s="307">
        <v>22</v>
      </c>
      <c r="AB263" s="307">
        <v>45164</v>
      </c>
      <c r="AC263" s="445">
        <f t="shared" si="79"/>
        <v>993608</v>
      </c>
      <c r="AD263" s="442"/>
      <c r="AE263" s="443"/>
      <c r="AF263" s="444">
        <f t="shared" si="80"/>
        <v>0</v>
      </c>
      <c r="AG263" s="307"/>
      <c r="AH263" s="307"/>
      <c r="AI263" s="445">
        <f t="shared" si="81"/>
        <v>0</v>
      </c>
      <c r="AJ263" s="446"/>
      <c r="AK263" s="443"/>
      <c r="AL263" s="444">
        <f t="shared" si="82"/>
        <v>0</v>
      </c>
      <c r="AM263" s="307"/>
      <c r="AN263" s="307"/>
      <c r="AO263" s="447">
        <f t="shared" si="83"/>
        <v>0</v>
      </c>
      <c r="AP263" s="448">
        <v>4</v>
      </c>
      <c r="AQ263" s="443">
        <v>88738.5</v>
      </c>
      <c r="AR263" s="444">
        <f t="shared" si="84"/>
        <v>290423.3628</v>
      </c>
      <c r="AS263" s="307">
        <v>4</v>
      </c>
      <c r="AT263" s="307">
        <v>88739</v>
      </c>
      <c r="AU263" s="441">
        <f t="shared" si="85"/>
        <v>290424.99920000002</v>
      </c>
      <c r="AV263" s="442">
        <v>4</v>
      </c>
      <c r="AW263" s="443">
        <v>80042.5</v>
      </c>
      <c r="AX263" s="444">
        <f t="shared" si="86"/>
        <v>261963.09400000001</v>
      </c>
      <c r="AY263" s="307">
        <v>3</v>
      </c>
      <c r="AZ263" s="307">
        <v>82686</v>
      </c>
      <c r="BA263" s="445">
        <f t="shared" si="87"/>
        <v>202961.05560000002</v>
      </c>
      <c r="BB263" s="371">
        <v>3</v>
      </c>
      <c r="BC263" s="372">
        <v>64026</v>
      </c>
      <c r="BD263" s="444">
        <f t="shared" si="88"/>
        <v>157158.21960000001</v>
      </c>
      <c r="BE263" s="307">
        <v>4</v>
      </c>
      <c r="BF263" s="307">
        <v>63975</v>
      </c>
      <c r="BG263" s="445">
        <f t="shared" si="89"/>
        <v>209377.38</v>
      </c>
      <c r="BH263" s="371">
        <v>5</v>
      </c>
      <c r="BI263" s="372">
        <v>56969.599999999999</v>
      </c>
      <c r="BJ263" s="444">
        <f t="shared" si="90"/>
        <v>233062.6336</v>
      </c>
      <c r="BK263" s="307">
        <v>4</v>
      </c>
      <c r="BL263" s="307"/>
      <c r="BM263" s="445">
        <f t="shared" si="91"/>
        <v>0</v>
      </c>
      <c r="BN263" s="371"/>
      <c r="BO263" s="372"/>
      <c r="BP263" s="444">
        <f t="shared" si="92"/>
        <v>0</v>
      </c>
      <c r="BQ263" s="307"/>
      <c r="BR263" s="307"/>
      <c r="BS263" s="445">
        <f t="shared" si="93"/>
        <v>0</v>
      </c>
      <c r="BT263" s="371"/>
      <c r="BU263" s="372"/>
      <c r="BV263" s="444">
        <f t="shared" si="94"/>
        <v>0</v>
      </c>
      <c r="BW263" s="307"/>
      <c r="BX263" s="307"/>
      <c r="BY263" s="449">
        <f t="shared" si="95"/>
        <v>0</v>
      </c>
    </row>
    <row r="264" spans="1:77" s="308" customFormat="1" ht="12.75" customHeight="1">
      <c r="A264" s="365" t="s">
        <v>340</v>
      </c>
      <c r="B264" s="366" t="s">
        <v>1007</v>
      </c>
      <c r="C264" s="366"/>
      <c r="D264" s="367">
        <v>162104</v>
      </c>
      <c r="E264" s="368">
        <v>10</v>
      </c>
      <c r="F264" s="369">
        <v>12</v>
      </c>
      <c r="G264" s="370">
        <v>72737.919999999998</v>
      </c>
      <c r="H264" s="439">
        <f t="shared" si="72"/>
        <v>872855.04000000004</v>
      </c>
      <c r="I264" s="311">
        <v>10</v>
      </c>
      <c r="J264" s="311">
        <v>70424</v>
      </c>
      <c r="K264" s="441">
        <f t="shared" si="73"/>
        <v>704240</v>
      </c>
      <c r="L264" s="442">
        <v>14</v>
      </c>
      <c r="M264" s="443">
        <v>61727</v>
      </c>
      <c r="N264" s="444">
        <f t="shared" si="74"/>
        <v>864178</v>
      </c>
      <c r="O264" s="307">
        <v>10</v>
      </c>
      <c r="P264" s="307">
        <v>58752</v>
      </c>
      <c r="Q264" s="445">
        <f t="shared" si="75"/>
        <v>587520</v>
      </c>
      <c r="R264" s="442">
        <v>17</v>
      </c>
      <c r="S264" s="443">
        <v>47833.588000000003</v>
      </c>
      <c r="T264" s="444">
        <f t="shared" si="76"/>
        <v>813170.99600000004</v>
      </c>
      <c r="U264" s="306">
        <v>21</v>
      </c>
      <c r="V264" s="306">
        <v>48618</v>
      </c>
      <c r="W264" s="441">
        <f t="shared" si="77"/>
        <v>1020978</v>
      </c>
      <c r="X264" s="442"/>
      <c r="Y264" s="443"/>
      <c r="Z264" s="444">
        <f t="shared" si="78"/>
        <v>0</v>
      </c>
      <c r="AA264" s="307"/>
      <c r="AB264" s="307"/>
      <c r="AC264" s="445">
        <f t="shared" si="79"/>
        <v>0</v>
      </c>
      <c r="AD264" s="442"/>
      <c r="AE264" s="443"/>
      <c r="AF264" s="444">
        <f t="shared" si="80"/>
        <v>0</v>
      </c>
      <c r="AG264" s="307"/>
      <c r="AH264" s="307"/>
      <c r="AI264" s="445">
        <f t="shared" si="81"/>
        <v>0</v>
      </c>
      <c r="AJ264" s="446"/>
      <c r="AK264" s="443"/>
      <c r="AL264" s="444">
        <f t="shared" si="82"/>
        <v>0</v>
      </c>
      <c r="AM264" s="307"/>
      <c r="AN264" s="307"/>
      <c r="AO264" s="447">
        <f t="shared" si="83"/>
        <v>0</v>
      </c>
      <c r="AP264" s="448">
        <v>3</v>
      </c>
      <c r="AQ264" s="443">
        <v>84723</v>
      </c>
      <c r="AR264" s="444">
        <f t="shared" si="84"/>
        <v>207961.07580000002</v>
      </c>
      <c r="AS264" s="307">
        <v>2</v>
      </c>
      <c r="AT264" s="307">
        <v>79255</v>
      </c>
      <c r="AU264" s="441">
        <f t="shared" si="85"/>
        <v>129692.88200000001</v>
      </c>
      <c r="AV264" s="442"/>
      <c r="AW264" s="443"/>
      <c r="AX264" s="444">
        <f t="shared" si="86"/>
        <v>0</v>
      </c>
      <c r="AY264" s="307"/>
      <c r="AZ264" s="307"/>
      <c r="BA264" s="445">
        <f t="shared" si="87"/>
        <v>0</v>
      </c>
      <c r="BB264" s="371">
        <v>1</v>
      </c>
      <c r="BC264" s="372">
        <v>53788</v>
      </c>
      <c r="BD264" s="444">
        <f t="shared" si="88"/>
        <v>44009.3416</v>
      </c>
      <c r="BE264" s="307">
        <v>1</v>
      </c>
      <c r="BF264" s="307">
        <v>56234</v>
      </c>
      <c r="BG264" s="445">
        <f t="shared" si="89"/>
        <v>46010.658800000005</v>
      </c>
      <c r="BH264" s="371"/>
      <c r="BI264" s="372"/>
      <c r="BJ264" s="444">
        <f t="shared" si="90"/>
        <v>0</v>
      </c>
      <c r="BK264" s="307"/>
      <c r="BL264" s="307"/>
      <c r="BM264" s="445">
        <f t="shared" si="91"/>
        <v>0</v>
      </c>
      <c r="BN264" s="371"/>
      <c r="BO264" s="372"/>
      <c r="BP264" s="444">
        <f t="shared" si="92"/>
        <v>0</v>
      </c>
      <c r="BQ264" s="307"/>
      <c r="BR264" s="307"/>
      <c r="BS264" s="445">
        <f t="shared" si="93"/>
        <v>0</v>
      </c>
      <c r="BT264" s="371"/>
      <c r="BU264" s="372"/>
      <c r="BV264" s="444">
        <f t="shared" si="94"/>
        <v>0</v>
      </c>
      <c r="BW264" s="307"/>
      <c r="BX264" s="307"/>
      <c r="BY264" s="449">
        <f t="shared" si="95"/>
        <v>0</v>
      </c>
    </row>
    <row r="265" spans="1:77" s="308" customFormat="1" ht="12.75" customHeight="1">
      <c r="A265" s="365" t="s">
        <v>340</v>
      </c>
      <c r="B265" s="366" t="s">
        <v>1008</v>
      </c>
      <c r="C265" s="366"/>
      <c r="D265" s="367">
        <v>162168</v>
      </c>
      <c r="E265" s="368">
        <v>10</v>
      </c>
      <c r="F265" s="369">
        <v>12</v>
      </c>
      <c r="G265" s="370">
        <v>75108.67</v>
      </c>
      <c r="H265" s="439">
        <f t="shared" ref="H265:H328" si="96">F265*G265</f>
        <v>901304.04</v>
      </c>
      <c r="I265" s="311">
        <v>12</v>
      </c>
      <c r="J265" s="311">
        <v>75109</v>
      </c>
      <c r="K265" s="441">
        <f t="shared" ref="K265:K328" si="97">I265*J265</f>
        <v>901308</v>
      </c>
      <c r="L265" s="442">
        <v>18</v>
      </c>
      <c r="M265" s="443">
        <v>68693.78</v>
      </c>
      <c r="N265" s="444">
        <f t="shared" ref="N265:N328" si="98">L265*M265</f>
        <v>1236488.04</v>
      </c>
      <c r="O265" s="307">
        <v>18</v>
      </c>
      <c r="P265" s="307">
        <v>68694</v>
      </c>
      <c r="Q265" s="445">
        <f t="shared" ref="Q265:Q328" si="99">O265*P265</f>
        <v>1236492</v>
      </c>
      <c r="R265" s="442">
        <v>13</v>
      </c>
      <c r="S265" s="443">
        <v>57424</v>
      </c>
      <c r="T265" s="444">
        <f t="shared" ref="T265:T328" si="100">R265*S265</f>
        <v>746512</v>
      </c>
      <c r="U265" s="306">
        <v>15</v>
      </c>
      <c r="V265" s="306">
        <v>57215</v>
      </c>
      <c r="W265" s="441">
        <f t="shared" ref="W265:W328" si="101">U265*V265</f>
        <v>858225</v>
      </c>
      <c r="X265" s="442">
        <v>10</v>
      </c>
      <c r="Y265" s="443">
        <v>52317.7</v>
      </c>
      <c r="Z265" s="444">
        <f t="shared" ref="Z265:Z328" si="102">X265*Y265</f>
        <v>523177</v>
      </c>
      <c r="AA265" s="307">
        <v>8</v>
      </c>
      <c r="AB265" s="307">
        <v>52022</v>
      </c>
      <c r="AC265" s="445">
        <f t="shared" ref="AC265:AC328" si="103">AA265*AB265</f>
        <v>416176</v>
      </c>
      <c r="AD265" s="442"/>
      <c r="AE265" s="443"/>
      <c r="AF265" s="444">
        <f t="shared" ref="AF265:AF328" si="104">AD265*AE265</f>
        <v>0</v>
      </c>
      <c r="AG265" s="307"/>
      <c r="AH265" s="307"/>
      <c r="AI265" s="445">
        <f t="shared" ref="AI265:AI328" si="105">AG265*AH265</f>
        <v>0</v>
      </c>
      <c r="AJ265" s="446"/>
      <c r="AK265" s="443"/>
      <c r="AL265" s="444">
        <f t="shared" ref="AL265:AL328" si="106">AJ265*AK265</f>
        <v>0</v>
      </c>
      <c r="AM265" s="307"/>
      <c r="AN265" s="307"/>
      <c r="AO265" s="447">
        <f t="shared" ref="AO265:AO328" si="107">AM265*AN265</f>
        <v>0</v>
      </c>
      <c r="AP265" s="448">
        <v>2</v>
      </c>
      <c r="AQ265" s="443">
        <v>94238</v>
      </c>
      <c r="AR265" s="444">
        <f t="shared" ref="AR265:AR328" si="108">(AP265*AQ265)*0.8182</f>
        <v>154211.0632</v>
      </c>
      <c r="AS265" s="307">
        <v>2</v>
      </c>
      <c r="AT265" s="307">
        <v>94238</v>
      </c>
      <c r="AU265" s="441">
        <f t="shared" ref="AU265:AU328" si="109">(AS265*AT265)*0.8182</f>
        <v>154211.0632</v>
      </c>
      <c r="AV265" s="442">
        <v>1</v>
      </c>
      <c r="AW265" s="443">
        <v>72591</v>
      </c>
      <c r="AX265" s="444">
        <f t="shared" ref="AX265:AX328" si="110">(AV265*AW265)*0.8182</f>
        <v>59393.956200000001</v>
      </c>
      <c r="AY265" s="307">
        <v>1</v>
      </c>
      <c r="AZ265" s="307">
        <v>72591</v>
      </c>
      <c r="BA265" s="445">
        <f t="shared" ref="BA265:BA328" si="111">(AY265*AZ265)*0.8182</f>
        <v>59393.956200000001</v>
      </c>
      <c r="BB265" s="371">
        <v>2</v>
      </c>
      <c r="BC265" s="372">
        <v>78391</v>
      </c>
      <c r="BD265" s="444">
        <f t="shared" ref="BD265:BD328" si="112">(BB265*BC265)*0.8182</f>
        <v>128279.03240000001</v>
      </c>
      <c r="BE265" s="307">
        <v>2</v>
      </c>
      <c r="BF265" s="307">
        <v>78391</v>
      </c>
      <c r="BG265" s="445">
        <f t="shared" ref="BG265:BG328" si="113">(BE265*BF265)*0.8182</f>
        <v>128279.03240000001</v>
      </c>
      <c r="BH265" s="371">
        <v>1</v>
      </c>
      <c r="BI265" s="372">
        <v>50578</v>
      </c>
      <c r="BJ265" s="444">
        <f t="shared" ref="BJ265:BJ328" si="114">(BH265*BI265)*0.8182</f>
        <v>41382.919600000001</v>
      </c>
      <c r="BK265" s="307">
        <v>1</v>
      </c>
      <c r="BL265" s="307">
        <v>46798</v>
      </c>
      <c r="BM265" s="445">
        <f t="shared" ref="BM265:BM328" si="115">(BK265*BL265)*0.8182</f>
        <v>38290.123599999999</v>
      </c>
      <c r="BN265" s="371"/>
      <c r="BO265" s="372"/>
      <c r="BP265" s="444">
        <f t="shared" ref="BP265:BP328" si="116">(BN265*BO265)*0.8182</f>
        <v>0</v>
      </c>
      <c r="BQ265" s="307"/>
      <c r="BR265" s="307"/>
      <c r="BS265" s="445">
        <f t="shared" ref="BS265:BS328" si="117">(BQ265*BR265)*0.8182</f>
        <v>0</v>
      </c>
      <c r="BT265" s="371"/>
      <c r="BU265" s="372"/>
      <c r="BV265" s="444">
        <f t="shared" ref="BV265:BV328" si="118">(BT265*BU265)*0.8182</f>
        <v>0</v>
      </c>
      <c r="BW265" s="307"/>
      <c r="BX265" s="307"/>
      <c r="BY265" s="449">
        <f t="shared" ref="BY265:BY328" si="119">(BW265*BX265)*0.8182</f>
        <v>0</v>
      </c>
    </row>
    <row r="266" spans="1:77" s="308" customFormat="1" ht="12.75" customHeight="1">
      <c r="A266" s="365" t="s">
        <v>340</v>
      </c>
      <c r="B266" s="366" t="s">
        <v>1009</v>
      </c>
      <c r="C266" s="366"/>
      <c r="D266" s="367">
        <v>162609</v>
      </c>
      <c r="E266" s="368">
        <v>10</v>
      </c>
      <c r="F266" s="369">
        <v>12</v>
      </c>
      <c r="G266" s="370">
        <v>61336.25</v>
      </c>
      <c r="H266" s="439">
        <f t="shared" si="96"/>
        <v>736035</v>
      </c>
      <c r="I266" s="311">
        <v>11</v>
      </c>
      <c r="J266" s="311">
        <v>65934</v>
      </c>
      <c r="K266" s="441">
        <f t="shared" si="97"/>
        <v>725274</v>
      </c>
      <c r="L266" s="442">
        <v>3</v>
      </c>
      <c r="M266" s="443">
        <v>52165</v>
      </c>
      <c r="N266" s="444">
        <f t="shared" si="98"/>
        <v>156495</v>
      </c>
      <c r="O266" s="307">
        <v>3</v>
      </c>
      <c r="P266" s="307">
        <v>53328</v>
      </c>
      <c r="Q266" s="445">
        <f t="shared" si="99"/>
        <v>159984</v>
      </c>
      <c r="R266" s="442">
        <v>1</v>
      </c>
      <c r="S266" s="443">
        <v>55018</v>
      </c>
      <c r="T266" s="444">
        <f t="shared" si="100"/>
        <v>55018</v>
      </c>
      <c r="U266" s="306">
        <v>1</v>
      </c>
      <c r="V266" s="306">
        <v>45541</v>
      </c>
      <c r="W266" s="441">
        <f t="shared" si="101"/>
        <v>45541</v>
      </c>
      <c r="X266" s="442">
        <v>1</v>
      </c>
      <c r="Y266" s="443">
        <v>45101</v>
      </c>
      <c r="Z266" s="444">
        <f t="shared" si="102"/>
        <v>45101</v>
      </c>
      <c r="AA266" s="307"/>
      <c r="AB266" s="307"/>
      <c r="AC266" s="445">
        <f t="shared" si="103"/>
        <v>0</v>
      </c>
      <c r="AD266" s="442"/>
      <c r="AE266" s="443"/>
      <c r="AF266" s="444">
        <f t="shared" si="104"/>
        <v>0</v>
      </c>
      <c r="AG266" s="307"/>
      <c r="AH266" s="307"/>
      <c r="AI266" s="445">
        <f t="shared" si="105"/>
        <v>0</v>
      </c>
      <c r="AJ266" s="446"/>
      <c r="AK266" s="443"/>
      <c r="AL266" s="444">
        <f t="shared" si="106"/>
        <v>0</v>
      </c>
      <c r="AM266" s="307"/>
      <c r="AN266" s="307"/>
      <c r="AO266" s="447">
        <f t="shared" si="107"/>
        <v>0</v>
      </c>
      <c r="AP266" s="448"/>
      <c r="AQ266" s="443"/>
      <c r="AR266" s="444">
        <f t="shared" si="108"/>
        <v>0</v>
      </c>
      <c r="AS266" s="307">
        <v>2</v>
      </c>
      <c r="AT266" s="307">
        <v>69884</v>
      </c>
      <c r="AU266" s="441">
        <f t="shared" si="109"/>
        <v>114358.17760000001</v>
      </c>
      <c r="AV266" s="442"/>
      <c r="AW266" s="443"/>
      <c r="AX266" s="444">
        <f t="shared" si="110"/>
        <v>0</v>
      </c>
      <c r="AY266" s="307">
        <v>4</v>
      </c>
      <c r="AZ266" s="307">
        <v>63551</v>
      </c>
      <c r="BA266" s="445">
        <f t="shared" si="111"/>
        <v>207989.71280000001</v>
      </c>
      <c r="BB266" s="371"/>
      <c r="BC266" s="372"/>
      <c r="BD266" s="444">
        <f t="shared" si="112"/>
        <v>0</v>
      </c>
      <c r="BE266" s="307">
        <v>2</v>
      </c>
      <c r="BF266" s="307">
        <v>54649</v>
      </c>
      <c r="BG266" s="445">
        <f t="shared" si="113"/>
        <v>89427.623600000006</v>
      </c>
      <c r="BH266" s="371"/>
      <c r="BI266" s="372"/>
      <c r="BJ266" s="444">
        <f t="shared" si="114"/>
        <v>0</v>
      </c>
      <c r="BK266" s="307"/>
      <c r="BL266" s="307"/>
      <c r="BM266" s="445">
        <f t="shared" si="115"/>
        <v>0</v>
      </c>
      <c r="BN266" s="371"/>
      <c r="BO266" s="372"/>
      <c r="BP266" s="444">
        <f t="shared" si="116"/>
        <v>0</v>
      </c>
      <c r="BQ266" s="307"/>
      <c r="BR266" s="307"/>
      <c r="BS266" s="445">
        <f t="shared" si="117"/>
        <v>0</v>
      </c>
      <c r="BT266" s="371"/>
      <c r="BU266" s="372"/>
      <c r="BV266" s="444">
        <f t="shared" si="118"/>
        <v>0</v>
      </c>
      <c r="BW266" s="307"/>
      <c r="BX266" s="307"/>
      <c r="BY266" s="449">
        <f t="shared" si="119"/>
        <v>0</v>
      </c>
    </row>
    <row r="267" spans="1:77" s="308" customFormat="1" ht="12.75" customHeight="1">
      <c r="A267" s="434" t="s">
        <v>341</v>
      </c>
      <c r="B267" s="435" t="s">
        <v>1038</v>
      </c>
      <c r="C267" s="435"/>
      <c r="D267" s="434">
        <v>176080</v>
      </c>
      <c r="E267" s="436">
        <v>1</v>
      </c>
      <c r="F267" s="453">
        <v>118</v>
      </c>
      <c r="G267" s="454">
        <v>90629.91525423729</v>
      </c>
      <c r="H267" s="439">
        <f t="shared" si="96"/>
        <v>10694330</v>
      </c>
      <c r="I267" s="477">
        <v>115</v>
      </c>
      <c r="J267" s="477">
        <v>88827</v>
      </c>
      <c r="K267" s="441">
        <f t="shared" si="97"/>
        <v>10215105</v>
      </c>
      <c r="L267" s="442">
        <v>154</v>
      </c>
      <c r="M267" s="443">
        <v>70909.279220779223</v>
      </c>
      <c r="N267" s="444">
        <f t="shared" si="98"/>
        <v>10920029</v>
      </c>
      <c r="O267" s="307">
        <v>137</v>
      </c>
      <c r="P267" s="307">
        <v>69758</v>
      </c>
      <c r="Q267" s="445">
        <f t="shared" si="99"/>
        <v>9556846</v>
      </c>
      <c r="R267" s="442">
        <v>247</v>
      </c>
      <c r="S267" s="443">
        <v>60812.26315789474</v>
      </c>
      <c r="T267" s="444">
        <f t="shared" si="100"/>
        <v>15020629</v>
      </c>
      <c r="U267" s="478">
        <v>237</v>
      </c>
      <c r="V267" s="478">
        <v>61119.62</v>
      </c>
      <c r="W267" s="441">
        <f t="shared" si="101"/>
        <v>14485349.940000001</v>
      </c>
      <c r="X267" s="442">
        <v>114</v>
      </c>
      <c r="Y267" s="443">
        <v>40122.070175438595</v>
      </c>
      <c r="Z267" s="444">
        <f t="shared" si="102"/>
        <v>4573916</v>
      </c>
      <c r="AA267" s="478">
        <v>111</v>
      </c>
      <c r="AB267" s="478">
        <v>39566.04</v>
      </c>
      <c r="AC267" s="445">
        <f t="shared" si="103"/>
        <v>4391830.4400000004</v>
      </c>
      <c r="AD267" s="442">
        <v>47</v>
      </c>
      <c r="AE267" s="443">
        <v>27923.40425531915</v>
      </c>
      <c r="AF267" s="444">
        <f t="shared" si="104"/>
        <v>1312400</v>
      </c>
      <c r="AG267" s="478">
        <v>49</v>
      </c>
      <c r="AH267" s="478">
        <v>29139.59</v>
      </c>
      <c r="AI267" s="445">
        <f t="shared" si="105"/>
        <v>1427839.91</v>
      </c>
      <c r="AJ267" s="446"/>
      <c r="AK267" s="443"/>
      <c r="AL267" s="444">
        <f t="shared" si="106"/>
        <v>0</v>
      </c>
      <c r="AM267" s="478"/>
      <c r="AN267" s="478"/>
      <c r="AO267" s="447">
        <f t="shared" si="107"/>
        <v>0</v>
      </c>
      <c r="AP267" s="448">
        <v>116</v>
      </c>
      <c r="AQ267" s="443">
        <v>115929.10344827586</v>
      </c>
      <c r="AR267" s="444">
        <f t="shared" si="108"/>
        <v>11002970.3232</v>
      </c>
      <c r="AS267" s="478">
        <v>107</v>
      </c>
      <c r="AT267" s="478">
        <v>114592.2</v>
      </c>
      <c r="AU267" s="441">
        <f t="shared" si="109"/>
        <v>10032249.17028</v>
      </c>
      <c r="AV267" s="442">
        <v>49</v>
      </c>
      <c r="AW267" s="443">
        <v>89474.224489795917</v>
      </c>
      <c r="AX267" s="444">
        <f t="shared" si="110"/>
        <v>3587182.7134000002</v>
      </c>
      <c r="AY267" s="478">
        <v>47</v>
      </c>
      <c r="AZ267" s="478">
        <v>89604.32</v>
      </c>
      <c r="BA267" s="445">
        <f t="shared" si="111"/>
        <v>3445769.9673280003</v>
      </c>
      <c r="BB267" s="442">
        <v>36</v>
      </c>
      <c r="BC267" s="443">
        <v>79170.388888888891</v>
      </c>
      <c r="BD267" s="444">
        <f t="shared" si="112"/>
        <v>2331979.6388000003</v>
      </c>
      <c r="BE267" s="478">
        <v>33</v>
      </c>
      <c r="BF267" s="478">
        <v>80297.03</v>
      </c>
      <c r="BG267" s="445">
        <f t="shared" si="113"/>
        <v>2168067.9882179997</v>
      </c>
      <c r="BH267" s="442">
        <v>16</v>
      </c>
      <c r="BI267" s="443">
        <v>53630.0625</v>
      </c>
      <c r="BJ267" s="444">
        <f t="shared" si="114"/>
        <v>702081.87420000008</v>
      </c>
      <c r="BK267" s="478">
        <v>14</v>
      </c>
      <c r="BL267" s="478">
        <v>53122.07</v>
      </c>
      <c r="BM267" s="445">
        <f t="shared" si="115"/>
        <v>608502.68743599998</v>
      </c>
      <c r="BN267" s="442"/>
      <c r="BO267" s="443"/>
      <c r="BP267" s="444">
        <f t="shared" si="116"/>
        <v>0</v>
      </c>
      <c r="BQ267" s="478"/>
      <c r="BR267" s="478"/>
      <c r="BS267" s="445">
        <f t="shared" si="117"/>
        <v>0</v>
      </c>
      <c r="BT267" s="442"/>
      <c r="BU267" s="443"/>
      <c r="BV267" s="444">
        <f t="shared" si="118"/>
        <v>0</v>
      </c>
      <c r="BW267" s="478"/>
      <c r="BX267" s="478"/>
      <c r="BY267" s="449">
        <f t="shared" si="119"/>
        <v>0</v>
      </c>
    </row>
    <row r="268" spans="1:77" s="308" customFormat="1" ht="12.75" customHeight="1">
      <c r="A268" s="434" t="s">
        <v>341</v>
      </c>
      <c r="B268" s="435" t="s">
        <v>1039</v>
      </c>
      <c r="C268" s="435"/>
      <c r="D268" s="434">
        <v>176372</v>
      </c>
      <c r="E268" s="436">
        <v>1</v>
      </c>
      <c r="F268" s="453">
        <v>111</v>
      </c>
      <c r="G268" s="454">
        <v>83755.063063063062</v>
      </c>
      <c r="H268" s="439">
        <f t="shared" si="96"/>
        <v>9296812</v>
      </c>
      <c r="I268" s="477">
        <v>103</v>
      </c>
      <c r="J268" s="477">
        <v>83467.59</v>
      </c>
      <c r="K268" s="441">
        <f t="shared" si="97"/>
        <v>8597161.7699999996</v>
      </c>
      <c r="L268" s="442">
        <v>139</v>
      </c>
      <c r="M268" s="443">
        <v>63636.820143884892</v>
      </c>
      <c r="N268" s="444">
        <f t="shared" si="98"/>
        <v>8845518</v>
      </c>
      <c r="O268" s="307">
        <v>166</v>
      </c>
      <c r="P268" s="307">
        <v>62776.800000000003</v>
      </c>
      <c r="Q268" s="445">
        <f t="shared" si="99"/>
        <v>10420948.800000001</v>
      </c>
      <c r="R268" s="442">
        <v>253</v>
      </c>
      <c r="S268" s="443">
        <v>54984.391304347824</v>
      </c>
      <c r="T268" s="444">
        <f t="shared" si="100"/>
        <v>13911051</v>
      </c>
      <c r="U268" s="478">
        <v>209</v>
      </c>
      <c r="V268" s="478">
        <v>55838.95</v>
      </c>
      <c r="W268" s="441">
        <f t="shared" si="101"/>
        <v>11670340.549999999</v>
      </c>
      <c r="X268" s="442">
        <v>137</v>
      </c>
      <c r="Y268" s="443">
        <v>45199.56934306569</v>
      </c>
      <c r="Z268" s="444">
        <f t="shared" si="102"/>
        <v>6192341</v>
      </c>
      <c r="AA268" s="478">
        <v>133</v>
      </c>
      <c r="AB268" s="478">
        <v>45612.98</v>
      </c>
      <c r="AC268" s="445">
        <f t="shared" si="103"/>
        <v>6066526.3400000008</v>
      </c>
      <c r="AD268" s="442">
        <v>3</v>
      </c>
      <c r="AE268" s="443">
        <v>49253.666666666664</v>
      </c>
      <c r="AF268" s="444">
        <f t="shared" si="104"/>
        <v>147761</v>
      </c>
      <c r="AG268" s="478">
        <v>4</v>
      </c>
      <c r="AH268" s="478">
        <v>51506.75</v>
      </c>
      <c r="AI268" s="445">
        <f t="shared" si="105"/>
        <v>206027</v>
      </c>
      <c r="AJ268" s="446"/>
      <c r="AK268" s="443"/>
      <c r="AL268" s="444">
        <f t="shared" si="106"/>
        <v>0</v>
      </c>
      <c r="AM268" s="478"/>
      <c r="AN268" s="478"/>
      <c r="AO268" s="447">
        <f t="shared" si="107"/>
        <v>0</v>
      </c>
      <c r="AP268" s="448">
        <v>46</v>
      </c>
      <c r="AQ268" s="443">
        <v>114127.54347826086</v>
      </c>
      <c r="AR268" s="444">
        <f t="shared" si="108"/>
        <v>4295441.1793999998</v>
      </c>
      <c r="AS268" s="478">
        <v>32</v>
      </c>
      <c r="AT268" s="478">
        <v>107356.5</v>
      </c>
      <c r="AU268" s="441">
        <f t="shared" si="109"/>
        <v>2810850.8256000001</v>
      </c>
      <c r="AV268" s="442">
        <v>43</v>
      </c>
      <c r="AW268" s="443">
        <v>75646.511627906977</v>
      </c>
      <c r="AX268" s="444">
        <f t="shared" si="110"/>
        <v>2661440.96</v>
      </c>
      <c r="AY268" s="478">
        <v>30</v>
      </c>
      <c r="AZ268" s="478">
        <v>86640.7</v>
      </c>
      <c r="BA268" s="445">
        <f t="shared" si="111"/>
        <v>2126682.6222000001</v>
      </c>
      <c r="BB268" s="442">
        <v>16</v>
      </c>
      <c r="BC268" s="443">
        <v>69083.9375</v>
      </c>
      <c r="BD268" s="444">
        <f t="shared" si="112"/>
        <v>904391.64260000002</v>
      </c>
      <c r="BE268" s="478">
        <v>9</v>
      </c>
      <c r="BF268" s="478">
        <v>68604.22</v>
      </c>
      <c r="BG268" s="445">
        <f t="shared" si="113"/>
        <v>505187.755236</v>
      </c>
      <c r="BH268" s="442">
        <v>10</v>
      </c>
      <c r="BI268" s="443">
        <v>46463.5</v>
      </c>
      <c r="BJ268" s="444">
        <f t="shared" si="114"/>
        <v>380164.35700000002</v>
      </c>
      <c r="BK268" s="478">
        <v>14</v>
      </c>
      <c r="BL268" s="478">
        <v>44971.79</v>
      </c>
      <c r="BM268" s="445">
        <f t="shared" si="115"/>
        <v>515142.86009200005</v>
      </c>
      <c r="BN268" s="442"/>
      <c r="BO268" s="443"/>
      <c r="BP268" s="444">
        <f t="shared" si="116"/>
        <v>0</v>
      </c>
      <c r="BQ268" s="478"/>
      <c r="BR268" s="478"/>
      <c r="BS268" s="445">
        <f t="shared" si="117"/>
        <v>0</v>
      </c>
      <c r="BT268" s="442"/>
      <c r="BU268" s="443"/>
      <c r="BV268" s="444">
        <f t="shared" si="118"/>
        <v>0</v>
      </c>
      <c r="BW268" s="478"/>
      <c r="BX268" s="478"/>
      <c r="BY268" s="449">
        <f t="shared" si="119"/>
        <v>0</v>
      </c>
    </row>
    <row r="269" spans="1:77" s="308" customFormat="1" ht="12.75" customHeight="1">
      <c r="A269" s="434" t="s">
        <v>341</v>
      </c>
      <c r="B269" s="324" t="s">
        <v>1040</v>
      </c>
      <c r="C269" s="324"/>
      <c r="D269" s="434">
        <v>175856</v>
      </c>
      <c r="E269" s="436">
        <v>2</v>
      </c>
      <c r="F269" s="453">
        <v>47</v>
      </c>
      <c r="G269" s="454">
        <v>68719.574468085106</v>
      </c>
      <c r="H269" s="439">
        <f t="shared" si="96"/>
        <v>3229820</v>
      </c>
      <c r="I269" s="477">
        <v>51</v>
      </c>
      <c r="J269" s="477">
        <v>67262.289999999994</v>
      </c>
      <c r="K269" s="441">
        <f t="shared" si="97"/>
        <v>3430376.7899999996</v>
      </c>
      <c r="L269" s="442">
        <v>83</v>
      </c>
      <c r="M269" s="443">
        <v>59685.22891566265</v>
      </c>
      <c r="N269" s="444">
        <f t="shared" si="98"/>
        <v>4953874</v>
      </c>
      <c r="O269" s="478">
        <v>83</v>
      </c>
      <c r="P269" s="478">
        <v>60935.98</v>
      </c>
      <c r="Q269" s="445">
        <f t="shared" si="99"/>
        <v>5057686.34</v>
      </c>
      <c r="R269" s="442">
        <v>145</v>
      </c>
      <c r="S269" s="443">
        <v>53730.572413793103</v>
      </c>
      <c r="T269" s="444">
        <f t="shared" si="100"/>
        <v>7790933</v>
      </c>
      <c r="U269" s="478">
        <v>123</v>
      </c>
      <c r="V269" s="478">
        <v>54188.91</v>
      </c>
      <c r="W269" s="441">
        <f t="shared" si="101"/>
        <v>6665235.9300000006</v>
      </c>
      <c r="X269" s="442">
        <v>70</v>
      </c>
      <c r="Y269" s="443">
        <v>37737.585714285713</v>
      </c>
      <c r="Z269" s="444">
        <f t="shared" si="102"/>
        <v>2641631</v>
      </c>
      <c r="AA269" s="478">
        <v>63</v>
      </c>
      <c r="AB269" s="478">
        <v>39313.760000000002</v>
      </c>
      <c r="AC269" s="445">
        <f t="shared" si="103"/>
        <v>2476766.8800000004</v>
      </c>
      <c r="AD269" s="442">
        <v>5</v>
      </c>
      <c r="AE269" s="443">
        <v>5150</v>
      </c>
      <c r="AF269" s="444">
        <f t="shared" si="104"/>
        <v>25750</v>
      </c>
      <c r="AG269" s="478">
        <v>4</v>
      </c>
      <c r="AH269" s="478">
        <v>41500</v>
      </c>
      <c r="AI269" s="445">
        <f t="shared" si="105"/>
        <v>166000</v>
      </c>
      <c r="AJ269" s="446"/>
      <c r="AK269" s="443"/>
      <c r="AL269" s="444">
        <f t="shared" si="106"/>
        <v>0</v>
      </c>
      <c r="AM269" s="478"/>
      <c r="AN269" s="478"/>
      <c r="AO269" s="447">
        <f t="shared" si="107"/>
        <v>0</v>
      </c>
      <c r="AP269" s="448">
        <v>29</v>
      </c>
      <c r="AQ269" s="443">
        <v>102661.68965517242</v>
      </c>
      <c r="AR269" s="444">
        <f t="shared" si="108"/>
        <v>2435936.0397999999</v>
      </c>
      <c r="AS269" s="478">
        <v>28</v>
      </c>
      <c r="AT269" s="478">
        <v>101161.1</v>
      </c>
      <c r="AU269" s="441">
        <f t="shared" si="109"/>
        <v>2317560.3365600002</v>
      </c>
      <c r="AV269" s="442">
        <v>20</v>
      </c>
      <c r="AW269" s="443">
        <v>80324.7</v>
      </c>
      <c r="AX269" s="444">
        <f t="shared" si="110"/>
        <v>1314433.3908000002</v>
      </c>
      <c r="AY269" s="478">
        <v>16</v>
      </c>
      <c r="AZ269" s="478">
        <v>81537.06</v>
      </c>
      <c r="BA269" s="445">
        <f t="shared" si="111"/>
        <v>1067417.9598719999</v>
      </c>
      <c r="BB269" s="442">
        <v>9</v>
      </c>
      <c r="BC269" s="443">
        <v>70217.888888888891</v>
      </c>
      <c r="BD269" s="444">
        <f t="shared" si="112"/>
        <v>517070.4902</v>
      </c>
      <c r="BE269" s="478">
        <v>9</v>
      </c>
      <c r="BF269" s="478">
        <v>67373.22</v>
      </c>
      <c r="BG269" s="445">
        <f t="shared" si="113"/>
        <v>496122.91743600002</v>
      </c>
      <c r="BH269" s="442">
        <v>1</v>
      </c>
      <c r="BI269" s="443">
        <v>70119</v>
      </c>
      <c r="BJ269" s="444">
        <f t="shared" si="114"/>
        <v>57371.3658</v>
      </c>
      <c r="BK269" s="478">
        <v>2</v>
      </c>
      <c r="BL269" s="478">
        <v>69400</v>
      </c>
      <c r="BM269" s="445">
        <f t="shared" si="115"/>
        <v>113566.16</v>
      </c>
      <c r="BN269" s="442">
        <v>2</v>
      </c>
      <c r="BO269" s="443">
        <v>60611</v>
      </c>
      <c r="BP269" s="444">
        <f t="shared" si="116"/>
        <v>99183.840400000001</v>
      </c>
      <c r="BQ269" s="478">
        <v>1</v>
      </c>
      <c r="BR269" s="478">
        <v>52810</v>
      </c>
      <c r="BS269" s="445">
        <f t="shared" si="117"/>
        <v>43209.142</v>
      </c>
      <c r="BT269" s="442"/>
      <c r="BU269" s="443"/>
      <c r="BV269" s="444">
        <f t="shared" si="118"/>
        <v>0</v>
      </c>
      <c r="BW269" s="478"/>
      <c r="BX269" s="478"/>
      <c r="BY269" s="449">
        <f t="shared" si="119"/>
        <v>0</v>
      </c>
    </row>
    <row r="270" spans="1:77" s="308" customFormat="1" ht="12.75" customHeight="1">
      <c r="A270" s="434" t="s">
        <v>341</v>
      </c>
      <c r="B270" s="374" t="s">
        <v>1041</v>
      </c>
      <c r="C270" s="374"/>
      <c r="D270" s="434">
        <v>176017</v>
      </c>
      <c r="E270" s="436">
        <v>2</v>
      </c>
      <c r="F270" s="453">
        <v>107</v>
      </c>
      <c r="G270" s="454">
        <v>106176.44859813084</v>
      </c>
      <c r="H270" s="439">
        <f t="shared" si="96"/>
        <v>11360880</v>
      </c>
      <c r="I270" s="477">
        <v>111</v>
      </c>
      <c r="J270" s="477">
        <v>106940.1</v>
      </c>
      <c r="K270" s="441">
        <f t="shared" si="97"/>
        <v>11870351.100000001</v>
      </c>
      <c r="L270" s="442">
        <v>165</v>
      </c>
      <c r="M270" s="443">
        <v>74464.642424242425</v>
      </c>
      <c r="N270" s="444">
        <f t="shared" si="98"/>
        <v>12286666</v>
      </c>
      <c r="O270" s="478">
        <v>167</v>
      </c>
      <c r="P270" s="478">
        <v>74760.05</v>
      </c>
      <c r="Q270" s="445">
        <f t="shared" si="99"/>
        <v>12484928.35</v>
      </c>
      <c r="R270" s="442">
        <v>178</v>
      </c>
      <c r="S270" s="443">
        <v>61283.1797752809</v>
      </c>
      <c r="T270" s="444">
        <f t="shared" si="100"/>
        <v>10908406</v>
      </c>
      <c r="U270" s="478">
        <v>170</v>
      </c>
      <c r="V270" s="478">
        <v>62999.15</v>
      </c>
      <c r="W270" s="441">
        <f t="shared" si="101"/>
        <v>10709855.5</v>
      </c>
      <c r="X270" s="442">
        <v>104</v>
      </c>
      <c r="Y270" s="443">
        <v>36217.634615384617</v>
      </c>
      <c r="Z270" s="444">
        <f t="shared" si="102"/>
        <v>3766634</v>
      </c>
      <c r="AA270" s="478">
        <v>106</v>
      </c>
      <c r="AB270" s="478">
        <v>36619.620000000003</v>
      </c>
      <c r="AC270" s="445">
        <f t="shared" si="103"/>
        <v>3881679.72</v>
      </c>
      <c r="AD270" s="442">
        <v>12</v>
      </c>
      <c r="AE270" s="443">
        <v>43789.166666666664</v>
      </c>
      <c r="AF270" s="444">
        <f t="shared" si="104"/>
        <v>525470</v>
      </c>
      <c r="AG270" s="478">
        <v>12</v>
      </c>
      <c r="AH270" s="478">
        <v>41331.58</v>
      </c>
      <c r="AI270" s="445">
        <f t="shared" si="105"/>
        <v>495978.96</v>
      </c>
      <c r="AJ270" s="446"/>
      <c r="AK270" s="443"/>
      <c r="AL270" s="444">
        <f t="shared" si="106"/>
        <v>0</v>
      </c>
      <c r="AM270" s="478"/>
      <c r="AN270" s="478"/>
      <c r="AO270" s="447">
        <f t="shared" si="107"/>
        <v>0</v>
      </c>
      <c r="AP270" s="448">
        <v>52</v>
      </c>
      <c r="AQ270" s="443">
        <v>126063.30769230769</v>
      </c>
      <c r="AR270" s="444">
        <f t="shared" si="108"/>
        <v>5363539.9144000001</v>
      </c>
      <c r="AS270" s="478">
        <v>52</v>
      </c>
      <c r="AT270" s="478">
        <v>125090.8</v>
      </c>
      <c r="AU270" s="441">
        <f t="shared" si="109"/>
        <v>5322163.2131200004</v>
      </c>
      <c r="AV270" s="442">
        <v>35</v>
      </c>
      <c r="AW270" s="443">
        <v>102986.74285714286</v>
      </c>
      <c r="AX270" s="444">
        <f t="shared" si="110"/>
        <v>2949231.3552000001</v>
      </c>
      <c r="AY270" s="478">
        <v>42</v>
      </c>
      <c r="AZ270" s="478">
        <v>104918</v>
      </c>
      <c r="BA270" s="445">
        <f t="shared" si="111"/>
        <v>3605444.1192000001</v>
      </c>
      <c r="BB270" s="442">
        <v>38</v>
      </c>
      <c r="BC270" s="443">
        <v>81829.921052631573</v>
      </c>
      <c r="BD270" s="444">
        <f t="shared" si="112"/>
        <v>2544223.1734000002</v>
      </c>
      <c r="BE270" s="478">
        <v>35</v>
      </c>
      <c r="BF270" s="478">
        <v>85588</v>
      </c>
      <c r="BG270" s="445">
        <f t="shared" si="113"/>
        <v>2450983.5560000003</v>
      </c>
      <c r="BH270" s="442">
        <v>18</v>
      </c>
      <c r="BI270" s="443">
        <v>59272.111111111109</v>
      </c>
      <c r="BJ270" s="444">
        <f t="shared" si="114"/>
        <v>872935.9436</v>
      </c>
      <c r="BK270" s="478">
        <v>26</v>
      </c>
      <c r="BL270" s="478">
        <v>56164.81</v>
      </c>
      <c r="BM270" s="445">
        <f t="shared" si="115"/>
        <v>1194805.236092</v>
      </c>
      <c r="BN270" s="442">
        <v>2</v>
      </c>
      <c r="BO270" s="443">
        <v>57650</v>
      </c>
      <c r="BP270" s="444">
        <f t="shared" si="116"/>
        <v>94338.46</v>
      </c>
      <c r="BQ270" s="478">
        <v>2</v>
      </c>
      <c r="BR270" s="478">
        <v>58659</v>
      </c>
      <c r="BS270" s="445">
        <f t="shared" si="117"/>
        <v>95989.587599999999</v>
      </c>
      <c r="BT270" s="442"/>
      <c r="BU270" s="443"/>
      <c r="BV270" s="444">
        <f t="shared" si="118"/>
        <v>0</v>
      </c>
      <c r="BW270" s="478"/>
      <c r="BX270" s="478"/>
      <c r="BY270" s="449">
        <f t="shared" si="119"/>
        <v>0</v>
      </c>
    </row>
    <row r="271" spans="1:77" s="308" customFormat="1" ht="12.75" customHeight="1">
      <c r="A271" s="434" t="s">
        <v>341</v>
      </c>
      <c r="B271" s="435" t="s">
        <v>1042</v>
      </c>
      <c r="C271" s="435"/>
      <c r="D271" s="434">
        <v>175342</v>
      </c>
      <c r="E271" s="436">
        <v>4</v>
      </c>
      <c r="F271" s="453">
        <v>26</v>
      </c>
      <c r="G271" s="454">
        <v>65294.615384615383</v>
      </c>
      <c r="H271" s="439">
        <f t="shared" si="96"/>
        <v>1697660</v>
      </c>
      <c r="I271" s="477">
        <v>28</v>
      </c>
      <c r="J271" s="477">
        <v>67375</v>
      </c>
      <c r="K271" s="441">
        <f t="shared" si="97"/>
        <v>1886500</v>
      </c>
      <c r="L271" s="442">
        <v>32</v>
      </c>
      <c r="M271" s="443">
        <v>58982.625</v>
      </c>
      <c r="N271" s="444">
        <f t="shared" si="98"/>
        <v>1887444</v>
      </c>
      <c r="O271" s="478">
        <v>29</v>
      </c>
      <c r="P271" s="478">
        <v>57754.34</v>
      </c>
      <c r="Q271" s="445">
        <f t="shared" si="99"/>
        <v>1674875.8599999999</v>
      </c>
      <c r="R271" s="442">
        <v>48</v>
      </c>
      <c r="S271" s="443">
        <v>54625.354166666664</v>
      </c>
      <c r="T271" s="444">
        <f t="shared" si="100"/>
        <v>2622017</v>
      </c>
      <c r="U271" s="478">
        <v>46</v>
      </c>
      <c r="V271" s="478">
        <v>54787.33</v>
      </c>
      <c r="W271" s="441">
        <f t="shared" si="101"/>
        <v>2520217.1800000002</v>
      </c>
      <c r="X271" s="442">
        <v>45</v>
      </c>
      <c r="Y271" s="443">
        <v>38350.577777777777</v>
      </c>
      <c r="Z271" s="444">
        <f t="shared" si="102"/>
        <v>1725776</v>
      </c>
      <c r="AA271" s="478">
        <v>41</v>
      </c>
      <c r="AB271" s="478">
        <v>38654.44</v>
      </c>
      <c r="AC271" s="445">
        <f t="shared" si="103"/>
        <v>1584832.04</v>
      </c>
      <c r="AD271" s="442"/>
      <c r="AE271" s="443"/>
      <c r="AF271" s="444">
        <f t="shared" si="104"/>
        <v>0</v>
      </c>
      <c r="AG271" s="478"/>
      <c r="AH271" s="478"/>
      <c r="AI271" s="445">
        <f t="shared" si="105"/>
        <v>0</v>
      </c>
      <c r="AJ271" s="446"/>
      <c r="AK271" s="443"/>
      <c r="AL271" s="444">
        <f t="shared" si="106"/>
        <v>0</v>
      </c>
      <c r="AM271" s="478"/>
      <c r="AN271" s="478"/>
      <c r="AO271" s="447">
        <f t="shared" si="107"/>
        <v>0</v>
      </c>
      <c r="AP271" s="448">
        <v>6</v>
      </c>
      <c r="AQ271" s="443">
        <v>100365.5</v>
      </c>
      <c r="AR271" s="444">
        <f t="shared" si="108"/>
        <v>492714.3126</v>
      </c>
      <c r="AS271" s="478">
        <v>6</v>
      </c>
      <c r="AT271" s="478">
        <v>92533.83</v>
      </c>
      <c r="AU271" s="441">
        <f t="shared" si="109"/>
        <v>454267.07823600003</v>
      </c>
      <c r="AV271" s="442">
        <v>6</v>
      </c>
      <c r="AW271" s="443">
        <v>83715.666666666672</v>
      </c>
      <c r="AX271" s="444">
        <f t="shared" si="110"/>
        <v>410976.95079999999</v>
      </c>
      <c r="AY271" s="478">
        <v>7</v>
      </c>
      <c r="AZ271" s="478">
        <v>90364</v>
      </c>
      <c r="BA271" s="445">
        <f t="shared" si="111"/>
        <v>517550.77360000001</v>
      </c>
      <c r="BB271" s="442">
        <v>9</v>
      </c>
      <c r="BC271" s="443">
        <v>68482.888888888891</v>
      </c>
      <c r="BD271" s="444">
        <f t="shared" si="112"/>
        <v>504294.29720000003</v>
      </c>
      <c r="BE271" s="478">
        <v>10</v>
      </c>
      <c r="BF271" s="478">
        <v>75069.2</v>
      </c>
      <c r="BG271" s="445">
        <f t="shared" si="113"/>
        <v>614216.19440000004</v>
      </c>
      <c r="BH271" s="442">
        <v>11</v>
      </c>
      <c r="BI271" s="443">
        <v>51235.36363636364</v>
      </c>
      <c r="BJ271" s="444">
        <f t="shared" si="114"/>
        <v>461128.51980000001</v>
      </c>
      <c r="BK271" s="478">
        <v>10</v>
      </c>
      <c r="BL271" s="478">
        <v>50260.800000000003</v>
      </c>
      <c r="BM271" s="445">
        <f t="shared" si="115"/>
        <v>411233.86560000002</v>
      </c>
      <c r="BN271" s="442"/>
      <c r="BO271" s="443"/>
      <c r="BP271" s="444">
        <f t="shared" si="116"/>
        <v>0</v>
      </c>
      <c r="BQ271" s="478"/>
      <c r="BR271" s="478"/>
      <c r="BS271" s="445">
        <f t="shared" si="117"/>
        <v>0</v>
      </c>
      <c r="BT271" s="442"/>
      <c r="BU271" s="443"/>
      <c r="BV271" s="444">
        <f t="shared" si="118"/>
        <v>0</v>
      </c>
      <c r="BW271" s="478"/>
      <c r="BX271" s="478"/>
      <c r="BY271" s="449">
        <f t="shared" si="119"/>
        <v>0</v>
      </c>
    </row>
    <row r="272" spans="1:77" s="308" customFormat="1" ht="12.75" customHeight="1">
      <c r="A272" s="434" t="s">
        <v>341</v>
      </c>
      <c r="B272" s="324" t="s">
        <v>1043</v>
      </c>
      <c r="C272" s="324"/>
      <c r="D272" s="320">
        <v>175616</v>
      </c>
      <c r="E272" s="320">
        <v>4</v>
      </c>
      <c r="F272" s="453">
        <v>27</v>
      </c>
      <c r="G272" s="454">
        <v>64304.592592592591</v>
      </c>
      <c r="H272" s="439">
        <f t="shared" si="96"/>
        <v>1736224</v>
      </c>
      <c r="I272" s="477">
        <v>24</v>
      </c>
      <c r="J272" s="477">
        <v>65237.54</v>
      </c>
      <c r="K272" s="441">
        <f t="shared" si="97"/>
        <v>1565700.96</v>
      </c>
      <c r="L272" s="442">
        <v>27</v>
      </c>
      <c r="M272" s="443">
        <v>57487.148148148146</v>
      </c>
      <c r="N272" s="444">
        <f t="shared" si="98"/>
        <v>1552153</v>
      </c>
      <c r="O272" s="478">
        <v>34</v>
      </c>
      <c r="P272" s="478">
        <v>56097.15</v>
      </c>
      <c r="Q272" s="445">
        <f t="shared" si="99"/>
        <v>1907303.1</v>
      </c>
      <c r="R272" s="442">
        <v>59</v>
      </c>
      <c r="S272" s="443">
        <v>47059.661016949154</v>
      </c>
      <c r="T272" s="444">
        <f t="shared" si="100"/>
        <v>2776520</v>
      </c>
      <c r="U272" s="478">
        <v>44</v>
      </c>
      <c r="V272" s="478">
        <v>48098.45</v>
      </c>
      <c r="W272" s="441">
        <f t="shared" si="101"/>
        <v>2116331.7999999998</v>
      </c>
      <c r="X272" s="442">
        <v>42</v>
      </c>
      <c r="Y272" s="443">
        <v>47139.714285714283</v>
      </c>
      <c r="Z272" s="444">
        <f t="shared" si="102"/>
        <v>1979867.9999999998</v>
      </c>
      <c r="AA272" s="478">
        <v>45</v>
      </c>
      <c r="AB272" s="478">
        <v>45533.36</v>
      </c>
      <c r="AC272" s="445">
        <f t="shared" si="103"/>
        <v>2049001.2</v>
      </c>
      <c r="AD272" s="442"/>
      <c r="AE272" s="443"/>
      <c r="AF272" s="444">
        <f t="shared" si="104"/>
        <v>0</v>
      </c>
      <c r="AG272" s="478"/>
      <c r="AH272" s="478"/>
      <c r="AI272" s="445">
        <f t="shared" si="105"/>
        <v>0</v>
      </c>
      <c r="AJ272" s="446"/>
      <c r="AK272" s="443"/>
      <c r="AL272" s="444">
        <f t="shared" si="106"/>
        <v>0</v>
      </c>
      <c r="AM272" s="478"/>
      <c r="AN272" s="478"/>
      <c r="AO272" s="447">
        <f t="shared" si="107"/>
        <v>0</v>
      </c>
      <c r="AP272" s="448">
        <v>8</v>
      </c>
      <c r="AQ272" s="443">
        <v>81957.375</v>
      </c>
      <c r="AR272" s="444">
        <f t="shared" si="108"/>
        <v>536460.19380000001</v>
      </c>
      <c r="AS272" s="478">
        <v>8</v>
      </c>
      <c r="AT272" s="478">
        <v>76727.63</v>
      </c>
      <c r="AU272" s="441">
        <f t="shared" si="109"/>
        <v>502228.37492800003</v>
      </c>
      <c r="AV272" s="442">
        <v>14</v>
      </c>
      <c r="AW272" s="443">
        <v>66404.571428571435</v>
      </c>
      <c r="AX272" s="444">
        <f t="shared" si="110"/>
        <v>760651.08480000019</v>
      </c>
      <c r="AY272" s="478">
        <v>13</v>
      </c>
      <c r="AZ272" s="478">
        <v>71279.460000000006</v>
      </c>
      <c r="BA272" s="445">
        <f t="shared" si="111"/>
        <v>758171.1042360001</v>
      </c>
      <c r="BB272" s="442">
        <v>11</v>
      </c>
      <c r="BC272" s="443">
        <v>58958.909090909088</v>
      </c>
      <c r="BD272" s="444">
        <f t="shared" si="112"/>
        <v>530641.97360000003</v>
      </c>
      <c r="BE272" s="478">
        <v>12</v>
      </c>
      <c r="BF272" s="478">
        <v>58557</v>
      </c>
      <c r="BG272" s="445">
        <f t="shared" si="113"/>
        <v>574936.04879999999</v>
      </c>
      <c r="BH272" s="442">
        <v>4</v>
      </c>
      <c r="BI272" s="443">
        <v>79025</v>
      </c>
      <c r="BJ272" s="444">
        <f t="shared" si="114"/>
        <v>258633.02000000002</v>
      </c>
      <c r="BK272" s="478">
        <v>6</v>
      </c>
      <c r="BL272" s="478">
        <v>76033.33</v>
      </c>
      <c r="BM272" s="445">
        <f t="shared" si="115"/>
        <v>373262.82363599999</v>
      </c>
      <c r="BN272" s="442"/>
      <c r="BO272" s="443"/>
      <c r="BP272" s="444">
        <f t="shared" si="116"/>
        <v>0</v>
      </c>
      <c r="BQ272" s="478"/>
      <c r="BR272" s="478"/>
      <c r="BS272" s="445">
        <f t="shared" si="117"/>
        <v>0</v>
      </c>
      <c r="BT272" s="442"/>
      <c r="BU272" s="443"/>
      <c r="BV272" s="444">
        <f t="shared" si="118"/>
        <v>0</v>
      </c>
      <c r="BW272" s="478"/>
      <c r="BX272" s="478"/>
      <c r="BY272" s="449">
        <f t="shared" si="119"/>
        <v>0</v>
      </c>
    </row>
    <row r="273" spans="1:77" s="308" customFormat="1" ht="12.75" customHeight="1">
      <c r="A273" s="434" t="s">
        <v>341</v>
      </c>
      <c r="B273" s="383" t="s">
        <v>1044</v>
      </c>
      <c r="C273" s="374"/>
      <c r="D273" s="375">
        <v>176044</v>
      </c>
      <c r="E273" s="323">
        <v>4</v>
      </c>
      <c r="F273" s="453">
        <v>14</v>
      </c>
      <c r="G273" s="454">
        <v>62628.642857142855</v>
      </c>
      <c r="H273" s="439">
        <f t="shared" si="96"/>
        <v>876801</v>
      </c>
      <c r="I273" s="477">
        <v>14</v>
      </c>
      <c r="J273" s="477">
        <v>64285.79</v>
      </c>
      <c r="K273" s="441">
        <f t="shared" si="97"/>
        <v>900001.06</v>
      </c>
      <c r="L273" s="442">
        <v>13</v>
      </c>
      <c r="M273" s="443">
        <v>56532.769230769234</v>
      </c>
      <c r="N273" s="444">
        <f t="shared" si="98"/>
        <v>734926</v>
      </c>
      <c r="O273" s="478">
        <v>20</v>
      </c>
      <c r="P273" s="478">
        <v>55056.800000000003</v>
      </c>
      <c r="Q273" s="445">
        <f t="shared" si="99"/>
        <v>1101136</v>
      </c>
      <c r="R273" s="442">
        <v>62</v>
      </c>
      <c r="S273" s="443">
        <v>48604.209677419356</v>
      </c>
      <c r="T273" s="444">
        <f t="shared" si="100"/>
        <v>3013461</v>
      </c>
      <c r="U273" s="478">
        <v>48</v>
      </c>
      <c r="V273" s="478">
        <v>47774.92</v>
      </c>
      <c r="W273" s="441">
        <f t="shared" si="101"/>
        <v>2293196.16</v>
      </c>
      <c r="X273" s="442">
        <v>20</v>
      </c>
      <c r="Y273" s="443">
        <v>40121.699999999997</v>
      </c>
      <c r="Z273" s="444">
        <f t="shared" si="102"/>
        <v>802434</v>
      </c>
      <c r="AA273" s="478">
        <v>20</v>
      </c>
      <c r="AB273" s="478">
        <v>40021.699999999997</v>
      </c>
      <c r="AC273" s="445">
        <f t="shared" si="103"/>
        <v>800434</v>
      </c>
      <c r="AD273" s="442"/>
      <c r="AE273" s="443"/>
      <c r="AF273" s="444">
        <f t="shared" si="104"/>
        <v>0</v>
      </c>
      <c r="AG273" s="478"/>
      <c r="AH273" s="478"/>
      <c r="AI273" s="445">
        <f t="shared" si="105"/>
        <v>0</v>
      </c>
      <c r="AJ273" s="446"/>
      <c r="AK273" s="443"/>
      <c r="AL273" s="444">
        <f t="shared" si="106"/>
        <v>0</v>
      </c>
      <c r="AM273" s="478"/>
      <c r="AN273" s="478"/>
      <c r="AO273" s="447">
        <f t="shared" si="107"/>
        <v>0</v>
      </c>
      <c r="AP273" s="448">
        <v>3</v>
      </c>
      <c r="AQ273" s="443">
        <v>76097.333333333328</v>
      </c>
      <c r="AR273" s="444">
        <f t="shared" si="108"/>
        <v>186788.51440000001</v>
      </c>
      <c r="AS273" s="478">
        <v>2</v>
      </c>
      <c r="AT273" s="478">
        <v>74946</v>
      </c>
      <c r="AU273" s="441">
        <f t="shared" si="109"/>
        <v>122641.63440000001</v>
      </c>
      <c r="AV273" s="442">
        <v>9</v>
      </c>
      <c r="AW273" s="443">
        <v>76795.888888888891</v>
      </c>
      <c r="AX273" s="444">
        <f t="shared" si="110"/>
        <v>565509.56660000002</v>
      </c>
      <c r="AY273" s="478">
        <v>11</v>
      </c>
      <c r="AZ273" s="478">
        <v>75545.64</v>
      </c>
      <c r="BA273" s="445">
        <f t="shared" si="111"/>
        <v>679925.86912800011</v>
      </c>
      <c r="BB273" s="442">
        <v>10</v>
      </c>
      <c r="BC273" s="443">
        <v>64746.9</v>
      </c>
      <c r="BD273" s="444">
        <f t="shared" si="112"/>
        <v>529759.13580000005</v>
      </c>
      <c r="BE273" s="478">
        <v>7</v>
      </c>
      <c r="BF273" s="478">
        <v>63736.14</v>
      </c>
      <c r="BG273" s="445">
        <f t="shared" si="113"/>
        <v>365042.36823600001</v>
      </c>
      <c r="BH273" s="442">
        <v>2</v>
      </c>
      <c r="BI273" s="443">
        <v>45681.5</v>
      </c>
      <c r="BJ273" s="444">
        <f t="shared" si="114"/>
        <v>74753.206600000005</v>
      </c>
      <c r="BK273" s="478">
        <v>4</v>
      </c>
      <c r="BL273" s="478">
        <v>45555.25</v>
      </c>
      <c r="BM273" s="445">
        <f t="shared" si="115"/>
        <v>149093.22220000002</v>
      </c>
      <c r="BN273" s="442"/>
      <c r="BO273" s="443"/>
      <c r="BP273" s="444">
        <f t="shared" si="116"/>
        <v>0</v>
      </c>
      <c r="BQ273" s="478"/>
      <c r="BR273" s="478"/>
      <c r="BS273" s="445">
        <f t="shared" si="117"/>
        <v>0</v>
      </c>
      <c r="BT273" s="442"/>
      <c r="BU273" s="443"/>
      <c r="BV273" s="444">
        <f t="shared" si="118"/>
        <v>0</v>
      </c>
      <c r="BW273" s="478"/>
      <c r="BX273" s="478"/>
      <c r="BY273" s="449">
        <f t="shared" si="119"/>
        <v>0</v>
      </c>
    </row>
    <row r="274" spans="1:77" s="308" customFormat="1" ht="12.75" customHeight="1">
      <c r="A274" s="434" t="s">
        <v>341</v>
      </c>
      <c r="B274" s="435" t="s">
        <v>1045</v>
      </c>
      <c r="C274" s="435"/>
      <c r="D274" s="434">
        <v>176035</v>
      </c>
      <c r="E274" s="436">
        <v>5</v>
      </c>
      <c r="F274" s="453">
        <v>18</v>
      </c>
      <c r="G274" s="454">
        <v>56393.055555555555</v>
      </c>
      <c r="H274" s="439">
        <f t="shared" si="96"/>
        <v>1015075</v>
      </c>
      <c r="I274" s="477">
        <v>20</v>
      </c>
      <c r="J274" s="477">
        <v>54516.55</v>
      </c>
      <c r="K274" s="441">
        <f t="shared" si="97"/>
        <v>1090331</v>
      </c>
      <c r="L274" s="442">
        <v>19</v>
      </c>
      <c r="M274" s="443">
        <v>46001.368421052633</v>
      </c>
      <c r="N274" s="444">
        <f t="shared" si="98"/>
        <v>874026</v>
      </c>
      <c r="O274" s="478">
        <v>17</v>
      </c>
      <c r="P274" s="478">
        <v>45683</v>
      </c>
      <c r="Q274" s="445">
        <f t="shared" si="99"/>
        <v>776611</v>
      </c>
      <c r="R274" s="442">
        <v>34</v>
      </c>
      <c r="S274" s="443">
        <v>46335.352941176468</v>
      </c>
      <c r="T274" s="444">
        <f t="shared" si="100"/>
        <v>1575402</v>
      </c>
      <c r="U274" s="478">
        <v>31</v>
      </c>
      <c r="V274" s="478">
        <v>47956.13</v>
      </c>
      <c r="W274" s="441">
        <f t="shared" si="101"/>
        <v>1486640.03</v>
      </c>
      <c r="X274" s="442">
        <v>40</v>
      </c>
      <c r="Y274" s="443">
        <v>45223.425000000003</v>
      </c>
      <c r="Z274" s="444">
        <f t="shared" si="102"/>
        <v>1808937</v>
      </c>
      <c r="AA274" s="478">
        <v>38</v>
      </c>
      <c r="AB274" s="478">
        <v>45760.5789</v>
      </c>
      <c r="AC274" s="445">
        <f t="shared" si="103"/>
        <v>1738901.9982</v>
      </c>
      <c r="AD274" s="442"/>
      <c r="AE274" s="443"/>
      <c r="AF274" s="444">
        <f t="shared" si="104"/>
        <v>0</v>
      </c>
      <c r="AG274" s="478"/>
      <c r="AH274" s="478"/>
      <c r="AI274" s="445">
        <f t="shared" si="105"/>
        <v>0</v>
      </c>
      <c r="AJ274" s="446"/>
      <c r="AK274" s="443"/>
      <c r="AL274" s="444">
        <f t="shared" si="106"/>
        <v>0</v>
      </c>
      <c r="AM274" s="478"/>
      <c r="AN274" s="478"/>
      <c r="AO274" s="447">
        <f t="shared" si="107"/>
        <v>0</v>
      </c>
      <c r="AP274" s="448">
        <v>8</v>
      </c>
      <c r="AQ274" s="443">
        <v>69142.625</v>
      </c>
      <c r="AR274" s="444">
        <f t="shared" si="108"/>
        <v>452579.96620000002</v>
      </c>
      <c r="AS274" s="478">
        <v>7</v>
      </c>
      <c r="AT274" s="478">
        <v>70719.86</v>
      </c>
      <c r="AU274" s="441">
        <f t="shared" si="109"/>
        <v>405040.92616400006</v>
      </c>
      <c r="AV274" s="442">
        <v>2</v>
      </c>
      <c r="AW274" s="443">
        <v>70450.5</v>
      </c>
      <c r="AX274" s="444">
        <f t="shared" si="110"/>
        <v>115285.1982</v>
      </c>
      <c r="AY274" s="478">
        <v>3</v>
      </c>
      <c r="AZ274" s="478">
        <v>67217</v>
      </c>
      <c r="BA274" s="445">
        <f t="shared" si="111"/>
        <v>164990.84820000001</v>
      </c>
      <c r="BB274" s="442">
        <v>2</v>
      </c>
      <c r="BC274" s="443">
        <v>76500</v>
      </c>
      <c r="BD274" s="444">
        <f t="shared" si="112"/>
        <v>125184.6</v>
      </c>
      <c r="BE274" s="478">
        <v>3</v>
      </c>
      <c r="BF274" s="478">
        <v>70083.33</v>
      </c>
      <c r="BG274" s="445">
        <f t="shared" si="113"/>
        <v>172026.541818</v>
      </c>
      <c r="BH274" s="442">
        <v>11</v>
      </c>
      <c r="BI274" s="443">
        <v>64520.909090909088</v>
      </c>
      <c r="BJ274" s="444">
        <f t="shared" si="114"/>
        <v>580701.08600000001</v>
      </c>
      <c r="BK274" s="478">
        <v>11</v>
      </c>
      <c r="BL274" s="478">
        <v>64702.73</v>
      </c>
      <c r="BM274" s="445">
        <f t="shared" si="115"/>
        <v>582337.51054600009</v>
      </c>
      <c r="BN274" s="442"/>
      <c r="BO274" s="443"/>
      <c r="BP274" s="444">
        <f t="shared" si="116"/>
        <v>0</v>
      </c>
      <c r="BQ274" s="478"/>
      <c r="BR274" s="478"/>
      <c r="BS274" s="445">
        <f t="shared" si="117"/>
        <v>0</v>
      </c>
      <c r="BT274" s="442"/>
      <c r="BU274" s="443"/>
      <c r="BV274" s="444">
        <f t="shared" si="118"/>
        <v>0</v>
      </c>
      <c r="BW274" s="478"/>
      <c r="BX274" s="478"/>
      <c r="BY274" s="449">
        <f t="shared" si="119"/>
        <v>0</v>
      </c>
    </row>
    <row r="275" spans="1:77" s="308" customFormat="1" ht="12.75" customHeight="1">
      <c r="A275" s="329" t="s">
        <v>341</v>
      </c>
      <c r="B275" s="387" t="s">
        <v>1046</v>
      </c>
      <c r="C275" s="387"/>
      <c r="D275" s="331">
        <v>175786</v>
      </c>
      <c r="E275" s="456">
        <v>8</v>
      </c>
      <c r="F275" s="453"/>
      <c r="G275" s="454"/>
      <c r="H275" s="439">
        <f t="shared" si="96"/>
        <v>0</v>
      </c>
      <c r="I275" s="311"/>
      <c r="J275" s="311"/>
      <c r="K275" s="441">
        <f t="shared" si="97"/>
        <v>0</v>
      </c>
      <c r="L275" s="442"/>
      <c r="M275" s="443"/>
      <c r="N275" s="444">
        <f t="shared" si="98"/>
        <v>0</v>
      </c>
      <c r="O275" s="307"/>
      <c r="P275" s="307"/>
      <c r="Q275" s="445">
        <f t="shared" si="99"/>
        <v>0</v>
      </c>
      <c r="R275" s="442"/>
      <c r="S275" s="443"/>
      <c r="T275" s="444">
        <f t="shared" si="100"/>
        <v>0</v>
      </c>
      <c r="U275" s="306"/>
      <c r="V275" s="306"/>
      <c r="W275" s="441">
        <f t="shared" si="101"/>
        <v>0</v>
      </c>
      <c r="X275" s="442"/>
      <c r="Y275" s="443"/>
      <c r="Z275" s="444">
        <f t="shared" si="102"/>
        <v>0</v>
      </c>
      <c r="AA275" s="307"/>
      <c r="AB275" s="307"/>
      <c r="AC275" s="445">
        <f t="shared" si="103"/>
        <v>0</v>
      </c>
      <c r="AD275" s="442"/>
      <c r="AE275" s="443"/>
      <c r="AF275" s="444">
        <f t="shared" si="104"/>
        <v>0</v>
      </c>
      <c r="AG275" s="307"/>
      <c r="AH275" s="307"/>
      <c r="AI275" s="445">
        <f t="shared" si="105"/>
        <v>0</v>
      </c>
      <c r="AJ275" s="446">
        <v>284</v>
      </c>
      <c r="AK275" s="443">
        <v>46842.7</v>
      </c>
      <c r="AL275" s="444">
        <f t="shared" si="106"/>
        <v>13303326.799999999</v>
      </c>
      <c r="AM275" s="307">
        <v>283</v>
      </c>
      <c r="AN275" s="307">
        <v>46529.7</v>
      </c>
      <c r="AO275" s="447">
        <f t="shared" si="107"/>
        <v>13167905.1</v>
      </c>
      <c r="AP275" s="448"/>
      <c r="AQ275" s="443"/>
      <c r="AR275" s="444">
        <f t="shared" si="108"/>
        <v>0</v>
      </c>
      <c r="AS275" s="307"/>
      <c r="AT275" s="307"/>
      <c r="AU275" s="441">
        <f t="shared" si="109"/>
        <v>0</v>
      </c>
      <c r="AV275" s="442"/>
      <c r="AW275" s="443"/>
      <c r="AX275" s="444">
        <f t="shared" si="110"/>
        <v>0</v>
      </c>
      <c r="AY275" s="307"/>
      <c r="AZ275" s="307"/>
      <c r="BA275" s="445">
        <f t="shared" si="111"/>
        <v>0</v>
      </c>
      <c r="BB275" s="442"/>
      <c r="BC275" s="443"/>
      <c r="BD275" s="444">
        <f t="shared" si="112"/>
        <v>0</v>
      </c>
      <c r="BE275" s="307"/>
      <c r="BF275" s="307"/>
      <c r="BG275" s="445">
        <f t="shared" si="113"/>
        <v>0</v>
      </c>
      <c r="BH275" s="442"/>
      <c r="BI275" s="443"/>
      <c r="BJ275" s="444">
        <f t="shared" si="114"/>
        <v>0</v>
      </c>
      <c r="BK275" s="307"/>
      <c r="BL275" s="307"/>
      <c r="BM275" s="445">
        <f t="shared" si="115"/>
        <v>0</v>
      </c>
      <c r="BN275" s="442"/>
      <c r="BO275" s="443"/>
      <c r="BP275" s="444">
        <f t="shared" si="116"/>
        <v>0</v>
      </c>
      <c r="BQ275" s="307"/>
      <c r="BR275" s="307"/>
      <c r="BS275" s="445">
        <f t="shared" si="117"/>
        <v>0</v>
      </c>
      <c r="BT275" s="442">
        <v>122</v>
      </c>
      <c r="BU275" s="443">
        <v>54216.672131147541</v>
      </c>
      <c r="BV275" s="444">
        <f t="shared" si="118"/>
        <v>5411929.8988000005</v>
      </c>
      <c r="BW275" s="307">
        <v>120</v>
      </c>
      <c r="BX275" s="307">
        <f>6445617/BW275</f>
        <v>53713.474999999999</v>
      </c>
      <c r="BY275" s="449">
        <f t="shared" si="119"/>
        <v>5273803.8294000002</v>
      </c>
    </row>
    <row r="276" spans="1:77" s="308" customFormat="1" ht="12.75" customHeight="1">
      <c r="A276" s="329" t="s">
        <v>341</v>
      </c>
      <c r="B276" s="401" t="s">
        <v>1053</v>
      </c>
      <c r="C276" s="401" t="s">
        <v>1118</v>
      </c>
      <c r="D276" s="388">
        <v>175829</v>
      </c>
      <c r="E276" s="533">
        <v>8</v>
      </c>
      <c r="F276" s="453"/>
      <c r="G276" s="454"/>
      <c r="H276" s="439">
        <f t="shared" si="96"/>
        <v>0</v>
      </c>
      <c r="I276" s="311"/>
      <c r="J276" s="311"/>
      <c r="K276" s="441">
        <f t="shared" si="97"/>
        <v>0</v>
      </c>
      <c r="L276" s="442"/>
      <c r="M276" s="443"/>
      <c r="N276" s="444">
        <f t="shared" si="98"/>
        <v>0</v>
      </c>
      <c r="O276" s="307"/>
      <c r="P276" s="307"/>
      <c r="Q276" s="445">
        <f t="shared" si="99"/>
        <v>0</v>
      </c>
      <c r="R276" s="442"/>
      <c r="S276" s="443"/>
      <c r="T276" s="444">
        <f t="shared" si="100"/>
        <v>0</v>
      </c>
      <c r="U276" s="306"/>
      <c r="V276" s="306"/>
      <c r="W276" s="441">
        <f t="shared" si="101"/>
        <v>0</v>
      </c>
      <c r="X276" s="442"/>
      <c r="Y276" s="443"/>
      <c r="Z276" s="444">
        <f t="shared" si="102"/>
        <v>0</v>
      </c>
      <c r="AA276" s="307"/>
      <c r="AB276" s="307"/>
      <c r="AC276" s="445">
        <f t="shared" si="103"/>
        <v>0</v>
      </c>
      <c r="AD276" s="442"/>
      <c r="AE276" s="443"/>
      <c r="AF276" s="444">
        <f t="shared" si="104"/>
        <v>0</v>
      </c>
      <c r="AG276" s="307"/>
      <c r="AH276" s="307"/>
      <c r="AI276" s="445">
        <f t="shared" si="105"/>
        <v>0</v>
      </c>
      <c r="AJ276" s="446">
        <v>139</v>
      </c>
      <c r="AK276" s="443">
        <v>55768.3</v>
      </c>
      <c r="AL276" s="444">
        <f t="shared" si="106"/>
        <v>7751793.7000000002</v>
      </c>
      <c r="AM276" s="307">
        <v>145</v>
      </c>
      <c r="AN276" s="307">
        <v>57619.3</v>
      </c>
      <c r="AO276" s="447">
        <f t="shared" si="107"/>
        <v>8354798.5</v>
      </c>
      <c r="AP276" s="448"/>
      <c r="AQ276" s="443"/>
      <c r="AR276" s="444">
        <f t="shared" si="108"/>
        <v>0</v>
      </c>
      <c r="AS276" s="307"/>
      <c r="AT276" s="307"/>
      <c r="AU276" s="441">
        <f t="shared" si="109"/>
        <v>0</v>
      </c>
      <c r="AV276" s="442"/>
      <c r="AW276" s="443"/>
      <c r="AX276" s="444">
        <f t="shared" si="110"/>
        <v>0</v>
      </c>
      <c r="AY276" s="307"/>
      <c r="AZ276" s="307"/>
      <c r="BA276" s="445">
        <f t="shared" si="111"/>
        <v>0</v>
      </c>
      <c r="BB276" s="442"/>
      <c r="BC276" s="443"/>
      <c r="BD276" s="444">
        <f t="shared" si="112"/>
        <v>0</v>
      </c>
      <c r="BE276" s="307"/>
      <c r="BF276" s="307"/>
      <c r="BG276" s="445">
        <f t="shared" si="113"/>
        <v>0</v>
      </c>
      <c r="BH276" s="442"/>
      <c r="BI276" s="443"/>
      <c r="BJ276" s="444">
        <f t="shared" si="114"/>
        <v>0</v>
      </c>
      <c r="BK276" s="307"/>
      <c r="BL276" s="307"/>
      <c r="BM276" s="445">
        <f t="shared" si="115"/>
        <v>0</v>
      </c>
      <c r="BN276" s="442"/>
      <c r="BO276" s="443"/>
      <c r="BP276" s="444">
        <f t="shared" si="116"/>
        <v>0</v>
      </c>
      <c r="BQ276" s="307"/>
      <c r="BR276" s="307"/>
      <c r="BS276" s="445">
        <f t="shared" si="117"/>
        <v>0</v>
      </c>
      <c r="BT276" s="442">
        <v>63</v>
      </c>
      <c r="BU276" s="443">
        <v>70703</v>
      </c>
      <c r="BV276" s="444">
        <f t="shared" si="118"/>
        <v>3644499.2598000001</v>
      </c>
      <c r="BW276" s="307">
        <v>62</v>
      </c>
      <c r="BX276" s="307">
        <f>4516887/BW276</f>
        <v>72853.016129032258</v>
      </c>
      <c r="BY276" s="449">
        <f t="shared" si="119"/>
        <v>3695716.9434000002</v>
      </c>
    </row>
    <row r="277" spans="1:77" s="308" customFormat="1" ht="12.75" customHeight="1">
      <c r="A277" s="329" t="s">
        <v>341</v>
      </c>
      <c r="B277" s="330" t="s">
        <v>1047</v>
      </c>
      <c r="C277" s="330"/>
      <c r="D277" s="329">
        <v>176071</v>
      </c>
      <c r="E277" s="456">
        <v>8</v>
      </c>
      <c r="F277" s="453"/>
      <c r="G277" s="454"/>
      <c r="H277" s="439">
        <f t="shared" si="96"/>
        <v>0</v>
      </c>
      <c r="I277" s="311"/>
      <c r="J277" s="311"/>
      <c r="K277" s="441">
        <f t="shared" si="97"/>
        <v>0</v>
      </c>
      <c r="L277" s="442"/>
      <c r="M277" s="443"/>
      <c r="N277" s="444">
        <f t="shared" si="98"/>
        <v>0</v>
      </c>
      <c r="O277" s="307"/>
      <c r="P277" s="307"/>
      <c r="Q277" s="445">
        <f t="shared" si="99"/>
        <v>0</v>
      </c>
      <c r="R277" s="442"/>
      <c r="S277" s="443"/>
      <c r="T277" s="444">
        <f t="shared" si="100"/>
        <v>0</v>
      </c>
      <c r="U277" s="306"/>
      <c r="V277" s="306"/>
      <c r="W277" s="441">
        <f t="shared" si="101"/>
        <v>0</v>
      </c>
      <c r="X277" s="442"/>
      <c r="Y277" s="443"/>
      <c r="Z277" s="444">
        <f t="shared" si="102"/>
        <v>0</v>
      </c>
      <c r="AA277" s="307"/>
      <c r="AB277" s="307"/>
      <c r="AC277" s="445">
        <f t="shared" si="103"/>
        <v>0</v>
      </c>
      <c r="AD277" s="442"/>
      <c r="AE277" s="443"/>
      <c r="AF277" s="444">
        <f t="shared" si="104"/>
        <v>0</v>
      </c>
      <c r="AG277" s="307"/>
      <c r="AH277" s="307"/>
      <c r="AI277" s="445">
        <f t="shared" si="105"/>
        <v>0</v>
      </c>
      <c r="AJ277" s="446">
        <v>263</v>
      </c>
      <c r="AK277" s="443">
        <v>43237.4</v>
      </c>
      <c r="AL277" s="444">
        <f t="shared" si="106"/>
        <v>11371436.200000001</v>
      </c>
      <c r="AM277" s="307">
        <v>252.8</v>
      </c>
      <c r="AN277" s="307">
        <v>46358.5</v>
      </c>
      <c r="AO277" s="447">
        <f t="shared" si="107"/>
        <v>11719428.800000001</v>
      </c>
      <c r="AP277" s="448"/>
      <c r="AQ277" s="443"/>
      <c r="AR277" s="444">
        <f t="shared" si="108"/>
        <v>0</v>
      </c>
      <c r="AS277" s="307"/>
      <c r="AT277" s="307"/>
      <c r="AU277" s="441">
        <f t="shared" si="109"/>
        <v>0</v>
      </c>
      <c r="AV277" s="442"/>
      <c r="AW277" s="443"/>
      <c r="AX277" s="444">
        <f t="shared" si="110"/>
        <v>0</v>
      </c>
      <c r="AY277" s="307"/>
      <c r="AZ277" s="307"/>
      <c r="BA277" s="445">
        <f t="shared" si="111"/>
        <v>0</v>
      </c>
      <c r="BB277" s="442"/>
      <c r="BC277" s="443"/>
      <c r="BD277" s="444">
        <f t="shared" si="112"/>
        <v>0</v>
      </c>
      <c r="BE277" s="307"/>
      <c r="BF277" s="307"/>
      <c r="BG277" s="445">
        <f t="shared" si="113"/>
        <v>0</v>
      </c>
      <c r="BH277" s="442"/>
      <c r="BI277" s="443"/>
      <c r="BJ277" s="444">
        <f t="shared" si="114"/>
        <v>0</v>
      </c>
      <c r="BK277" s="307"/>
      <c r="BL277" s="307"/>
      <c r="BM277" s="445">
        <f t="shared" si="115"/>
        <v>0</v>
      </c>
      <c r="BN277" s="442"/>
      <c r="BO277" s="443"/>
      <c r="BP277" s="444">
        <f t="shared" si="116"/>
        <v>0</v>
      </c>
      <c r="BQ277" s="307"/>
      <c r="BR277" s="307"/>
      <c r="BS277" s="445">
        <f t="shared" si="117"/>
        <v>0</v>
      </c>
      <c r="BT277" s="442">
        <v>106</v>
      </c>
      <c r="BU277" s="443">
        <v>48865.877358490565</v>
      </c>
      <c r="BV277" s="444">
        <f t="shared" si="118"/>
        <v>4238098.4506000001</v>
      </c>
      <c r="BW277" s="307">
        <v>84.5</v>
      </c>
      <c r="BX277" s="307">
        <f>4266435/BW277</f>
        <v>50490.3550295858</v>
      </c>
      <c r="BY277" s="449">
        <f t="shared" si="119"/>
        <v>3490797.1170000001</v>
      </c>
    </row>
    <row r="278" spans="1:77" s="308" customFormat="1" ht="12.75" customHeight="1">
      <c r="A278" s="329" t="s">
        <v>341</v>
      </c>
      <c r="B278" s="330" t="s">
        <v>1048</v>
      </c>
      <c r="C278" s="330"/>
      <c r="D278" s="329">
        <v>176178</v>
      </c>
      <c r="E278" s="329">
        <v>8</v>
      </c>
      <c r="F278" s="453"/>
      <c r="G278" s="454"/>
      <c r="H278" s="439">
        <f t="shared" si="96"/>
        <v>0</v>
      </c>
      <c r="I278" s="311"/>
      <c r="J278" s="311"/>
      <c r="K278" s="441">
        <f t="shared" si="97"/>
        <v>0</v>
      </c>
      <c r="L278" s="442"/>
      <c r="M278" s="443"/>
      <c r="N278" s="444">
        <f t="shared" si="98"/>
        <v>0</v>
      </c>
      <c r="O278" s="307"/>
      <c r="P278" s="307"/>
      <c r="Q278" s="445">
        <f t="shared" si="99"/>
        <v>0</v>
      </c>
      <c r="R278" s="442"/>
      <c r="S278" s="443"/>
      <c r="T278" s="444">
        <f t="shared" si="100"/>
        <v>0</v>
      </c>
      <c r="U278" s="306"/>
      <c r="V278" s="306"/>
      <c r="W278" s="441">
        <f t="shared" si="101"/>
        <v>0</v>
      </c>
      <c r="X278" s="442"/>
      <c r="Y278" s="443"/>
      <c r="Z278" s="444">
        <f t="shared" si="102"/>
        <v>0</v>
      </c>
      <c r="AA278" s="307"/>
      <c r="AB278" s="307"/>
      <c r="AC278" s="445">
        <f t="shared" si="103"/>
        <v>0</v>
      </c>
      <c r="AD278" s="442"/>
      <c r="AE278" s="443"/>
      <c r="AF278" s="444">
        <f t="shared" si="104"/>
        <v>0</v>
      </c>
      <c r="AG278" s="307"/>
      <c r="AH278" s="307"/>
      <c r="AI278" s="445">
        <f t="shared" si="105"/>
        <v>0</v>
      </c>
      <c r="AJ278" s="446">
        <v>173</v>
      </c>
      <c r="AK278" s="443">
        <v>52303</v>
      </c>
      <c r="AL278" s="444">
        <f t="shared" si="106"/>
        <v>9048419</v>
      </c>
      <c r="AM278" s="307">
        <v>183</v>
      </c>
      <c r="AN278" s="307">
        <v>50668.5</v>
      </c>
      <c r="AO278" s="447">
        <f t="shared" si="107"/>
        <v>9272335.5</v>
      </c>
      <c r="AP278" s="448"/>
      <c r="AQ278" s="443"/>
      <c r="AR278" s="444">
        <f t="shared" si="108"/>
        <v>0</v>
      </c>
      <c r="AS278" s="307"/>
      <c r="AT278" s="307"/>
      <c r="AU278" s="441">
        <f t="shared" si="109"/>
        <v>0</v>
      </c>
      <c r="AV278" s="442"/>
      <c r="AW278" s="443"/>
      <c r="AX278" s="444">
        <f t="shared" si="110"/>
        <v>0</v>
      </c>
      <c r="AY278" s="307"/>
      <c r="AZ278" s="307"/>
      <c r="BA278" s="445">
        <f t="shared" si="111"/>
        <v>0</v>
      </c>
      <c r="BB278" s="442"/>
      <c r="BC278" s="443"/>
      <c r="BD278" s="444">
        <f t="shared" si="112"/>
        <v>0</v>
      </c>
      <c r="BE278" s="307"/>
      <c r="BF278" s="307"/>
      <c r="BG278" s="445">
        <f t="shared" si="113"/>
        <v>0</v>
      </c>
      <c r="BH278" s="442"/>
      <c r="BI278" s="443"/>
      <c r="BJ278" s="444">
        <f t="shared" si="114"/>
        <v>0</v>
      </c>
      <c r="BK278" s="307"/>
      <c r="BL278" s="307"/>
      <c r="BM278" s="445">
        <f t="shared" si="115"/>
        <v>0</v>
      </c>
      <c r="BN278" s="442"/>
      <c r="BO278" s="443"/>
      <c r="BP278" s="444">
        <f t="shared" si="116"/>
        <v>0</v>
      </c>
      <c r="BQ278" s="307"/>
      <c r="BR278" s="307"/>
      <c r="BS278" s="445">
        <f t="shared" si="117"/>
        <v>0</v>
      </c>
      <c r="BT278" s="442">
        <v>38</v>
      </c>
      <c r="BU278" s="443">
        <v>53010.368421052633</v>
      </c>
      <c r="BV278" s="444">
        <f t="shared" si="118"/>
        <v>1648177.1708</v>
      </c>
      <c r="BW278" s="307">
        <v>38</v>
      </c>
      <c r="BX278" s="307">
        <f>2109532/BW278</f>
        <v>55514</v>
      </c>
      <c r="BY278" s="449">
        <f t="shared" si="119"/>
        <v>1726019.0824000002</v>
      </c>
    </row>
    <row r="279" spans="1:77" s="308" customFormat="1" ht="12.75" customHeight="1">
      <c r="A279" s="329" t="s">
        <v>341</v>
      </c>
      <c r="B279" s="387" t="s">
        <v>1049</v>
      </c>
      <c r="C279" s="387"/>
      <c r="D279" s="331">
        <v>175573</v>
      </c>
      <c r="E279" s="456">
        <v>9</v>
      </c>
      <c r="F279" s="453"/>
      <c r="G279" s="454"/>
      <c r="H279" s="439">
        <f t="shared" si="96"/>
        <v>0</v>
      </c>
      <c r="I279" s="311"/>
      <c r="J279" s="311"/>
      <c r="K279" s="441">
        <f t="shared" si="97"/>
        <v>0</v>
      </c>
      <c r="L279" s="442"/>
      <c r="M279" s="443"/>
      <c r="N279" s="444">
        <f t="shared" si="98"/>
        <v>0</v>
      </c>
      <c r="O279" s="307"/>
      <c r="P279" s="307"/>
      <c r="Q279" s="445">
        <f t="shared" si="99"/>
        <v>0</v>
      </c>
      <c r="R279" s="442"/>
      <c r="S279" s="443"/>
      <c r="T279" s="444">
        <f t="shared" si="100"/>
        <v>0</v>
      </c>
      <c r="U279" s="306"/>
      <c r="V279" s="306"/>
      <c r="W279" s="441">
        <f t="shared" si="101"/>
        <v>0</v>
      </c>
      <c r="X279" s="442"/>
      <c r="Y279" s="443"/>
      <c r="Z279" s="444">
        <f t="shared" si="102"/>
        <v>0</v>
      </c>
      <c r="AA279" s="307"/>
      <c r="AB279" s="307"/>
      <c r="AC279" s="445">
        <f t="shared" si="103"/>
        <v>0</v>
      </c>
      <c r="AD279" s="442"/>
      <c r="AE279" s="443"/>
      <c r="AF279" s="444">
        <f t="shared" si="104"/>
        <v>0</v>
      </c>
      <c r="AG279" s="307"/>
      <c r="AH279" s="307"/>
      <c r="AI279" s="445">
        <f t="shared" si="105"/>
        <v>0</v>
      </c>
      <c r="AJ279" s="446">
        <v>109.5</v>
      </c>
      <c r="AK279" s="443">
        <v>47215.8</v>
      </c>
      <c r="AL279" s="444">
        <f t="shared" si="106"/>
        <v>5170130.1000000006</v>
      </c>
      <c r="AM279" s="307">
        <v>111.5</v>
      </c>
      <c r="AN279" s="307">
        <v>47684.4</v>
      </c>
      <c r="AO279" s="447">
        <f t="shared" si="107"/>
        <v>5316810.6000000006</v>
      </c>
      <c r="AP279" s="448"/>
      <c r="AQ279" s="443"/>
      <c r="AR279" s="444">
        <f t="shared" si="108"/>
        <v>0</v>
      </c>
      <c r="AS279" s="307"/>
      <c r="AT279" s="307"/>
      <c r="AU279" s="441">
        <f t="shared" si="109"/>
        <v>0</v>
      </c>
      <c r="AV279" s="442"/>
      <c r="AW279" s="443"/>
      <c r="AX279" s="444">
        <f t="shared" si="110"/>
        <v>0</v>
      </c>
      <c r="AY279" s="307"/>
      <c r="AZ279" s="307"/>
      <c r="BA279" s="445">
        <f t="shared" si="111"/>
        <v>0</v>
      </c>
      <c r="BB279" s="442"/>
      <c r="BC279" s="443"/>
      <c r="BD279" s="444">
        <f t="shared" si="112"/>
        <v>0</v>
      </c>
      <c r="BE279" s="307"/>
      <c r="BF279" s="307"/>
      <c r="BG279" s="445">
        <f t="shared" si="113"/>
        <v>0</v>
      </c>
      <c r="BH279" s="442"/>
      <c r="BI279" s="443"/>
      <c r="BJ279" s="444">
        <f t="shared" si="114"/>
        <v>0</v>
      </c>
      <c r="BK279" s="307"/>
      <c r="BL279" s="307"/>
      <c r="BM279" s="445">
        <f t="shared" si="115"/>
        <v>0</v>
      </c>
      <c r="BN279" s="442"/>
      <c r="BO279" s="443"/>
      <c r="BP279" s="444">
        <f t="shared" si="116"/>
        <v>0</v>
      </c>
      <c r="BQ279" s="307"/>
      <c r="BR279" s="307"/>
      <c r="BS279" s="445">
        <f t="shared" si="117"/>
        <v>0</v>
      </c>
      <c r="BT279" s="442"/>
      <c r="BU279" s="443"/>
      <c r="BV279" s="444">
        <f t="shared" si="118"/>
        <v>0</v>
      </c>
      <c r="BW279" s="307">
        <v>0</v>
      </c>
      <c r="BX279" s="307">
        <v>0</v>
      </c>
      <c r="BY279" s="449">
        <f t="shared" si="119"/>
        <v>0</v>
      </c>
    </row>
    <row r="280" spans="1:77" s="308" customFormat="1" ht="12.75" customHeight="1">
      <c r="A280" s="329" t="s">
        <v>341</v>
      </c>
      <c r="B280" s="385" t="s">
        <v>1050</v>
      </c>
      <c r="C280" s="385"/>
      <c r="D280" s="329">
        <v>175643</v>
      </c>
      <c r="E280" s="329">
        <v>9</v>
      </c>
      <c r="F280" s="453"/>
      <c r="G280" s="454"/>
      <c r="H280" s="439">
        <f t="shared" si="96"/>
        <v>0</v>
      </c>
      <c r="I280" s="311"/>
      <c r="J280" s="311"/>
      <c r="K280" s="441">
        <f t="shared" si="97"/>
        <v>0</v>
      </c>
      <c r="L280" s="442"/>
      <c r="M280" s="443"/>
      <c r="N280" s="444">
        <f t="shared" si="98"/>
        <v>0</v>
      </c>
      <c r="O280" s="307"/>
      <c r="P280" s="307"/>
      <c r="Q280" s="445">
        <f t="shared" si="99"/>
        <v>0</v>
      </c>
      <c r="R280" s="442"/>
      <c r="S280" s="443"/>
      <c r="T280" s="444">
        <f t="shared" si="100"/>
        <v>0</v>
      </c>
      <c r="U280" s="306"/>
      <c r="V280" s="306"/>
      <c r="W280" s="441">
        <f t="shared" si="101"/>
        <v>0</v>
      </c>
      <c r="X280" s="442"/>
      <c r="Y280" s="443"/>
      <c r="Z280" s="444">
        <f t="shared" si="102"/>
        <v>0</v>
      </c>
      <c r="AA280" s="307"/>
      <c r="AB280" s="307"/>
      <c r="AC280" s="445">
        <f t="shared" si="103"/>
        <v>0</v>
      </c>
      <c r="AD280" s="442"/>
      <c r="AE280" s="443"/>
      <c r="AF280" s="444">
        <f t="shared" si="104"/>
        <v>0</v>
      </c>
      <c r="AG280" s="307"/>
      <c r="AH280" s="307"/>
      <c r="AI280" s="445">
        <f t="shared" si="105"/>
        <v>0</v>
      </c>
      <c r="AJ280" s="446">
        <v>71</v>
      </c>
      <c r="AK280" s="443">
        <v>48990</v>
      </c>
      <c r="AL280" s="444">
        <f t="shared" si="106"/>
        <v>3478290</v>
      </c>
      <c r="AM280" s="307">
        <v>73</v>
      </c>
      <c r="AN280" s="307">
        <v>47197.9</v>
      </c>
      <c r="AO280" s="447">
        <f t="shared" si="107"/>
        <v>3445446.7</v>
      </c>
      <c r="AP280" s="448"/>
      <c r="AQ280" s="443"/>
      <c r="AR280" s="444">
        <f t="shared" si="108"/>
        <v>0</v>
      </c>
      <c r="AS280" s="307"/>
      <c r="AT280" s="307"/>
      <c r="AU280" s="441">
        <f t="shared" si="109"/>
        <v>0</v>
      </c>
      <c r="AV280" s="442"/>
      <c r="AW280" s="443"/>
      <c r="AX280" s="444">
        <f t="shared" si="110"/>
        <v>0</v>
      </c>
      <c r="AY280" s="307"/>
      <c r="AZ280" s="307"/>
      <c r="BA280" s="445">
        <f t="shared" si="111"/>
        <v>0</v>
      </c>
      <c r="BB280" s="442"/>
      <c r="BC280" s="443"/>
      <c r="BD280" s="444">
        <f t="shared" si="112"/>
        <v>0</v>
      </c>
      <c r="BE280" s="307"/>
      <c r="BF280" s="307"/>
      <c r="BG280" s="445">
        <f t="shared" si="113"/>
        <v>0</v>
      </c>
      <c r="BH280" s="442"/>
      <c r="BI280" s="443"/>
      <c r="BJ280" s="444">
        <f t="shared" si="114"/>
        <v>0</v>
      </c>
      <c r="BK280" s="307"/>
      <c r="BL280" s="307"/>
      <c r="BM280" s="445">
        <f t="shared" si="115"/>
        <v>0</v>
      </c>
      <c r="BN280" s="442"/>
      <c r="BO280" s="443"/>
      <c r="BP280" s="444">
        <f t="shared" si="116"/>
        <v>0</v>
      </c>
      <c r="BQ280" s="307"/>
      <c r="BR280" s="307"/>
      <c r="BS280" s="445">
        <f t="shared" si="117"/>
        <v>0</v>
      </c>
      <c r="BT280" s="442">
        <v>9</v>
      </c>
      <c r="BU280" s="443">
        <v>48238.444444444445</v>
      </c>
      <c r="BV280" s="444">
        <f t="shared" si="118"/>
        <v>355218.25719999999</v>
      </c>
      <c r="BW280" s="307">
        <v>9</v>
      </c>
      <c r="BX280" s="307">
        <f>418153/BW280</f>
        <v>46461.444444444445</v>
      </c>
      <c r="BY280" s="449">
        <f t="shared" si="119"/>
        <v>342132.78460000001</v>
      </c>
    </row>
    <row r="281" spans="1:77" s="308" customFormat="1" ht="12.75" customHeight="1">
      <c r="A281" s="329" t="s">
        <v>341</v>
      </c>
      <c r="B281" s="330" t="s">
        <v>1051</v>
      </c>
      <c r="C281" s="330"/>
      <c r="D281" s="329">
        <v>175652</v>
      </c>
      <c r="E281" s="329">
        <v>9</v>
      </c>
      <c r="F281" s="453"/>
      <c r="G281" s="454"/>
      <c r="H281" s="439">
        <f t="shared" si="96"/>
        <v>0</v>
      </c>
      <c r="I281" s="311"/>
      <c r="J281" s="311"/>
      <c r="K281" s="441">
        <f t="shared" si="97"/>
        <v>0</v>
      </c>
      <c r="L281" s="442"/>
      <c r="M281" s="443"/>
      <c r="N281" s="444">
        <f t="shared" si="98"/>
        <v>0</v>
      </c>
      <c r="O281" s="307"/>
      <c r="P281" s="307"/>
      <c r="Q281" s="445">
        <f t="shared" si="99"/>
        <v>0</v>
      </c>
      <c r="R281" s="442"/>
      <c r="S281" s="443"/>
      <c r="T281" s="444">
        <f t="shared" si="100"/>
        <v>0</v>
      </c>
      <c r="U281" s="306"/>
      <c r="V281" s="306"/>
      <c r="W281" s="441">
        <f t="shared" si="101"/>
        <v>0</v>
      </c>
      <c r="X281" s="442"/>
      <c r="Y281" s="443"/>
      <c r="Z281" s="444">
        <f t="shared" si="102"/>
        <v>0</v>
      </c>
      <c r="AA281" s="307"/>
      <c r="AB281" s="307"/>
      <c r="AC281" s="445">
        <f t="shared" si="103"/>
        <v>0</v>
      </c>
      <c r="AD281" s="442"/>
      <c r="AE281" s="443"/>
      <c r="AF281" s="444">
        <f t="shared" si="104"/>
        <v>0</v>
      </c>
      <c r="AG281" s="307"/>
      <c r="AH281" s="307"/>
      <c r="AI281" s="445">
        <f t="shared" si="105"/>
        <v>0</v>
      </c>
      <c r="AJ281" s="446">
        <v>84.5</v>
      </c>
      <c r="AK281" s="443">
        <v>51269.1</v>
      </c>
      <c r="AL281" s="444">
        <f t="shared" si="106"/>
        <v>4332238.95</v>
      </c>
      <c r="AM281" s="307">
        <v>85.7</v>
      </c>
      <c r="AN281" s="307">
        <v>51386</v>
      </c>
      <c r="AO281" s="447">
        <f t="shared" si="107"/>
        <v>4403780.2</v>
      </c>
      <c r="AP281" s="448"/>
      <c r="AQ281" s="443"/>
      <c r="AR281" s="444">
        <f t="shared" si="108"/>
        <v>0</v>
      </c>
      <c r="AS281" s="307"/>
      <c r="AT281" s="307"/>
      <c r="AU281" s="441">
        <f t="shared" si="109"/>
        <v>0</v>
      </c>
      <c r="AV281" s="442"/>
      <c r="AW281" s="443"/>
      <c r="AX281" s="444">
        <f t="shared" si="110"/>
        <v>0</v>
      </c>
      <c r="AY281" s="307"/>
      <c r="AZ281" s="307"/>
      <c r="BA281" s="445">
        <f t="shared" si="111"/>
        <v>0</v>
      </c>
      <c r="BB281" s="442"/>
      <c r="BC281" s="443"/>
      <c r="BD281" s="444">
        <f t="shared" si="112"/>
        <v>0</v>
      </c>
      <c r="BE281" s="307"/>
      <c r="BF281" s="307"/>
      <c r="BG281" s="445">
        <f t="shared" si="113"/>
        <v>0</v>
      </c>
      <c r="BH281" s="442"/>
      <c r="BI281" s="443"/>
      <c r="BJ281" s="444">
        <f t="shared" si="114"/>
        <v>0</v>
      </c>
      <c r="BK281" s="307"/>
      <c r="BL281" s="307"/>
      <c r="BM281" s="445">
        <f t="shared" si="115"/>
        <v>0</v>
      </c>
      <c r="BN281" s="442"/>
      <c r="BO281" s="443"/>
      <c r="BP281" s="444">
        <f t="shared" si="116"/>
        <v>0</v>
      </c>
      <c r="BQ281" s="307"/>
      <c r="BR281" s="307"/>
      <c r="BS281" s="445">
        <f t="shared" si="117"/>
        <v>0</v>
      </c>
      <c r="BT281" s="442">
        <v>26.2</v>
      </c>
      <c r="BU281" s="443">
        <v>56662.51908396947</v>
      </c>
      <c r="BV281" s="444">
        <f t="shared" si="118"/>
        <v>1214665.3556000001</v>
      </c>
      <c r="BW281" s="307">
        <v>25.3</v>
      </c>
      <c r="BX281" s="307">
        <f>1481683/BW281</f>
        <v>58564.545454545456</v>
      </c>
      <c r="BY281" s="449">
        <f t="shared" si="119"/>
        <v>1212313.0306000002</v>
      </c>
    </row>
    <row r="282" spans="1:77" s="308" customFormat="1" ht="12.75" customHeight="1">
      <c r="A282" s="329" t="s">
        <v>341</v>
      </c>
      <c r="B282" s="387" t="s">
        <v>1052</v>
      </c>
      <c r="C282" s="532" t="s">
        <v>1067</v>
      </c>
      <c r="D282" s="329">
        <v>175810</v>
      </c>
      <c r="E282" s="456">
        <v>9</v>
      </c>
      <c r="F282" s="453"/>
      <c r="G282" s="454"/>
      <c r="H282" s="439">
        <f t="shared" si="96"/>
        <v>0</v>
      </c>
      <c r="I282" s="311"/>
      <c r="J282" s="311"/>
      <c r="K282" s="441">
        <f t="shared" si="97"/>
        <v>0</v>
      </c>
      <c r="L282" s="442"/>
      <c r="M282" s="443"/>
      <c r="N282" s="444">
        <f t="shared" si="98"/>
        <v>0</v>
      </c>
      <c r="O282" s="307"/>
      <c r="P282" s="307"/>
      <c r="Q282" s="445">
        <f t="shared" si="99"/>
        <v>0</v>
      </c>
      <c r="R282" s="442"/>
      <c r="S282" s="443"/>
      <c r="T282" s="444">
        <f t="shared" si="100"/>
        <v>0</v>
      </c>
      <c r="U282" s="306"/>
      <c r="V282" s="306"/>
      <c r="W282" s="441">
        <f t="shared" si="101"/>
        <v>0</v>
      </c>
      <c r="X282" s="442"/>
      <c r="Y282" s="443"/>
      <c r="Z282" s="444">
        <f t="shared" si="102"/>
        <v>0</v>
      </c>
      <c r="AA282" s="307"/>
      <c r="AB282" s="307"/>
      <c r="AC282" s="445">
        <f t="shared" si="103"/>
        <v>0</v>
      </c>
      <c r="AD282" s="442"/>
      <c r="AE282" s="443"/>
      <c r="AF282" s="444">
        <f t="shared" si="104"/>
        <v>0</v>
      </c>
      <c r="AG282" s="307"/>
      <c r="AH282" s="307"/>
      <c r="AI282" s="445">
        <f t="shared" si="105"/>
        <v>0</v>
      </c>
      <c r="AJ282" s="446">
        <v>142</v>
      </c>
      <c r="AK282" s="443">
        <v>55342.400000000001</v>
      </c>
      <c r="AL282" s="444">
        <f t="shared" si="106"/>
        <v>7858620.7999999998</v>
      </c>
      <c r="AM282" s="307">
        <v>138</v>
      </c>
      <c r="AN282" s="307">
        <v>55184.2</v>
      </c>
      <c r="AO282" s="447">
        <f t="shared" si="107"/>
        <v>7615419.5999999996</v>
      </c>
      <c r="AP282" s="448"/>
      <c r="AQ282" s="443"/>
      <c r="AR282" s="444">
        <f t="shared" si="108"/>
        <v>0</v>
      </c>
      <c r="AS282" s="307"/>
      <c r="AT282" s="307"/>
      <c r="AU282" s="441">
        <f t="shared" si="109"/>
        <v>0</v>
      </c>
      <c r="AV282" s="442"/>
      <c r="AW282" s="443"/>
      <c r="AX282" s="444">
        <f t="shared" si="110"/>
        <v>0</v>
      </c>
      <c r="AY282" s="307"/>
      <c r="AZ282" s="307"/>
      <c r="BA282" s="445">
        <f t="shared" si="111"/>
        <v>0</v>
      </c>
      <c r="BB282" s="442"/>
      <c r="BC282" s="443"/>
      <c r="BD282" s="444">
        <f t="shared" si="112"/>
        <v>0</v>
      </c>
      <c r="BE282" s="307"/>
      <c r="BF282" s="307"/>
      <c r="BG282" s="445">
        <f t="shared" si="113"/>
        <v>0</v>
      </c>
      <c r="BH282" s="442"/>
      <c r="BI282" s="443"/>
      <c r="BJ282" s="444">
        <f t="shared" si="114"/>
        <v>0</v>
      </c>
      <c r="BK282" s="307"/>
      <c r="BL282" s="307"/>
      <c r="BM282" s="445">
        <f t="shared" si="115"/>
        <v>0</v>
      </c>
      <c r="BN282" s="442"/>
      <c r="BO282" s="443"/>
      <c r="BP282" s="444">
        <f t="shared" si="116"/>
        <v>0</v>
      </c>
      <c r="BQ282" s="307"/>
      <c r="BR282" s="307"/>
      <c r="BS282" s="445">
        <f t="shared" si="117"/>
        <v>0</v>
      </c>
      <c r="BT282" s="442">
        <v>30</v>
      </c>
      <c r="BU282" s="443">
        <v>54325.5</v>
      </c>
      <c r="BV282" s="444">
        <f t="shared" si="118"/>
        <v>1333473.723</v>
      </c>
      <c r="BW282" s="307">
        <v>27</v>
      </c>
      <c r="BX282" s="307">
        <f>1429708/BW282</f>
        <v>52952.148148148146</v>
      </c>
      <c r="BY282" s="449">
        <f t="shared" si="119"/>
        <v>1169787.0856000001</v>
      </c>
    </row>
    <row r="283" spans="1:77" s="308" customFormat="1" ht="12.75" customHeight="1">
      <c r="A283" s="329" t="s">
        <v>341</v>
      </c>
      <c r="B283" s="387" t="s">
        <v>1054</v>
      </c>
      <c r="C283" s="532" t="s">
        <v>1067</v>
      </c>
      <c r="D283" s="329">
        <v>175883</v>
      </c>
      <c r="E283" s="456">
        <v>9</v>
      </c>
      <c r="F283" s="453"/>
      <c r="G283" s="454"/>
      <c r="H283" s="439">
        <f t="shared" si="96"/>
        <v>0</v>
      </c>
      <c r="I283" s="311"/>
      <c r="J283" s="311"/>
      <c r="K283" s="441">
        <f t="shared" si="97"/>
        <v>0</v>
      </c>
      <c r="L283" s="442"/>
      <c r="M283" s="443"/>
      <c r="N283" s="444">
        <f t="shared" si="98"/>
        <v>0</v>
      </c>
      <c r="O283" s="307"/>
      <c r="P283" s="307"/>
      <c r="Q283" s="445">
        <f t="shared" si="99"/>
        <v>0</v>
      </c>
      <c r="R283" s="442"/>
      <c r="S283" s="443"/>
      <c r="T283" s="444">
        <f t="shared" si="100"/>
        <v>0</v>
      </c>
      <c r="U283" s="306"/>
      <c r="V283" s="306"/>
      <c r="W283" s="441">
        <f t="shared" si="101"/>
        <v>0</v>
      </c>
      <c r="X283" s="442"/>
      <c r="Y283" s="443"/>
      <c r="Z283" s="444">
        <f t="shared" si="102"/>
        <v>0</v>
      </c>
      <c r="AA283" s="307"/>
      <c r="AB283" s="307"/>
      <c r="AC283" s="445">
        <f t="shared" si="103"/>
        <v>0</v>
      </c>
      <c r="AD283" s="442"/>
      <c r="AE283" s="443"/>
      <c r="AF283" s="444">
        <f t="shared" si="104"/>
        <v>0</v>
      </c>
      <c r="AG283" s="307"/>
      <c r="AH283" s="307"/>
      <c r="AI283" s="445">
        <f t="shared" si="105"/>
        <v>0</v>
      </c>
      <c r="AJ283" s="446">
        <v>131</v>
      </c>
      <c r="AK283" s="443">
        <v>53220</v>
      </c>
      <c r="AL283" s="444">
        <f t="shared" si="106"/>
        <v>6971820</v>
      </c>
      <c r="AM283" s="307">
        <v>123.5</v>
      </c>
      <c r="AN283" s="307">
        <v>52897.7</v>
      </c>
      <c r="AO283" s="447">
        <f t="shared" si="107"/>
        <v>6532865.9499999993</v>
      </c>
      <c r="AP283" s="448"/>
      <c r="AQ283" s="443"/>
      <c r="AR283" s="444">
        <f t="shared" si="108"/>
        <v>0</v>
      </c>
      <c r="AS283" s="307"/>
      <c r="AT283" s="307"/>
      <c r="AU283" s="441">
        <f t="shared" si="109"/>
        <v>0</v>
      </c>
      <c r="AV283" s="442"/>
      <c r="AW283" s="443"/>
      <c r="AX283" s="444">
        <f t="shared" si="110"/>
        <v>0</v>
      </c>
      <c r="AY283" s="307"/>
      <c r="AZ283" s="307"/>
      <c r="BA283" s="445">
        <f t="shared" si="111"/>
        <v>0</v>
      </c>
      <c r="BB283" s="442"/>
      <c r="BC283" s="443"/>
      <c r="BD283" s="444">
        <f t="shared" si="112"/>
        <v>0</v>
      </c>
      <c r="BE283" s="307"/>
      <c r="BF283" s="307"/>
      <c r="BG283" s="445">
        <f t="shared" si="113"/>
        <v>0</v>
      </c>
      <c r="BH283" s="442"/>
      <c r="BI283" s="443"/>
      <c r="BJ283" s="444">
        <f t="shared" si="114"/>
        <v>0</v>
      </c>
      <c r="BK283" s="307"/>
      <c r="BL283" s="307"/>
      <c r="BM283" s="445">
        <f t="shared" si="115"/>
        <v>0</v>
      </c>
      <c r="BN283" s="442"/>
      <c r="BO283" s="443"/>
      <c r="BP283" s="444">
        <f t="shared" si="116"/>
        <v>0</v>
      </c>
      <c r="BQ283" s="307"/>
      <c r="BR283" s="307"/>
      <c r="BS283" s="445">
        <f t="shared" si="117"/>
        <v>0</v>
      </c>
      <c r="BT283" s="442">
        <v>33.5</v>
      </c>
      <c r="BU283" s="443">
        <v>59167.373134328358</v>
      </c>
      <c r="BV283" s="444">
        <f t="shared" si="118"/>
        <v>1621759.9474000002</v>
      </c>
      <c r="BW283" s="307">
        <v>19</v>
      </c>
      <c r="BX283" s="307">
        <f>1111896/BW283</f>
        <v>58520.84210526316</v>
      </c>
      <c r="BY283" s="449">
        <f t="shared" si="119"/>
        <v>909753.30720000004</v>
      </c>
    </row>
    <row r="284" spans="1:77" s="308" customFormat="1" ht="12.75" customHeight="1">
      <c r="A284" s="329" t="s">
        <v>341</v>
      </c>
      <c r="B284" s="330" t="s">
        <v>1055</v>
      </c>
      <c r="C284" s="330"/>
      <c r="D284" s="329">
        <v>175935</v>
      </c>
      <c r="E284" s="456">
        <v>9</v>
      </c>
      <c r="F284" s="453"/>
      <c r="G284" s="454"/>
      <c r="H284" s="439">
        <f t="shared" si="96"/>
        <v>0</v>
      </c>
      <c r="I284" s="311"/>
      <c r="J284" s="311"/>
      <c r="K284" s="441">
        <f t="shared" si="97"/>
        <v>0</v>
      </c>
      <c r="L284" s="442"/>
      <c r="M284" s="443"/>
      <c r="N284" s="444">
        <f t="shared" si="98"/>
        <v>0</v>
      </c>
      <c r="O284" s="307"/>
      <c r="P284" s="307"/>
      <c r="Q284" s="445">
        <f t="shared" si="99"/>
        <v>0</v>
      </c>
      <c r="R284" s="442"/>
      <c r="S284" s="443"/>
      <c r="T284" s="444">
        <f t="shared" si="100"/>
        <v>0</v>
      </c>
      <c r="U284" s="306"/>
      <c r="V284" s="306"/>
      <c r="W284" s="441">
        <f t="shared" si="101"/>
        <v>0</v>
      </c>
      <c r="X284" s="442"/>
      <c r="Y284" s="443"/>
      <c r="Z284" s="444">
        <f t="shared" si="102"/>
        <v>0</v>
      </c>
      <c r="AA284" s="307"/>
      <c r="AB284" s="307"/>
      <c r="AC284" s="445">
        <f t="shared" si="103"/>
        <v>0</v>
      </c>
      <c r="AD284" s="442"/>
      <c r="AE284" s="443"/>
      <c r="AF284" s="444">
        <f t="shared" si="104"/>
        <v>0</v>
      </c>
      <c r="AG284" s="307"/>
      <c r="AH284" s="307"/>
      <c r="AI284" s="445">
        <f t="shared" si="105"/>
        <v>0</v>
      </c>
      <c r="AJ284" s="446">
        <v>93</v>
      </c>
      <c r="AK284" s="443">
        <v>42993.7</v>
      </c>
      <c r="AL284" s="444">
        <f t="shared" si="106"/>
        <v>3998414.0999999996</v>
      </c>
      <c r="AM284" s="307">
        <v>92</v>
      </c>
      <c r="AN284" s="307">
        <v>44019.3</v>
      </c>
      <c r="AO284" s="447">
        <f t="shared" si="107"/>
        <v>4049775.6</v>
      </c>
      <c r="AP284" s="448"/>
      <c r="AQ284" s="443"/>
      <c r="AR284" s="444">
        <f t="shared" si="108"/>
        <v>0</v>
      </c>
      <c r="AS284" s="307"/>
      <c r="AT284" s="307"/>
      <c r="AU284" s="441">
        <f t="shared" si="109"/>
        <v>0</v>
      </c>
      <c r="AV284" s="442"/>
      <c r="AW284" s="443"/>
      <c r="AX284" s="444">
        <f t="shared" si="110"/>
        <v>0</v>
      </c>
      <c r="AY284" s="307"/>
      <c r="AZ284" s="307"/>
      <c r="BA284" s="445">
        <f t="shared" si="111"/>
        <v>0</v>
      </c>
      <c r="BB284" s="442"/>
      <c r="BC284" s="443"/>
      <c r="BD284" s="444">
        <f t="shared" si="112"/>
        <v>0</v>
      </c>
      <c r="BE284" s="307"/>
      <c r="BF284" s="307"/>
      <c r="BG284" s="445">
        <f t="shared" si="113"/>
        <v>0</v>
      </c>
      <c r="BH284" s="442"/>
      <c r="BI284" s="443"/>
      <c r="BJ284" s="444">
        <f t="shared" si="114"/>
        <v>0</v>
      </c>
      <c r="BK284" s="307"/>
      <c r="BL284" s="307"/>
      <c r="BM284" s="445">
        <f t="shared" si="115"/>
        <v>0</v>
      </c>
      <c r="BN284" s="442"/>
      <c r="BO284" s="443"/>
      <c r="BP284" s="444">
        <f t="shared" si="116"/>
        <v>0</v>
      </c>
      <c r="BQ284" s="307"/>
      <c r="BR284" s="307"/>
      <c r="BS284" s="445">
        <f t="shared" si="117"/>
        <v>0</v>
      </c>
      <c r="BT284" s="442">
        <v>62</v>
      </c>
      <c r="BU284" s="443">
        <v>48903.677419354841</v>
      </c>
      <c r="BV284" s="444">
        <f t="shared" si="118"/>
        <v>2480805.3096000003</v>
      </c>
      <c r="BW284" s="307">
        <v>63</v>
      </c>
      <c r="BX284" s="307">
        <f>2981984/BW284</f>
        <v>47333.079365079364</v>
      </c>
      <c r="BY284" s="449">
        <f t="shared" si="119"/>
        <v>2439859.3088000002</v>
      </c>
    </row>
    <row r="285" spans="1:77" s="308" customFormat="1" ht="12.75" customHeight="1">
      <c r="A285" s="329" t="s">
        <v>341</v>
      </c>
      <c r="B285" s="330" t="s">
        <v>1056</v>
      </c>
      <c r="C285" s="330"/>
      <c r="D285" s="329">
        <v>176008</v>
      </c>
      <c r="E285" s="456">
        <v>9</v>
      </c>
      <c r="F285" s="453"/>
      <c r="G285" s="454"/>
      <c r="H285" s="439">
        <f t="shared" si="96"/>
        <v>0</v>
      </c>
      <c r="I285" s="311"/>
      <c r="J285" s="311"/>
      <c r="K285" s="441">
        <f t="shared" si="97"/>
        <v>0</v>
      </c>
      <c r="L285" s="442"/>
      <c r="M285" s="443"/>
      <c r="N285" s="444">
        <f t="shared" si="98"/>
        <v>0</v>
      </c>
      <c r="O285" s="307"/>
      <c r="P285" s="307"/>
      <c r="Q285" s="445">
        <f t="shared" si="99"/>
        <v>0</v>
      </c>
      <c r="R285" s="442"/>
      <c r="S285" s="443"/>
      <c r="T285" s="444">
        <f t="shared" si="100"/>
        <v>0</v>
      </c>
      <c r="U285" s="306"/>
      <c r="V285" s="306"/>
      <c r="W285" s="441">
        <f t="shared" si="101"/>
        <v>0</v>
      </c>
      <c r="X285" s="442"/>
      <c r="Y285" s="443"/>
      <c r="Z285" s="444">
        <f t="shared" si="102"/>
        <v>0</v>
      </c>
      <c r="AA285" s="307"/>
      <c r="AB285" s="307"/>
      <c r="AC285" s="445">
        <f t="shared" si="103"/>
        <v>0</v>
      </c>
      <c r="AD285" s="442"/>
      <c r="AE285" s="443"/>
      <c r="AF285" s="444">
        <f t="shared" si="104"/>
        <v>0</v>
      </c>
      <c r="AG285" s="307"/>
      <c r="AH285" s="307"/>
      <c r="AI285" s="445">
        <f t="shared" si="105"/>
        <v>0</v>
      </c>
      <c r="AJ285" s="446">
        <v>109</v>
      </c>
      <c r="AK285" s="443">
        <v>48406.1</v>
      </c>
      <c r="AL285" s="444">
        <f t="shared" si="106"/>
        <v>5276264.8999999994</v>
      </c>
      <c r="AM285" s="307">
        <v>113</v>
      </c>
      <c r="AN285" s="307">
        <v>50243.5</v>
      </c>
      <c r="AO285" s="447">
        <f t="shared" si="107"/>
        <v>5677515.5</v>
      </c>
      <c r="AP285" s="448"/>
      <c r="AQ285" s="443"/>
      <c r="AR285" s="444">
        <f t="shared" si="108"/>
        <v>0</v>
      </c>
      <c r="AS285" s="307"/>
      <c r="AT285" s="307"/>
      <c r="AU285" s="441">
        <f t="shared" si="109"/>
        <v>0</v>
      </c>
      <c r="AV285" s="442"/>
      <c r="AW285" s="443"/>
      <c r="AX285" s="444">
        <f t="shared" si="110"/>
        <v>0</v>
      </c>
      <c r="AY285" s="307"/>
      <c r="AZ285" s="307"/>
      <c r="BA285" s="445">
        <f t="shared" si="111"/>
        <v>0</v>
      </c>
      <c r="BB285" s="442"/>
      <c r="BC285" s="443"/>
      <c r="BD285" s="444">
        <f t="shared" si="112"/>
        <v>0</v>
      </c>
      <c r="BE285" s="307"/>
      <c r="BF285" s="307"/>
      <c r="BG285" s="445">
        <f t="shared" si="113"/>
        <v>0</v>
      </c>
      <c r="BH285" s="442"/>
      <c r="BI285" s="443"/>
      <c r="BJ285" s="444">
        <f t="shared" si="114"/>
        <v>0</v>
      </c>
      <c r="BK285" s="307"/>
      <c r="BL285" s="307"/>
      <c r="BM285" s="445">
        <f t="shared" si="115"/>
        <v>0</v>
      </c>
      <c r="BN285" s="442"/>
      <c r="BO285" s="443"/>
      <c r="BP285" s="444">
        <f t="shared" si="116"/>
        <v>0</v>
      </c>
      <c r="BQ285" s="307"/>
      <c r="BR285" s="307"/>
      <c r="BS285" s="445">
        <f t="shared" si="117"/>
        <v>0</v>
      </c>
      <c r="BT285" s="442">
        <v>9</v>
      </c>
      <c r="BU285" s="443">
        <v>52026.222222222219</v>
      </c>
      <c r="BV285" s="444">
        <f t="shared" si="118"/>
        <v>383110.69520000002</v>
      </c>
      <c r="BW285" s="307">
        <v>4</v>
      </c>
      <c r="BX285" s="307">
        <f>165644/BW285</f>
        <v>41411</v>
      </c>
      <c r="BY285" s="449">
        <f t="shared" si="119"/>
        <v>135529.92079999999</v>
      </c>
    </row>
    <row r="286" spans="1:77" s="308" customFormat="1" ht="12.75" customHeight="1">
      <c r="A286" s="329" t="s">
        <v>341</v>
      </c>
      <c r="B286" s="330" t="s">
        <v>1057</v>
      </c>
      <c r="C286" s="330"/>
      <c r="D286" s="329">
        <v>176169</v>
      </c>
      <c r="E286" s="329">
        <v>9</v>
      </c>
      <c r="F286" s="453"/>
      <c r="G286" s="454"/>
      <c r="H286" s="439">
        <f t="shared" si="96"/>
        <v>0</v>
      </c>
      <c r="I286" s="311"/>
      <c r="J286" s="311"/>
      <c r="K286" s="441">
        <f t="shared" si="97"/>
        <v>0</v>
      </c>
      <c r="L286" s="442"/>
      <c r="M286" s="443"/>
      <c r="N286" s="444">
        <f t="shared" si="98"/>
        <v>0</v>
      </c>
      <c r="O286" s="307"/>
      <c r="P286" s="307"/>
      <c r="Q286" s="445">
        <f t="shared" si="99"/>
        <v>0</v>
      </c>
      <c r="R286" s="442"/>
      <c r="S286" s="443"/>
      <c r="T286" s="444">
        <f t="shared" si="100"/>
        <v>0</v>
      </c>
      <c r="U286" s="306"/>
      <c r="V286" s="306"/>
      <c r="W286" s="441">
        <f t="shared" si="101"/>
        <v>0</v>
      </c>
      <c r="X286" s="442"/>
      <c r="Y286" s="443"/>
      <c r="Z286" s="444">
        <f t="shared" si="102"/>
        <v>0</v>
      </c>
      <c r="AA286" s="307"/>
      <c r="AB286" s="307"/>
      <c r="AC286" s="445">
        <f t="shared" si="103"/>
        <v>0</v>
      </c>
      <c r="AD286" s="442"/>
      <c r="AE286" s="443"/>
      <c r="AF286" s="444">
        <f t="shared" si="104"/>
        <v>0</v>
      </c>
      <c r="AG286" s="307"/>
      <c r="AH286" s="307"/>
      <c r="AI286" s="445">
        <f t="shared" si="105"/>
        <v>0</v>
      </c>
      <c r="AJ286" s="446">
        <v>106</v>
      </c>
      <c r="AK286" s="443">
        <v>51664.9</v>
      </c>
      <c r="AL286" s="444">
        <f t="shared" si="106"/>
        <v>5476479.4000000004</v>
      </c>
      <c r="AM286" s="307">
        <v>103</v>
      </c>
      <c r="AN286" s="307">
        <v>51957.7</v>
      </c>
      <c r="AO286" s="447">
        <f t="shared" si="107"/>
        <v>5351643.0999999996</v>
      </c>
      <c r="AP286" s="448"/>
      <c r="AQ286" s="443"/>
      <c r="AR286" s="444">
        <f t="shared" si="108"/>
        <v>0</v>
      </c>
      <c r="AS286" s="307"/>
      <c r="AT286" s="307"/>
      <c r="AU286" s="441">
        <f t="shared" si="109"/>
        <v>0</v>
      </c>
      <c r="AV286" s="442"/>
      <c r="AW286" s="443"/>
      <c r="AX286" s="444">
        <f t="shared" si="110"/>
        <v>0</v>
      </c>
      <c r="AY286" s="307"/>
      <c r="AZ286" s="307"/>
      <c r="BA286" s="445">
        <f t="shared" si="111"/>
        <v>0</v>
      </c>
      <c r="BB286" s="442"/>
      <c r="BC286" s="443"/>
      <c r="BD286" s="444">
        <f t="shared" si="112"/>
        <v>0</v>
      </c>
      <c r="BE286" s="307"/>
      <c r="BF286" s="307"/>
      <c r="BG286" s="445">
        <f t="shared" si="113"/>
        <v>0</v>
      </c>
      <c r="BH286" s="442"/>
      <c r="BI286" s="443"/>
      <c r="BJ286" s="444">
        <f t="shared" si="114"/>
        <v>0</v>
      </c>
      <c r="BK286" s="307"/>
      <c r="BL286" s="307"/>
      <c r="BM286" s="445">
        <f t="shared" si="115"/>
        <v>0</v>
      </c>
      <c r="BN286" s="442"/>
      <c r="BO286" s="443"/>
      <c r="BP286" s="444">
        <f t="shared" si="116"/>
        <v>0</v>
      </c>
      <c r="BQ286" s="307"/>
      <c r="BR286" s="307"/>
      <c r="BS286" s="445">
        <f t="shared" si="117"/>
        <v>0</v>
      </c>
      <c r="BT286" s="442">
        <v>23</v>
      </c>
      <c r="BU286" s="443">
        <v>62033.521739130432</v>
      </c>
      <c r="BV286" s="444">
        <f t="shared" si="118"/>
        <v>1167384.0322</v>
      </c>
      <c r="BW286" s="307">
        <v>22</v>
      </c>
      <c r="BX286" s="307">
        <f>1384212/BW286</f>
        <v>62918.727272727272</v>
      </c>
      <c r="BY286" s="449">
        <f t="shared" si="119"/>
        <v>1132562.2584000002</v>
      </c>
    </row>
    <row r="287" spans="1:77" s="308" customFormat="1" ht="12.75" customHeight="1">
      <c r="A287" s="329" t="s">
        <v>341</v>
      </c>
      <c r="B287" s="387" t="s">
        <v>1058</v>
      </c>
      <c r="C287" s="387"/>
      <c r="D287" s="331">
        <v>176239</v>
      </c>
      <c r="E287" s="456">
        <v>9</v>
      </c>
      <c r="F287" s="453"/>
      <c r="G287" s="454"/>
      <c r="H287" s="439">
        <f t="shared" si="96"/>
        <v>0</v>
      </c>
      <c r="I287" s="311"/>
      <c r="J287" s="311"/>
      <c r="K287" s="441">
        <f t="shared" si="97"/>
        <v>0</v>
      </c>
      <c r="L287" s="442"/>
      <c r="M287" s="443"/>
      <c r="N287" s="444">
        <f t="shared" si="98"/>
        <v>0</v>
      </c>
      <c r="O287" s="307"/>
      <c r="P287" s="307"/>
      <c r="Q287" s="445">
        <f t="shared" si="99"/>
        <v>0</v>
      </c>
      <c r="R287" s="442"/>
      <c r="S287" s="443"/>
      <c r="T287" s="444">
        <f t="shared" si="100"/>
        <v>0</v>
      </c>
      <c r="U287" s="306"/>
      <c r="V287" s="306"/>
      <c r="W287" s="441">
        <f t="shared" si="101"/>
        <v>0</v>
      </c>
      <c r="X287" s="442"/>
      <c r="Y287" s="443"/>
      <c r="Z287" s="444">
        <f t="shared" si="102"/>
        <v>0</v>
      </c>
      <c r="AA287" s="307"/>
      <c r="AB287" s="307"/>
      <c r="AC287" s="445">
        <f t="shared" si="103"/>
        <v>0</v>
      </c>
      <c r="AD287" s="442"/>
      <c r="AE287" s="443"/>
      <c r="AF287" s="444">
        <f t="shared" si="104"/>
        <v>0</v>
      </c>
      <c r="AG287" s="307"/>
      <c r="AH287" s="307"/>
      <c r="AI287" s="445">
        <f t="shared" si="105"/>
        <v>0</v>
      </c>
      <c r="AJ287" s="446">
        <v>187</v>
      </c>
      <c r="AK287" s="443">
        <v>56223.5</v>
      </c>
      <c r="AL287" s="444">
        <f t="shared" si="106"/>
        <v>10513794.5</v>
      </c>
      <c r="AM287" s="307">
        <v>183</v>
      </c>
      <c r="AN287" s="307">
        <v>56687.4</v>
      </c>
      <c r="AO287" s="447">
        <f t="shared" si="107"/>
        <v>10373794.200000001</v>
      </c>
      <c r="AP287" s="448"/>
      <c r="AQ287" s="443"/>
      <c r="AR287" s="444">
        <f t="shared" si="108"/>
        <v>0</v>
      </c>
      <c r="AS287" s="307"/>
      <c r="AT287" s="307"/>
      <c r="AU287" s="441">
        <f t="shared" si="109"/>
        <v>0</v>
      </c>
      <c r="AV287" s="442"/>
      <c r="AW287" s="443"/>
      <c r="AX287" s="444">
        <f t="shared" si="110"/>
        <v>0</v>
      </c>
      <c r="AY287" s="307"/>
      <c r="AZ287" s="307"/>
      <c r="BA287" s="445">
        <f t="shared" si="111"/>
        <v>0</v>
      </c>
      <c r="BB287" s="442"/>
      <c r="BC287" s="443"/>
      <c r="BD287" s="444">
        <f t="shared" si="112"/>
        <v>0</v>
      </c>
      <c r="BE287" s="307"/>
      <c r="BF287" s="307"/>
      <c r="BG287" s="445">
        <f t="shared" si="113"/>
        <v>0</v>
      </c>
      <c r="BH287" s="442"/>
      <c r="BI287" s="443"/>
      <c r="BJ287" s="444">
        <f t="shared" si="114"/>
        <v>0</v>
      </c>
      <c r="BK287" s="307"/>
      <c r="BL287" s="307"/>
      <c r="BM287" s="445">
        <f t="shared" si="115"/>
        <v>0</v>
      </c>
      <c r="BN287" s="442"/>
      <c r="BO287" s="443"/>
      <c r="BP287" s="444">
        <f t="shared" si="116"/>
        <v>0</v>
      </c>
      <c r="BQ287" s="307"/>
      <c r="BR287" s="307"/>
      <c r="BS287" s="445">
        <f t="shared" si="117"/>
        <v>0</v>
      </c>
      <c r="BT287" s="442"/>
      <c r="BU287" s="443"/>
      <c r="BV287" s="444">
        <f t="shared" si="118"/>
        <v>0</v>
      </c>
      <c r="BW287" s="307">
        <v>0</v>
      </c>
      <c r="BX287" s="307">
        <v>0</v>
      </c>
      <c r="BY287" s="449">
        <f t="shared" si="119"/>
        <v>0</v>
      </c>
    </row>
    <row r="288" spans="1:77" s="308" customFormat="1" ht="12.75" customHeight="1">
      <c r="A288" s="329" t="s">
        <v>341</v>
      </c>
      <c r="B288" s="387" t="s">
        <v>1059</v>
      </c>
      <c r="C288" s="532" t="s">
        <v>1069</v>
      </c>
      <c r="D288" s="329">
        <v>175519</v>
      </c>
      <c r="E288" s="456">
        <v>10</v>
      </c>
      <c r="F288" s="453"/>
      <c r="G288" s="454"/>
      <c r="H288" s="439">
        <f t="shared" si="96"/>
        <v>0</v>
      </c>
      <c r="I288" s="311"/>
      <c r="J288" s="311"/>
      <c r="K288" s="441">
        <f t="shared" si="97"/>
        <v>0</v>
      </c>
      <c r="L288" s="442"/>
      <c r="M288" s="443"/>
      <c r="N288" s="444">
        <f t="shared" si="98"/>
        <v>0</v>
      </c>
      <c r="O288" s="307"/>
      <c r="P288" s="307"/>
      <c r="Q288" s="445">
        <f t="shared" si="99"/>
        <v>0</v>
      </c>
      <c r="R288" s="442"/>
      <c r="S288" s="443"/>
      <c r="T288" s="444">
        <f t="shared" si="100"/>
        <v>0</v>
      </c>
      <c r="U288" s="306"/>
      <c r="V288" s="306"/>
      <c r="W288" s="441">
        <f t="shared" si="101"/>
        <v>0</v>
      </c>
      <c r="X288" s="442"/>
      <c r="Y288" s="443"/>
      <c r="Z288" s="444">
        <f t="shared" si="102"/>
        <v>0</v>
      </c>
      <c r="AA288" s="307"/>
      <c r="AB288" s="307"/>
      <c r="AC288" s="445">
        <f t="shared" si="103"/>
        <v>0</v>
      </c>
      <c r="AD288" s="442"/>
      <c r="AE288" s="443"/>
      <c r="AF288" s="444">
        <f t="shared" si="104"/>
        <v>0</v>
      </c>
      <c r="AG288" s="307"/>
      <c r="AH288" s="307"/>
      <c r="AI288" s="445">
        <f t="shared" si="105"/>
        <v>0</v>
      </c>
      <c r="AJ288" s="446">
        <v>52</v>
      </c>
      <c r="AK288" s="443">
        <v>46733.5</v>
      </c>
      <c r="AL288" s="444">
        <f t="shared" si="106"/>
        <v>2430142</v>
      </c>
      <c r="AM288" s="307">
        <v>53</v>
      </c>
      <c r="AN288" s="307">
        <v>44817.5</v>
      </c>
      <c r="AO288" s="447">
        <f t="shared" si="107"/>
        <v>2375327.5</v>
      </c>
      <c r="AP288" s="448"/>
      <c r="AQ288" s="443"/>
      <c r="AR288" s="444">
        <f t="shared" si="108"/>
        <v>0</v>
      </c>
      <c r="AS288" s="307"/>
      <c r="AT288" s="307"/>
      <c r="AU288" s="441">
        <f t="shared" si="109"/>
        <v>0</v>
      </c>
      <c r="AV288" s="442"/>
      <c r="AW288" s="443"/>
      <c r="AX288" s="444">
        <f t="shared" si="110"/>
        <v>0</v>
      </c>
      <c r="AY288" s="307"/>
      <c r="AZ288" s="307"/>
      <c r="BA288" s="445">
        <f t="shared" si="111"/>
        <v>0</v>
      </c>
      <c r="BB288" s="442"/>
      <c r="BC288" s="443"/>
      <c r="BD288" s="444">
        <f t="shared" si="112"/>
        <v>0</v>
      </c>
      <c r="BE288" s="307"/>
      <c r="BF288" s="307"/>
      <c r="BG288" s="445">
        <f t="shared" si="113"/>
        <v>0</v>
      </c>
      <c r="BH288" s="442"/>
      <c r="BI288" s="443"/>
      <c r="BJ288" s="444">
        <f t="shared" si="114"/>
        <v>0</v>
      </c>
      <c r="BK288" s="307"/>
      <c r="BL288" s="307"/>
      <c r="BM288" s="445">
        <f t="shared" si="115"/>
        <v>0</v>
      </c>
      <c r="BN288" s="442"/>
      <c r="BO288" s="443"/>
      <c r="BP288" s="444">
        <f t="shared" si="116"/>
        <v>0</v>
      </c>
      <c r="BQ288" s="307"/>
      <c r="BR288" s="307"/>
      <c r="BS288" s="445">
        <f t="shared" si="117"/>
        <v>0</v>
      </c>
      <c r="BT288" s="442">
        <v>22</v>
      </c>
      <c r="BU288" s="443">
        <v>36009.409090909088</v>
      </c>
      <c r="BV288" s="444">
        <f t="shared" si="118"/>
        <v>648183.76740000001</v>
      </c>
      <c r="BW288" s="307">
        <v>21</v>
      </c>
      <c r="BX288" s="307">
        <f>811384/BW288</f>
        <v>38637.333333333336</v>
      </c>
      <c r="BY288" s="449">
        <f t="shared" si="119"/>
        <v>663874.38880000007</v>
      </c>
    </row>
    <row r="289" spans="1:77" s="308" customFormat="1" ht="12.75" customHeight="1">
      <c r="A289" s="329" t="s">
        <v>341</v>
      </c>
      <c r="B289" s="330" t="s">
        <v>1060</v>
      </c>
      <c r="C289" s="330"/>
      <c r="D289" s="329">
        <v>176354</v>
      </c>
      <c r="E289" s="456">
        <v>10</v>
      </c>
      <c r="F289" s="453"/>
      <c r="G289" s="454"/>
      <c r="H289" s="439">
        <f t="shared" si="96"/>
        <v>0</v>
      </c>
      <c r="I289" s="311"/>
      <c r="J289" s="311"/>
      <c r="K289" s="441">
        <f t="shared" si="97"/>
        <v>0</v>
      </c>
      <c r="L289" s="442"/>
      <c r="M289" s="443"/>
      <c r="N289" s="444">
        <f t="shared" si="98"/>
        <v>0</v>
      </c>
      <c r="O289" s="307"/>
      <c r="P289" s="307"/>
      <c r="Q289" s="445">
        <f t="shared" si="99"/>
        <v>0</v>
      </c>
      <c r="R289" s="442"/>
      <c r="S289" s="443"/>
      <c r="T289" s="444">
        <f t="shared" si="100"/>
        <v>0</v>
      </c>
      <c r="U289" s="306"/>
      <c r="V289" s="306"/>
      <c r="W289" s="441">
        <f t="shared" si="101"/>
        <v>0</v>
      </c>
      <c r="X289" s="442"/>
      <c r="Y289" s="443"/>
      <c r="Z289" s="444">
        <f t="shared" si="102"/>
        <v>0</v>
      </c>
      <c r="AA289" s="307"/>
      <c r="AB289" s="307"/>
      <c r="AC289" s="445">
        <f t="shared" si="103"/>
        <v>0</v>
      </c>
      <c r="AD289" s="442"/>
      <c r="AE289" s="443"/>
      <c r="AF289" s="444">
        <f t="shared" si="104"/>
        <v>0</v>
      </c>
      <c r="AG289" s="307"/>
      <c r="AH289" s="307"/>
      <c r="AI289" s="445">
        <f t="shared" si="105"/>
        <v>0</v>
      </c>
      <c r="AJ289" s="446">
        <v>65</v>
      </c>
      <c r="AK289" s="443">
        <v>55101.599999999999</v>
      </c>
      <c r="AL289" s="444">
        <f t="shared" si="106"/>
        <v>3581604</v>
      </c>
      <c r="AM289" s="307">
        <v>59</v>
      </c>
      <c r="AN289" s="307">
        <v>55420.5</v>
      </c>
      <c r="AO289" s="447">
        <f t="shared" si="107"/>
        <v>3269809.5</v>
      </c>
      <c r="AP289" s="448"/>
      <c r="AQ289" s="443"/>
      <c r="AR289" s="444">
        <f t="shared" si="108"/>
        <v>0</v>
      </c>
      <c r="AS289" s="307"/>
      <c r="AT289" s="307"/>
      <c r="AU289" s="441">
        <f t="shared" si="109"/>
        <v>0</v>
      </c>
      <c r="AV289" s="442"/>
      <c r="AW289" s="443"/>
      <c r="AX289" s="444">
        <f t="shared" si="110"/>
        <v>0</v>
      </c>
      <c r="AY289" s="307"/>
      <c r="AZ289" s="307"/>
      <c r="BA289" s="445">
        <f t="shared" si="111"/>
        <v>0</v>
      </c>
      <c r="BB289" s="442"/>
      <c r="BC289" s="443"/>
      <c r="BD289" s="444">
        <f t="shared" si="112"/>
        <v>0</v>
      </c>
      <c r="BE289" s="307"/>
      <c r="BF289" s="307"/>
      <c r="BG289" s="445">
        <f t="shared" si="113"/>
        <v>0</v>
      </c>
      <c r="BH289" s="442"/>
      <c r="BI289" s="443"/>
      <c r="BJ289" s="444">
        <f t="shared" si="114"/>
        <v>0</v>
      </c>
      <c r="BK289" s="307"/>
      <c r="BL289" s="307"/>
      <c r="BM289" s="445">
        <f t="shared" si="115"/>
        <v>0</v>
      </c>
      <c r="BN289" s="442"/>
      <c r="BO289" s="443"/>
      <c r="BP289" s="444">
        <f t="shared" si="116"/>
        <v>0</v>
      </c>
      <c r="BQ289" s="307"/>
      <c r="BR289" s="307"/>
      <c r="BS289" s="445">
        <f t="shared" si="117"/>
        <v>0</v>
      </c>
      <c r="BT289" s="442">
        <v>7</v>
      </c>
      <c r="BU289" s="443">
        <v>42486.285714285717</v>
      </c>
      <c r="BV289" s="444">
        <f t="shared" si="118"/>
        <v>243335.9528</v>
      </c>
      <c r="BW289" s="307">
        <v>12</v>
      </c>
      <c r="BX289" s="307">
        <f>508425/BW289</f>
        <v>42368.75</v>
      </c>
      <c r="BY289" s="449">
        <f t="shared" si="119"/>
        <v>415993.33500000002</v>
      </c>
    </row>
    <row r="290" spans="1:77" s="308" customFormat="1" ht="12.75" customHeight="1">
      <c r="A290" s="345" t="s">
        <v>342</v>
      </c>
      <c r="B290" s="346" t="s">
        <v>162</v>
      </c>
      <c r="C290" s="346"/>
      <c r="D290" s="347">
        <v>199193</v>
      </c>
      <c r="E290" s="479">
        <v>1</v>
      </c>
      <c r="F290" s="453">
        <v>393</v>
      </c>
      <c r="G290" s="454">
        <v>121746</v>
      </c>
      <c r="H290" s="439">
        <f t="shared" si="96"/>
        <v>47846178</v>
      </c>
      <c r="I290" s="311">
        <v>401</v>
      </c>
      <c r="J290" s="311">
        <v>123240</v>
      </c>
      <c r="K290" s="441">
        <f t="shared" si="97"/>
        <v>49419240</v>
      </c>
      <c r="L290" s="442">
        <v>304</v>
      </c>
      <c r="M290" s="443">
        <v>86188</v>
      </c>
      <c r="N290" s="444">
        <f t="shared" si="98"/>
        <v>26201152</v>
      </c>
      <c r="O290" s="307">
        <v>304</v>
      </c>
      <c r="P290" s="307">
        <v>85875</v>
      </c>
      <c r="Q290" s="445">
        <f t="shared" si="99"/>
        <v>26106000</v>
      </c>
      <c r="R290" s="442">
        <v>219</v>
      </c>
      <c r="S290" s="443">
        <v>74544</v>
      </c>
      <c r="T290" s="444">
        <f t="shared" si="100"/>
        <v>16325136</v>
      </c>
      <c r="U290" s="307">
        <v>211</v>
      </c>
      <c r="V290" s="307">
        <v>74260</v>
      </c>
      <c r="W290" s="441">
        <f t="shared" si="101"/>
        <v>15668860</v>
      </c>
      <c r="X290" s="442">
        <v>3</v>
      </c>
      <c r="Y290" s="443">
        <v>57000</v>
      </c>
      <c r="Z290" s="444">
        <f t="shared" si="102"/>
        <v>171000</v>
      </c>
      <c r="AA290" s="307">
        <v>4</v>
      </c>
      <c r="AB290" s="307">
        <v>65750</v>
      </c>
      <c r="AC290" s="445">
        <f t="shared" si="103"/>
        <v>263000</v>
      </c>
      <c r="AD290" s="442">
        <v>223</v>
      </c>
      <c r="AE290" s="443">
        <v>50528</v>
      </c>
      <c r="AF290" s="444">
        <f t="shared" si="104"/>
        <v>11267744</v>
      </c>
      <c r="AG290" s="307">
        <v>225</v>
      </c>
      <c r="AH290" s="307">
        <v>50467</v>
      </c>
      <c r="AI290" s="445">
        <f t="shared" si="105"/>
        <v>11355075</v>
      </c>
      <c r="AJ290" s="446"/>
      <c r="AK290" s="443"/>
      <c r="AL290" s="444">
        <f t="shared" si="106"/>
        <v>0</v>
      </c>
      <c r="AM290" s="307"/>
      <c r="AN290" s="307"/>
      <c r="AO290" s="447">
        <f t="shared" si="107"/>
        <v>0</v>
      </c>
      <c r="AP290" s="448">
        <v>285</v>
      </c>
      <c r="AQ290" s="443">
        <v>129478</v>
      </c>
      <c r="AR290" s="444">
        <f t="shared" si="108"/>
        <v>30192586.386</v>
      </c>
      <c r="AS290" s="307">
        <v>275</v>
      </c>
      <c r="AT290" s="307">
        <v>129044</v>
      </c>
      <c r="AU290" s="441">
        <f t="shared" si="109"/>
        <v>29035545.220000003</v>
      </c>
      <c r="AV290" s="442">
        <v>127</v>
      </c>
      <c r="AW290" s="443">
        <v>96921</v>
      </c>
      <c r="AX290" s="444">
        <f t="shared" si="110"/>
        <v>10071196.7994</v>
      </c>
      <c r="AY290" s="307">
        <v>124</v>
      </c>
      <c r="AZ290" s="307">
        <v>96723</v>
      </c>
      <c r="BA290" s="445">
        <f t="shared" si="111"/>
        <v>9813206.0664000008</v>
      </c>
      <c r="BB290" s="442">
        <v>137</v>
      </c>
      <c r="BC290" s="443">
        <v>77178</v>
      </c>
      <c r="BD290" s="444">
        <f t="shared" si="112"/>
        <v>8651144.4252000004</v>
      </c>
      <c r="BE290" s="307">
        <v>127</v>
      </c>
      <c r="BF290" s="307">
        <v>78134</v>
      </c>
      <c r="BG290" s="445">
        <f t="shared" si="113"/>
        <v>8119013.3276000004</v>
      </c>
      <c r="BH290" s="442">
        <v>2</v>
      </c>
      <c r="BI290" s="443">
        <v>49750</v>
      </c>
      <c r="BJ290" s="444">
        <f t="shared" si="114"/>
        <v>81410.900000000009</v>
      </c>
      <c r="BK290" s="307">
        <v>1</v>
      </c>
      <c r="BL290" s="307">
        <v>51500</v>
      </c>
      <c r="BM290" s="445">
        <f t="shared" si="115"/>
        <v>42137.3</v>
      </c>
      <c r="BN290" s="442">
        <v>80</v>
      </c>
      <c r="BO290" s="443">
        <v>83180</v>
      </c>
      <c r="BP290" s="444">
        <f t="shared" si="116"/>
        <v>5444630.0800000001</v>
      </c>
      <c r="BQ290" s="307">
        <v>83</v>
      </c>
      <c r="BR290" s="307">
        <v>82069</v>
      </c>
      <c r="BS290" s="445">
        <f t="shared" si="117"/>
        <v>5573355.0314000007</v>
      </c>
      <c r="BT290" s="442"/>
      <c r="BU290" s="443"/>
      <c r="BV290" s="444">
        <f t="shared" si="118"/>
        <v>0</v>
      </c>
      <c r="BW290" s="307"/>
      <c r="BX290" s="307"/>
      <c r="BY290" s="449">
        <f t="shared" si="119"/>
        <v>0</v>
      </c>
    </row>
    <row r="291" spans="1:77" s="308" customFormat="1" ht="12.75" customHeight="1">
      <c r="A291" s="345" t="s">
        <v>342</v>
      </c>
      <c r="B291" s="346" t="s">
        <v>163</v>
      </c>
      <c r="C291" s="346"/>
      <c r="D291" s="347">
        <v>199120</v>
      </c>
      <c r="E291" s="479">
        <v>1</v>
      </c>
      <c r="F291" s="453">
        <v>486</v>
      </c>
      <c r="G291" s="454">
        <v>141110</v>
      </c>
      <c r="H291" s="439">
        <f t="shared" si="96"/>
        <v>68579460</v>
      </c>
      <c r="I291" s="311">
        <v>504</v>
      </c>
      <c r="J291" s="311">
        <v>140969</v>
      </c>
      <c r="K291" s="441">
        <f t="shared" si="97"/>
        <v>71048376</v>
      </c>
      <c r="L291" s="442">
        <v>263</v>
      </c>
      <c r="M291" s="443">
        <v>90860</v>
      </c>
      <c r="N291" s="444">
        <f t="shared" si="98"/>
        <v>23896180</v>
      </c>
      <c r="O291" s="307">
        <v>261</v>
      </c>
      <c r="P291" s="307">
        <v>91259</v>
      </c>
      <c r="Q291" s="445">
        <f t="shared" si="99"/>
        <v>23818599</v>
      </c>
      <c r="R291" s="442">
        <v>241</v>
      </c>
      <c r="S291" s="443">
        <v>84011</v>
      </c>
      <c r="T291" s="444">
        <f t="shared" si="100"/>
        <v>20246651</v>
      </c>
      <c r="U291" s="307">
        <v>249</v>
      </c>
      <c r="V291" s="307">
        <v>84273</v>
      </c>
      <c r="W291" s="441">
        <f t="shared" si="101"/>
        <v>20983977</v>
      </c>
      <c r="X291" s="442">
        <v>10</v>
      </c>
      <c r="Y291" s="443">
        <v>101400</v>
      </c>
      <c r="Z291" s="444">
        <f t="shared" si="102"/>
        <v>1014000</v>
      </c>
      <c r="AA291" s="307">
        <v>8</v>
      </c>
      <c r="AB291" s="307">
        <v>95625</v>
      </c>
      <c r="AC291" s="445">
        <f t="shared" si="103"/>
        <v>765000</v>
      </c>
      <c r="AD291" s="442">
        <v>196</v>
      </c>
      <c r="AE291" s="443">
        <v>64424</v>
      </c>
      <c r="AF291" s="444">
        <f t="shared" si="104"/>
        <v>12627104</v>
      </c>
      <c r="AG291" s="307">
        <v>210</v>
      </c>
      <c r="AH291" s="307">
        <v>62319</v>
      </c>
      <c r="AI291" s="445">
        <f t="shared" si="105"/>
        <v>13086990</v>
      </c>
      <c r="AJ291" s="446"/>
      <c r="AK291" s="443"/>
      <c r="AL291" s="444">
        <f t="shared" si="106"/>
        <v>0</v>
      </c>
      <c r="AM291" s="307"/>
      <c r="AN291" s="307"/>
      <c r="AO291" s="447">
        <f t="shared" si="107"/>
        <v>0</v>
      </c>
      <c r="AP291" s="448">
        <v>126</v>
      </c>
      <c r="AQ291" s="443">
        <v>183967</v>
      </c>
      <c r="AR291" s="444">
        <f t="shared" si="108"/>
        <v>18965746.724400003</v>
      </c>
      <c r="AS291" s="307">
        <v>129</v>
      </c>
      <c r="AT291" s="307">
        <v>186539</v>
      </c>
      <c r="AU291" s="441">
        <f t="shared" si="109"/>
        <v>19688781.064200003</v>
      </c>
      <c r="AV291" s="442">
        <v>102</v>
      </c>
      <c r="AW291" s="443">
        <v>118687</v>
      </c>
      <c r="AX291" s="444">
        <f t="shared" si="110"/>
        <v>9905189.7467999998</v>
      </c>
      <c r="AY291" s="307">
        <v>91</v>
      </c>
      <c r="AZ291" s="307">
        <v>120336</v>
      </c>
      <c r="BA291" s="445">
        <f t="shared" si="111"/>
        <v>8959761.2832000013</v>
      </c>
      <c r="BB291" s="442">
        <v>88</v>
      </c>
      <c r="BC291" s="443">
        <v>88039</v>
      </c>
      <c r="BD291" s="444">
        <f t="shared" si="112"/>
        <v>6338948.8624</v>
      </c>
      <c r="BE291" s="307">
        <v>86</v>
      </c>
      <c r="BF291" s="307">
        <v>88085</v>
      </c>
      <c r="BG291" s="445">
        <f t="shared" si="113"/>
        <v>6198118.642</v>
      </c>
      <c r="BH291" s="442">
        <v>4</v>
      </c>
      <c r="BI291" s="443">
        <v>70472</v>
      </c>
      <c r="BJ291" s="444">
        <f t="shared" si="114"/>
        <v>230640.7616</v>
      </c>
      <c r="BK291" s="307">
        <v>3</v>
      </c>
      <c r="BL291" s="307">
        <v>68124</v>
      </c>
      <c r="BM291" s="445">
        <f t="shared" si="115"/>
        <v>167217.1704</v>
      </c>
      <c r="BN291" s="442">
        <v>112</v>
      </c>
      <c r="BO291" s="443">
        <v>108342</v>
      </c>
      <c r="BP291" s="444">
        <f t="shared" si="116"/>
        <v>9928287.5328000002</v>
      </c>
      <c r="BQ291" s="307">
        <v>130</v>
      </c>
      <c r="BR291" s="307">
        <v>106557</v>
      </c>
      <c r="BS291" s="445">
        <f t="shared" si="117"/>
        <v>11334041.862</v>
      </c>
      <c r="BT291" s="442"/>
      <c r="BU291" s="443"/>
      <c r="BV291" s="444">
        <f t="shared" si="118"/>
        <v>0</v>
      </c>
      <c r="BW291" s="307"/>
      <c r="BX291" s="307"/>
      <c r="BY291" s="449">
        <f t="shared" si="119"/>
        <v>0</v>
      </c>
    </row>
    <row r="292" spans="1:77" s="308" customFormat="1" ht="12.75" customHeight="1">
      <c r="A292" s="345" t="s">
        <v>342</v>
      </c>
      <c r="B292" s="346" t="s">
        <v>168</v>
      </c>
      <c r="C292" s="346"/>
      <c r="D292" s="347">
        <v>199139</v>
      </c>
      <c r="E292" s="479">
        <v>2</v>
      </c>
      <c r="F292" s="453">
        <v>171</v>
      </c>
      <c r="G292" s="454">
        <v>110806</v>
      </c>
      <c r="H292" s="439">
        <f t="shared" si="96"/>
        <v>18947826</v>
      </c>
      <c r="I292" s="311">
        <v>178</v>
      </c>
      <c r="J292" s="311">
        <v>112695</v>
      </c>
      <c r="K292" s="441">
        <f t="shared" si="97"/>
        <v>20059710</v>
      </c>
      <c r="L292" s="442">
        <v>265</v>
      </c>
      <c r="M292" s="443">
        <v>81926</v>
      </c>
      <c r="N292" s="444">
        <f t="shared" si="98"/>
        <v>21710390</v>
      </c>
      <c r="O292" s="307">
        <v>281</v>
      </c>
      <c r="P292" s="307">
        <v>80833</v>
      </c>
      <c r="Q292" s="445">
        <f t="shared" si="99"/>
        <v>22714073</v>
      </c>
      <c r="R292" s="442">
        <v>254</v>
      </c>
      <c r="S292" s="443">
        <v>69265</v>
      </c>
      <c r="T292" s="444">
        <f t="shared" si="100"/>
        <v>17593310</v>
      </c>
      <c r="U292" s="307">
        <v>232</v>
      </c>
      <c r="V292" s="307">
        <v>69048</v>
      </c>
      <c r="W292" s="441">
        <f t="shared" si="101"/>
        <v>16019136</v>
      </c>
      <c r="X292" s="442">
        <v>0</v>
      </c>
      <c r="Y292" s="443">
        <v>0</v>
      </c>
      <c r="Z292" s="444">
        <f t="shared" si="102"/>
        <v>0</v>
      </c>
      <c r="AA292" s="307">
        <v>0</v>
      </c>
      <c r="AB292" s="307">
        <v>0</v>
      </c>
      <c r="AC292" s="445">
        <f t="shared" si="103"/>
        <v>0</v>
      </c>
      <c r="AD292" s="442">
        <v>180</v>
      </c>
      <c r="AE292" s="443">
        <v>48899</v>
      </c>
      <c r="AF292" s="444">
        <f t="shared" si="104"/>
        <v>8801820</v>
      </c>
      <c r="AG292" s="307">
        <v>187</v>
      </c>
      <c r="AH292" s="307">
        <v>49549</v>
      </c>
      <c r="AI292" s="445">
        <f t="shared" si="105"/>
        <v>9265663</v>
      </c>
      <c r="AJ292" s="446"/>
      <c r="AK292" s="443"/>
      <c r="AL292" s="444">
        <f t="shared" si="106"/>
        <v>0</v>
      </c>
      <c r="AM292" s="307"/>
      <c r="AN292" s="307"/>
      <c r="AO292" s="447">
        <f t="shared" si="107"/>
        <v>0</v>
      </c>
      <c r="AP292" s="448">
        <v>30</v>
      </c>
      <c r="AQ292" s="443">
        <v>133770</v>
      </c>
      <c r="AR292" s="444">
        <f t="shared" si="108"/>
        <v>3283518.42</v>
      </c>
      <c r="AS292" s="307">
        <v>26</v>
      </c>
      <c r="AT292" s="307">
        <v>137596</v>
      </c>
      <c r="AU292" s="441">
        <f t="shared" si="109"/>
        <v>2927107.2272000001</v>
      </c>
      <c r="AV292" s="442">
        <v>13</v>
      </c>
      <c r="AW292" s="443">
        <v>113204</v>
      </c>
      <c r="AX292" s="444">
        <f t="shared" si="110"/>
        <v>1204105.6664</v>
      </c>
      <c r="AY292" s="307">
        <v>14</v>
      </c>
      <c r="AZ292" s="307">
        <v>110332</v>
      </c>
      <c r="BA292" s="445">
        <f t="shared" si="111"/>
        <v>1263830.9936000002</v>
      </c>
      <c r="BB292" s="442">
        <v>1</v>
      </c>
      <c r="BC292" s="443">
        <v>60000</v>
      </c>
      <c r="BD292" s="444">
        <f t="shared" si="112"/>
        <v>49092</v>
      </c>
      <c r="BE292" s="307">
        <v>0</v>
      </c>
      <c r="BF292" s="307">
        <v>0</v>
      </c>
      <c r="BG292" s="445">
        <f t="shared" si="113"/>
        <v>0</v>
      </c>
      <c r="BH292" s="442">
        <v>0</v>
      </c>
      <c r="BI292" s="443">
        <v>0</v>
      </c>
      <c r="BJ292" s="444">
        <f t="shared" si="114"/>
        <v>0</v>
      </c>
      <c r="BK292" s="307">
        <v>0</v>
      </c>
      <c r="BL292" s="307">
        <v>0</v>
      </c>
      <c r="BM292" s="445">
        <f t="shared" si="115"/>
        <v>0</v>
      </c>
      <c r="BN292" s="442">
        <v>39</v>
      </c>
      <c r="BO292" s="443">
        <v>67198</v>
      </c>
      <c r="BP292" s="444">
        <f t="shared" si="116"/>
        <v>2144274.7404</v>
      </c>
      <c r="BQ292" s="307">
        <v>31</v>
      </c>
      <c r="BR292" s="307">
        <v>68211</v>
      </c>
      <c r="BS292" s="445">
        <f t="shared" si="117"/>
        <v>1730117.4462000001</v>
      </c>
      <c r="BT292" s="442"/>
      <c r="BU292" s="443"/>
      <c r="BV292" s="444">
        <f t="shared" si="118"/>
        <v>0</v>
      </c>
      <c r="BW292" s="307"/>
      <c r="BX292" s="307"/>
      <c r="BY292" s="449">
        <f t="shared" si="119"/>
        <v>0</v>
      </c>
    </row>
    <row r="293" spans="1:77" s="308" customFormat="1" ht="12.75" customHeight="1">
      <c r="A293" s="345" t="s">
        <v>342</v>
      </c>
      <c r="B293" s="395" t="s">
        <v>164</v>
      </c>
      <c r="C293" s="535" t="s">
        <v>1119</v>
      </c>
      <c r="D293" s="347">
        <v>199148</v>
      </c>
      <c r="E293" s="479">
        <v>2</v>
      </c>
      <c r="F293" s="453">
        <v>176</v>
      </c>
      <c r="G293" s="454">
        <v>108417</v>
      </c>
      <c r="H293" s="439">
        <f t="shared" si="96"/>
        <v>19081392</v>
      </c>
      <c r="I293" s="311">
        <v>182</v>
      </c>
      <c r="J293" s="311">
        <v>109545</v>
      </c>
      <c r="K293" s="441">
        <f t="shared" si="97"/>
        <v>19937190</v>
      </c>
      <c r="L293" s="442">
        <v>225</v>
      </c>
      <c r="M293" s="443">
        <v>77626</v>
      </c>
      <c r="N293" s="444">
        <f t="shared" si="98"/>
        <v>17465850</v>
      </c>
      <c r="O293" s="307">
        <v>233</v>
      </c>
      <c r="P293" s="307">
        <v>77321</v>
      </c>
      <c r="Q293" s="445">
        <f t="shared" si="99"/>
        <v>18015793</v>
      </c>
      <c r="R293" s="442">
        <v>144</v>
      </c>
      <c r="S293" s="443">
        <v>64340</v>
      </c>
      <c r="T293" s="444">
        <f t="shared" si="100"/>
        <v>9264960</v>
      </c>
      <c r="U293" s="307">
        <v>148</v>
      </c>
      <c r="V293" s="307">
        <v>64111</v>
      </c>
      <c r="W293" s="441">
        <f t="shared" si="101"/>
        <v>9488428</v>
      </c>
      <c r="X293" s="442">
        <v>42</v>
      </c>
      <c r="Y293" s="443">
        <v>58009</v>
      </c>
      <c r="Z293" s="444">
        <f t="shared" si="102"/>
        <v>2436378</v>
      </c>
      <c r="AA293" s="307">
        <v>45</v>
      </c>
      <c r="AB293" s="307">
        <v>58957</v>
      </c>
      <c r="AC293" s="445">
        <f t="shared" si="103"/>
        <v>2653065</v>
      </c>
      <c r="AD293" s="442">
        <v>138</v>
      </c>
      <c r="AE293" s="443">
        <v>46047</v>
      </c>
      <c r="AF293" s="444">
        <f t="shared" si="104"/>
        <v>6354486</v>
      </c>
      <c r="AG293" s="307">
        <v>174</v>
      </c>
      <c r="AH293" s="307">
        <v>44486</v>
      </c>
      <c r="AI293" s="445">
        <f t="shared" si="105"/>
        <v>7740564</v>
      </c>
      <c r="AJ293" s="446"/>
      <c r="AK293" s="443"/>
      <c r="AL293" s="444">
        <f t="shared" si="106"/>
        <v>0</v>
      </c>
      <c r="AM293" s="307"/>
      <c r="AN293" s="307"/>
      <c r="AO293" s="447">
        <f t="shared" si="107"/>
        <v>0</v>
      </c>
      <c r="AP293" s="448">
        <v>11</v>
      </c>
      <c r="AQ293" s="443">
        <v>134628</v>
      </c>
      <c r="AR293" s="444">
        <f t="shared" si="108"/>
        <v>1211678.9256</v>
      </c>
      <c r="AS293" s="307">
        <v>12</v>
      </c>
      <c r="AT293" s="307">
        <v>132189</v>
      </c>
      <c r="AU293" s="441">
        <f t="shared" si="109"/>
        <v>1297884.4776000001</v>
      </c>
      <c r="AV293" s="442">
        <v>9</v>
      </c>
      <c r="AW293" s="443">
        <v>94803</v>
      </c>
      <c r="AX293" s="444">
        <f t="shared" si="110"/>
        <v>698110.33140000002</v>
      </c>
      <c r="AY293" s="307">
        <v>10</v>
      </c>
      <c r="AZ293" s="307">
        <v>88962</v>
      </c>
      <c r="BA293" s="445">
        <f t="shared" si="111"/>
        <v>727887.08400000003</v>
      </c>
      <c r="BB293" s="442">
        <v>5</v>
      </c>
      <c r="BC293" s="443">
        <v>60620</v>
      </c>
      <c r="BD293" s="444">
        <f t="shared" si="112"/>
        <v>247996.42</v>
      </c>
      <c r="BE293" s="307">
        <v>2</v>
      </c>
      <c r="BF293" s="307">
        <v>96301</v>
      </c>
      <c r="BG293" s="445">
        <f t="shared" si="113"/>
        <v>157586.9564</v>
      </c>
      <c r="BH293" s="442">
        <v>17</v>
      </c>
      <c r="BI293" s="443">
        <v>60701</v>
      </c>
      <c r="BJ293" s="444">
        <f t="shared" si="114"/>
        <v>844314.48940000008</v>
      </c>
      <c r="BK293" s="307">
        <v>15</v>
      </c>
      <c r="BL293" s="307">
        <v>60443</v>
      </c>
      <c r="BM293" s="445">
        <f t="shared" si="115"/>
        <v>741816.93900000001</v>
      </c>
      <c r="BN293" s="442">
        <v>21</v>
      </c>
      <c r="BO293" s="443">
        <v>40947</v>
      </c>
      <c r="BP293" s="444">
        <f t="shared" si="116"/>
        <v>703559.54340000008</v>
      </c>
      <c r="BQ293" s="307">
        <v>18</v>
      </c>
      <c r="BR293" s="307">
        <v>49898</v>
      </c>
      <c r="BS293" s="445">
        <f t="shared" si="117"/>
        <v>734877.78480000002</v>
      </c>
      <c r="BT293" s="442"/>
      <c r="BU293" s="443"/>
      <c r="BV293" s="444">
        <f t="shared" si="118"/>
        <v>0</v>
      </c>
      <c r="BW293" s="307"/>
      <c r="BX293" s="307"/>
      <c r="BY293" s="449">
        <f t="shared" si="119"/>
        <v>0</v>
      </c>
    </row>
    <row r="294" spans="1:77" s="308" customFormat="1" ht="12.75" customHeight="1">
      <c r="A294" s="345" t="s">
        <v>342</v>
      </c>
      <c r="B294" s="346" t="s">
        <v>165</v>
      </c>
      <c r="C294" s="346"/>
      <c r="D294" s="347">
        <v>197869</v>
      </c>
      <c r="E294" s="479">
        <v>3</v>
      </c>
      <c r="F294" s="453">
        <v>257</v>
      </c>
      <c r="G294" s="454">
        <v>90386</v>
      </c>
      <c r="H294" s="439">
        <f t="shared" si="96"/>
        <v>23229202</v>
      </c>
      <c r="I294" s="311">
        <v>268</v>
      </c>
      <c r="J294" s="311">
        <v>89540</v>
      </c>
      <c r="K294" s="441">
        <f t="shared" si="97"/>
        <v>23996720</v>
      </c>
      <c r="L294" s="442">
        <v>196</v>
      </c>
      <c r="M294" s="443">
        <v>73128</v>
      </c>
      <c r="N294" s="444">
        <f t="shared" si="98"/>
        <v>14333088</v>
      </c>
      <c r="O294" s="307">
        <v>189</v>
      </c>
      <c r="P294" s="307">
        <v>72145</v>
      </c>
      <c r="Q294" s="445">
        <f t="shared" si="99"/>
        <v>13635405</v>
      </c>
      <c r="R294" s="442">
        <v>210</v>
      </c>
      <c r="S294" s="443">
        <v>59621</v>
      </c>
      <c r="T294" s="444">
        <f t="shared" si="100"/>
        <v>12520410</v>
      </c>
      <c r="U294" s="307">
        <v>232</v>
      </c>
      <c r="V294" s="307">
        <v>59937</v>
      </c>
      <c r="W294" s="441">
        <f t="shared" si="101"/>
        <v>13905384</v>
      </c>
      <c r="X294" s="442">
        <v>18</v>
      </c>
      <c r="Y294" s="443">
        <v>62752</v>
      </c>
      <c r="Z294" s="444">
        <f t="shared" si="102"/>
        <v>1129536</v>
      </c>
      <c r="AA294" s="307">
        <v>7</v>
      </c>
      <c r="AB294" s="307">
        <v>54478</v>
      </c>
      <c r="AC294" s="445">
        <f t="shared" si="103"/>
        <v>381346</v>
      </c>
      <c r="AD294" s="442">
        <v>141</v>
      </c>
      <c r="AE294" s="443">
        <v>44135</v>
      </c>
      <c r="AF294" s="444">
        <f t="shared" si="104"/>
        <v>6223035</v>
      </c>
      <c r="AG294" s="307">
        <v>158</v>
      </c>
      <c r="AH294" s="307">
        <v>43137</v>
      </c>
      <c r="AI294" s="445">
        <f t="shared" si="105"/>
        <v>6815646</v>
      </c>
      <c r="AJ294" s="446"/>
      <c r="AK294" s="443"/>
      <c r="AL294" s="444">
        <f t="shared" si="106"/>
        <v>0</v>
      </c>
      <c r="AM294" s="307"/>
      <c r="AN294" s="307"/>
      <c r="AO294" s="447">
        <f t="shared" si="107"/>
        <v>0</v>
      </c>
      <c r="AP294" s="448">
        <v>1</v>
      </c>
      <c r="AQ294" s="443">
        <v>85781</v>
      </c>
      <c r="AR294" s="444">
        <f t="shared" si="108"/>
        <v>70186.014200000005</v>
      </c>
      <c r="AS294" s="307">
        <v>2</v>
      </c>
      <c r="AT294" s="307">
        <v>93891</v>
      </c>
      <c r="AU294" s="441">
        <f t="shared" si="109"/>
        <v>153643.23240000001</v>
      </c>
      <c r="AV294" s="442">
        <v>0</v>
      </c>
      <c r="AW294" s="443">
        <v>0</v>
      </c>
      <c r="AX294" s="444">
        <f t="shared" si="110"/>
        <v>0</v>
      </c>
      <c r="AY294" s="307">
        <v>2</v>
      </c>
      <c r="AZ294" s="307">
        <v>76720</v>
      </c>
      <c r="BA294" s="445">
        <f t="shared" si="111"/>
        <v>125544.60800000001</v>
      </c>
      <c r="BB294" s="442">
        <v>0</v>
      </c>
      <c r="BC294" s="443">
        <v>0</v>
      </c>
      <c r="BD294" s="444">
        <f t="shared" si="112"/>
        <v>0</v>
      </c>
      <c r="BE294" s="307">
        <v>1</v>
      </c>
      <c r="BF294" s="307">
        <v>63250</v>
      </c>
      <c r="BG294" s="445">
        <f t="shared" si="113"/>
        <v>51751.15</v>
      </c>
      <c r="BH294" s="442">
        <v>0</v>
      </c>
      <c r="BI294" s="443">
        <v>0</v>
      </c>
      <c r="BJ294" s="444">
        <f t="shared" si="114"/>
        <v>0</v>
      </c>
      <c r="BK294" s="307">
        <v>0</v>
      </c>
      <c r="BL294" s="307">
        <v>0</v>
      </c>
      <c r="BM294" s="445">
        <f t="shared" si="115"/>
        <v>0</v>
      </c>
      <c r="BN294" s="442">
        <v>1</v>
      </c>
      <c r="BO294" s="443">
        <v>36575</v>
      </c>
      <c r="BP294" s="444">
        <f t="shared" si="116"/>
        <v>29925.665000000001</v>
      </c>
      <c r="BQ294" s="307">
        <v>3</v>
      </c>
      <c r="BR294" s="307">
        <v>41500</v>
      </c>
      <c r="BS294" s="445">
        <f t="shared" si="117"/>
        <v>101865.90000000001</v>
      </c>
      <c r="BT294" s="442"/>
      <c r="BU294" s="443"/>
      <c r="BV294" s="444">
        <f t="shared" si="118"/>
        <v>0</v>
      </c>
      <c r="BW294" s="307"/>
      <c r="BX294" s="307"/>
      <c r="BY294" s="449">
        <f t="shared" si="119"/>
        <v>0</v>
      </c>
    </row>
    <row r="295" spans="1:77" s="308" customFormat="1" ht="12.75" customHeight="1">
      <c r="A295" s="345" t="s">
        <v>342</v>
      </c>
      <c r="B295" s="394" t="s">
        <v>166</v>
      </c>
      <c r="C295" s="536" t="s">
        <v>1063</v>
      </c>
      <c r="D295" s="347">
        <v>198464</v>
      </c>
      <c r="E295" s="479">
        <v>3</v>
      </c>
      <c r="F295" s="453">
        <v>177</v>
      </c>
      <c r="G295" s="454">
        <v>94128</v>
      </c>
      <c r="H295" s="439">
        <f t="shared" si="96"/>
        <v>16660656</v>
      </c>
      <c r="I295" s="311">
        <v>174</v>
      </c>
      <c r="J295" s="311">
        <v>92662</v>
      </c>
      <c r="K295" s="441">
        <f t="shared" si="97"/>
        <v>16123188</v>
      </c>
      <c r="L295" s="442">
        <v>338</v>
      </c>
      <c r="M295" s="443">
        <v>74933</v>
      </c>
      <c r="N295" s="444">
        <f t="shared" si="98"/>
        <v>25327354</v>
      </c>
      <c r="O295" s="307">
        <v>329</v>
      </c>
      <c r="P295" s="307">
        <v>74352</v>
      </c>
      <c r="Q295" s="445">
        <f t="shared" si="99"/>
        <v>24461808</v>
      </c>
      <c r="R295" s="442">
        <v>290</v>
      </c>
      <c r="S295" s="443">
        <v>66436</v>
      </c>
      <c r="T295" s="444">
        <f t="shared" si="100"/>
        <v>19266440</v>
      </c>
      <c r="U295" s="307">
        <v>285</v>
      </c>
      <c r="V295" s="307">
        <v>66652</v>
      </c>
      <c r="W295" s="441">
        <f t="shared" si="101"/>
        <v>18995820</v>
      </c>
      <c r="X295" s="442">
        <v>14</v>
      </c>
      <c r="Y295" s="443">
        <v>63598</v>
      </c>
      <c r="Z295" s="444">
        <f t="shared" si="102"/>
        <v>890372</v>
      </c>
      <c r="AA295" s="307">
        <v>5</v>
      </c>
      <c r="AB295" s="307">
        <v>61162</v>
      </c>
      <c r="AC295" s="445">
        <f t="shared" si="103"/>
        <v>305810</v>
      </c>
      <c r="AD295" s="442">
        <v>261</v>
      </c>
      <c r="AE295" s="443">
        <v>48883</v>
      </c>
      <c r="AF295" s="444">
        <f t="shared" si="104"/>
        <v>12758463</v>
      </c>
      <c r="AG295" s="307">
        <v>270</v>
      </c>
      <c r="AH295" s="307">
        <v>48541</v>
      </c>
      <c r="AI295" s="445">
        <f t="shared" si="105"/>
        <v>13106070</v>
      </c>
      <c r="AJ295" s="446"/>
      <c r="AK295" s="443"/>
      <c r="AL295" s="444">
        <f t="shared" si="106"/>
        <v>0</v>
      </c>
      <c r="AM295" s="307"/>
      <c r="AN295" s="307"/>
      <c r="AO295" s="447">
        <f t="shared" si="107"/>
        <v>0</v>
      </c>
      <c r="AP295" s="448">
        <v>40</v>
      </c>
      <c r="AQ295" s="443">
        <v>127601</v>
      </c>
      <c r="AR295" s="444">
        <f t="shared" si="108"/>
        <v>4176125.5280000004</v>
      </c>
      <c r="AS295" s="307">
        <v>55</v>
      </c>
      <c r="AT295" s="307">
        <v>129076</v>
      </c>
      <c r="AU295" s="441">
        <f t="shared" si="109"/>
        <v>5808549.0760000004</v>
      </c>
      <c r="AV295" s="442">
        <v>45</v>
      </c>
      <c r="AW295" s="443">
        <v>94145</v>
      </c>
      <c r="AX295" s="444">
        <f t="shared" si="110"/>
        <v>3466324.7550000004</v>
      </c>
      <c r="AY295" s="307">
        <v>55</v>
      </c>
      <c r="AZ295" s="307">
        <v>97093</v>
      </c>
      <c r="BA295" s="445">
        <f t="shared" si="111"/>
        <v>4369282.0930000003</v>
      </c>
      <c r="BB295" s="442">
        <v>22</v>
      </c>
      <c r="BC295" s="443">
        <v>78442</v>
      </c>
      <c r="BD295" s="444">
        <f t="shared" si="112"/>
        <v>1411987.3768</v>
      </c>
      <c r="BE295" s="307">
        <v>23</v>
      </c>
      <c r="BF295" s="307">
        <v>77622</v>
      </c>
      <c r="BG295" s="445">
        <f t="shared" si="113"/>
        <v>1460737.3692000001</v>
      </c>
      <c r="BH295" s="442">
        <v>2</v>
      </c>
      <c r="BI295" s="443">
        <v>57217</v>
      </c>
      <c r="BJ295" s="444">
        <f t="shared" si="114"/>
        <v>93629.89880000001</v>
      </c>
      <c r="BK295" s="307">
        <v>1</v>
      </c>
      <c r="BL295" s="307">
        <v>53170</v>
      </c>
      <c r="BM295" s="445">
        <f t="shared" si="115"/>
        <v>43503.694000000003</v>
      </c>
      <c r="BN295" s="442">
        <v>45</v>
      </c>
      <c r="BO295" s="443">
        <v>75439</v>
      </c>
      <c r="BP295" s="444">
        <f t="shared" si="116"/>
        <v>2777588.5410000002</v>
      </c>
      <c r="BQ295" s="307">
        <v>49</v>
      </c>
      <c r="BR295" s="307">
        <v>72916</v>
      </c>
      <c r="BS295" s="445">
        <f t="shared" si="117"/>
        <v>2923333.6888000001</v>
      </c>
      <c r="BT295" s="442"/>
      <c r="BU295" s="443"/>
      <c r="BV295" s="444">
        <f t="shared" si="118"/>
        <v>0</v>
      </c>
      <c r="BW295" s="307"/>
      <c r="BX295" s="307"/>
      <c r="BY295" s="449">
        <f t="shared" si="119"/>
        <v>0</v>
      </c>
    </row>
    <row r="296" spans="1:77" s="308" customFormat="1" ht="12.75" customHeight="1">
      <c r="A296" s="345" t="s">
        <v>342</v>
      </c>
      <c r="B296" s="346" t="s">
        <v>3</v>
      </c>
      <c r="C296" s="346"/>
      <c r="D296" s="347">
        <v>199102</v>
      </c>
      <c r="E296" s="479">
        <v>3</v>
      </c>
      <c r="F296" s="453">
        <v>86</v>
      </c>
      <c r="G296" s="454">
        <v>93322</v>
      </c>
      <c r="H296" s="439">
        <f t="shared" si="96"/>
        <v>8025692</v>
      </c>
      <c r="I296" s="311">
        <v>86</v>
      </c>
      <c r="J296" s="311">
        <v>91697</v>
      </c>
      <c r="K296" s="441">
        <f t="shared" si="97"/>
        <v>7885942</v>
      </c>
      <c r="L296" s="442">
        <v>154</v>
      </c>
      <c r="M296" s="443">
        <v>74805</v>
      </c>
      <c r="N296" s="444">
        <f t="shared" si="98"/>
        <v>11519970</v>
      </c>
      <c r="O296" s="307">
        <v>163</v>
      </c>
      <c r="P296" s="307">
        <v>75565</v>
      </c>
      <c r="Q296" s="445">
        <f t="shared" si="99"/>
        <v>12317095</v>
      </c>
      <c r="R296" s="442">
        <v>117</v>
      </c>
      <c r="S296" s="443">
        <v>64496</v>
      </c>
      <c r="T296" s="444">
        <f t="shared" si="100"/>
        <v>7546032</v>
      </c>
      <c r="U296" s="307">
        <v>99</v>
      </c>
      <c r="V296" s="307">
        <v>66155</v>
      </c>
      <c r="W296" s="441">
        <f t="shared" si="101"/>
        <v>6549345</v>
      </c>
      <c r="X296" s="442">
        <v>4</v>
      </c>
      <c r="Y296" s="443">
        <v>52522</v>
      </c>
      <c r="Z296" s="444">
        <f t="shared" si="102"/>
        <v>210088</v>
      </c>
      <c r="AA296" s="307">
        <v>5</v>
      </c>
      <c r="AB296" s="307">
        <v>52126</v>
      </c>
      <c r="AC296" s="445">
        <f t="shared" si="103"/>
        <v>260630</v>
      </c>
      <c r="AD296" s="442">
        <v>85</v>
      </c>
      <c r="AE296" s="443">
        <v>54877</v>
      </c>
      <c r="AF296" s="444">
        <f t="shared" si="104"/>
        <v>4664545</v>
      </c>
      <c r="AG296" s="307">
        <v>98</v>
      </c>
      <c r="AH296" s="307">
        <v>55168</v>
      </c>
      <c r="AI296" s="445">
        <f t="shared" si="105"/>
        <v>5406464</v>
      </c>
      <c r="AJ296" s="446"/>
      <c r="AK296" s="443"/>
      <c r="AL296" s="444">
        <f t="shared" si="106"/>
        <v>0</v>
      </c>
      <c r="AM296" s="307"/>
      <c r="AN296" s="307"/>
      <c r="AO296" s="447">
        <f t="shared" si="107"/>
        <v>0</v>
      </c>
      <c r="AP296" s="448">
        <v>25</v>
      </c>
      <c r="AQ296" s="443">
        <v>106457</v>
      </c>
      <c r="AR296" s="444">
        <f t="shared" si="108"/>
        <v>2177577.9350000001</v>
      </c>
      <c r="AS296" s="307">
        <v>25</v>
      </c>
      <c r="AT296" s="307">
        <v>113152</v>
      </c>
      <c r="AU296" s="441">
        <f t="shared" si="109"/>
        <v>2314524.16</v>
      </c>
      <c r="AV296" s="442">
        <v>21</v>
      </c>
      <c r="AW296" s="443">
        <v>106694</v>
      </c>
      <c r="AX296" s="444">
        <f t="shared" si="110"/>
        <v>1833237.6468</v>
      </c>
      <c r="AY296" s="307">
        <v>19</v>
      </c>
      <c r="AZ296" s="307">
        <v>110749</v>
      </c>
      <c r="BA296" s="445">
        <f t="shared" si="111"/>
        <v>1721681.8042000001</v>
      </c>
      <c r="BB296" s="442">
        <v>2</v>
      </c>
      <c r="BC296" s="443">
        <v>107452</v>
      </c>
      <c r="BD296" s="444">
        <f t="shared" si="112"/>
        <v>175834.4528</v>
      </c>
      <c r="BE296" s="307">
        <v>3</v>
      </c>
      <c r="BF296" s="307">
        <v>81801</v>
      </c>
      <c r="BG296" s="445">
        <f t="shared" si="113"/>
        <v>200788.7346</v>
      </c>
      <c r="BH296" s="442">
        <v>0</v>
      </c>
      <c r="BI296" s="443">
        <v>0</v>
      </c>
      <c r="BJ296" s="444">
        <f t="shared" si="114"/>
        <v>0</v>
      </c>
      <c r="BK296" s="307">
        <v>0</v>
      </c>
      <c r="BL296" s="307">
        <v>0</v>
      </c>
      <c r="BM296" s="445">
        <f t="shared" si="115"/>
        <v>0</v>
      </c>
      <c r="BN296" s="442">
        <v>28</v>
      </c>
      <c r="BO296" s="443">
        <v>71831</v>
      </c>
      <c r="BP296" s="444">
        <f t="shared" si="116"/>
        <v>1645619.4776000001</v>
      </c>
      <c r="BQ296" s="307">
        <v>21</v>
      </c>
      <c r="BR296" s="307">
        <v>67852</v>
      </c>
      <c r="BS296" s="445">
        <f t="shared" si="117"/>
        <v>1165846.6344000001</v>
      </c>
      <c r="BT296" s="442"/>
      <c r="BU296" s="443"/>
      <c r="BV296" s="444">
        <f t="shared" si="118"/>
        <v>0</v>
      </c>
      <c r="BW296" s="307"/>
      <c r="BX296" s="307"/>
      <c r="BY296" s="449">
        <f t="shared" si="119"/>
        <v>0</v>
      </c>
    </row>
    <row r="297" spans="1:77" s="308" customFormat="1" ht="12.75" customHeight="1">
      <c r="A297" s="345" t="s">
        <v>342</v>
      </c>
      <c r="B297" s="346" t="s">
        <v>167</v>
      </c>
      <c r="C297" s="346"/>
      <c r="D297" s="347">
        <v>199157</v>
      </c>
      <c r="E297" s="479">
        <v>3</v>
      </c>
      <c r="F297" s="453">
        <v>45</v>
      </c>
      <c r="G297" s="454">
        <v>102562</v>
      </c>
      <c r="H297" s="439">
        <f t="shared" si="96"/>
        <v>4615290</v>
      </c>
      <c r="I297" s="311">
        <v>50</v>
      </c>
      <c r="J297" s="311">
        <v>101784</v>
      </c>
      <c r="K297" s="441">
        <f t="shared" si="97"/>
        <v>5089200</v>
      </c>
      <c r="L297" s="442">
        <v>61</v>
      </c>
      <c r="M297" s="443">
        <v>75027</v>
      </c>
      <c r="N297" s="444">
        <f t="shared" si="98"/>
        <v>4576647</v>
      </c>
      <c r="O297" s="307">
        <v>66</v>
      </c>
      <c r="P297" s="307">
        <v>78395</v>
      </c>
      <c r="Q297" s="445">
        <f t="shared" si="99"/>
        <v>5174070</v>
      </c>
      <c r="R297" s="442">
        <v>107</v>
      </c>
      <c r="S297" s="443">
        <v>70861</v>
      </c>
      <c r="T297" s="444">
        <f t="shared" si="100"/>
        <v>7582127</v>
      </c>
      <c r="U297" s="307">
        <v>111</v>
      </c>
      <c r="V297" s="307">
        <v>69776</v>
      </c>
      <c r="W297" s="441">
        <f t="shared" si="101"/>
        <v>7745136</v>
      </c>
      <c r="X297" s="442">
        <v>0</v>
      </c>
      <c r="Y297" s="443">
        <v>0</v>
      </c>
      <c r="Z297" s="444">
        <f t="shared" si="102"/>
        <v>0</v>
      </c>
      <c r="AA297" s="307">
        <v>1</v>
      </c>
      <c r="AB297" s="307">
        <v>53000</v>
      </c>
      <c r="AC297" s="445">
        <f t="shared" si="103"/>
        <v>53000</v>
      </c>
      <c r="AD297" s="442">
        <v>62</v>
      </c>
      <c r="AE297" s="443">
        <v>56056</v>
      </c>
      <c r="AF297" s="444">
        <f t="shared" si="104"/>
        <v>3475472</v>
      </c>
      <c r="AG297" s="307">
        <v>79</v>
      </c>
      <c r="AH297" s="307">
        <v>58393</v>
      </c>
      <c r="AI297" s="445">
        <f t="shared" si="105"/>
        <v>4613047</v>
      </c>
      <c r="AJ297" s="446"/>
      <c r="AK297" s="443"/>
      <c r="AL297" s="444">
        <f t="shared" si="106"/>
        <v>0</v>
      </c>
      <c r="AM297" s="307"/>
      <c r="AN297" s="307"/>
      <c r="AO297" s="447">
        <f t="shared" si="107"/>
        <v>0</v>
      </c>
      <c r="AP297" s="448">
        <v>20</v>
      </c>
      <c r="AQ297" s="443">
        <v>115879</v>
      </c>
      <c r="AR297" s="444">
        <f t="shared" si="108"/>
        <v>1896243.956</v>
      </c>
      <c r="AS297" s="307">
        <v>13</v>
      </c>
      <c r="AT297" s="307">
        <v>114314</v>
      </c>
      <c r="AU297" s="441">
        <f t="shared" si="109"/>
        <v>1215912.2924000002</v>
      </c>
      <c r="AV297" s="442">
        <v>26</v>
      </c>
      <c r="AW297" s="443">
        <v>100092</v>
      </c>
      <c r="AX297" s="444">
        <f t="shared" si="110"/>
        <v>2129277.1344000003</v>
      </c>
      <c r="AY297" s="307">
        <v>26</v>
      </c>
      <c r="AZ297" s="307">
        <v>91050</v>
      </c>
      <c r="BA297" s="445">
        <f t="shared" si="111"/>
        <v>1936924.86</v>
      </c>
      <c r="BB297" s="442">
        <v>23</v>
      </c>
      <c r="BC297" s="443">
        <v>72080</v>
      </c>
      <c r="BD297" s="444">
        <f t="shared" si="112"/>
        <v>1356444.6880000001</v>
      </c>
      <c r="BE297" s="307">
        <v>21</v>
      </c>
      <c r="BF297" s="307">
        <v>71046</v>
      </c>
      <c r="BG297" s="445">
        <f t="shared" si="113"/>
        <v>1220726.5812000001</v>
      </c>
      <c r="BH297" s="442">
        <v>0</v>
      </c>
      <c r="BI297" s="443">
        <v>0</v>
      </c>
      <c r="BJ297" s="444">
        <f t="shared" si="114"/>
        <v>0</v>
      </c>
      <c r="BK297" s="307">
        <v>2</v>
      </c>
      <c r="BL297" s="307">
        <v>43754</v>
      </c>
      <c r="BM297" s="445">
        <f t="shared" si="115"/>
        <v>71599.045599999998</v>
      </c>
      <c r="BN297" s="442">
        <v>25</v>
      </c>
      <c r="BO297" s="443">
        <v>69099</v>
      </c>
      <c r="BP297" s="444">
        <f t="shared" si="116"/>
        <v>1413420.0450000002</v>
      </c>
      <c r="BQ297" s="307">
        <v>43</v>
      </c>
      <c r="BR297" s="307">
        <v>66976</v>
      </c>
      <c r="BS297" s="445">
        <f t="shared" si="117"/>
        <v>2356389.8176000002</v>
      </c>
      <c r="BT297" s="442"/>
      <c r="BU297" s="443"/>
      <c r="BV297" s="444">
        <f t="shared" si="118"/>
        <v>0</v>
      </c>
      <c r="BW297" s="307"/>
      <c r="BX297" s="307"/>
      <c r="BY297" s="449">
        <f t="shared" si="119"/>
        <v>0</v>
      </c>
    </row>
    <row r="298" spans="1:77" s="308" customFormat="1" ht="12.75" customHeight="1">
      <c r="A298" s="345" t="s">
        <v>342</v>
      </c>
      <c r="B298" s="346" t="s">
        <v>169</v>
      </c>
      <c r="C298" s="346"/>
      <c r="D298" s="347">
        <v>199218</v>
      </c>
      <c r="E298" s="479">
        <v>3</v>
      </c>
      <c r="F298" s="453">
        <v>137</v>
      </c>
      <c r="G298" s="454">
        <v>94245</v>
      </c>
      <c r="H298" s="439">
        <f t="shared" si="96"/>
        <v>12911565</v>
      </c>
      <c r="I298" s="311">
        <v>141</v>
      </c>
      <c r="J298" s="311">
        <v>94334</v>
      </c>
      <c r="K298" s="441">
        <f t="shared" si="97"/>
        <v>13301094</v>
      </c>
      <c r="L298" s="442">
        <v>159</v>
      </c>
      <c r="M298" s="443">
        <v>73270</v>
      </c>
      <c r="N298" s="444">
        <f t="shared" si="98"/>
        <v>11649930</v>
      </c>
      <c r="O298" s="307">
        <v>174</v>
      </c>
      <c r="P298" s="307">
        <v>73173</v>
      </c>
      <c r="Q298" s="445">
        <f t="shared" si="99"/>
        <v>12732102</v>
      </c>
      <c r="R298" s="442">
        <v>169</v>
      </c>
      <c r="S298" s="443">
        <v>61875</v>
      </c>
      <c r="T298" s="444">
        <f t="shared" si="100"/>
        <v>10456875</v>
      </c>
      <c r="U298" s="307">
        <v>152</v>
      </c>
      <c r="V298" s="307">
        <v>61171</v>
      </c>
      <c r="W298" s="441">
        <f t="shared" si="101"/>
        <v>9297992</v>
      </c>
      <c r="X298" s="442">
        <v>0</v>
      </c>
      <c r="Y298" s="443">
        <v>0</v>
      </c>
      <c r="Z298" s="444">
        <f t="shared" si="102"/>
        <v>0</v>
      </c>
      <c r="AA298" s="307">
        <v>0</v>
      </c>
      <c r="AB298" s="307">
        <v>0</v>
      </c>
      <c r="AC298" s="445">
        <f t="shared" si="103"/>
        <v>0</v>
      </c>
      <c r="AD298" s="442">
        <v>76</v>
      </c>
      <c r="AE298" s="443">
        <v>47483</v>
      </c>
      <c r="AF298" s="444">
        <f t="shared" si="104"/>
        <v>3608708</v>
      </c>
      <c r="AG298" s="307">
        <v>81</v>
      </c>
      <c r="AH298" s="307">
        <v>47037</v>
      </c>
      <c r="AI298" s="445">
        <f t="shared" si="105"/>
        <v>3809997</v>
      </c>
      <c r="AJ298" s="446"/>
      <c r="AK298" s="443"/>
      <c r="AL298" s="444">
        <f t="shared" si="106"/>
        <v>0</v>
      </c>
      <c r="AM298" s="307"/>
      <c r="AN298" s="307"/>
      <c r="AO298" s="447">
        <f t="shared" si="107"/>
        <v>0</v>
      </c>
      <c r="AP298" s="448">
        <v>32</v>
      </c>
      <c r="AQ298" s="443">
        <v>119038</v>
      </c>
      <c r="AR298" s="444">
        <f t="shared" si="108"/>
        <v>3116700.5312000001</v>
      </c>
      <c r="AS298" s="307">
        <v>32</v>
      </c>
      <c r="AT298" s="307">
        <v>117934</v>
      </c>
      <c r="AU298" s="441">
        <f t="shared" si="109"/>
        <v>3087795.1616000002</v>
      </c>
      <c r="AV298" s="442">
        <v>12</v>
      </c>
      <c r="AW298" s="443">
        <v>97362</v>
      </c>
      <c r="AX298" s="444">
        <f t="shared" si="110"/>
        <v>955939.06080000009</v>
      </c>
      <c r="AY298" s="307">
        <v>16</v>
      </c>
      <c r="AZ298" s="307">
        <v>88375</v>
      </c>
      <c r="BA298" s="445">
        <f t="shared" si="111"/>
        <v>1156934.8</v>
      </c>
      <c r="BB298" s="442">
        <v>1</v>
      </c>
      <c r="BC298" s="443">
        <v>36000</v>
      </c>
      <c r="BD298" s="444">
        <f t="shared" si="112"/>
        <v>29455.200000000001</v>
      </c>
      <c r="BE298" s="307">
        <v>2</v>
      </c>
      <c r="BF298" s="307">
        <v>44667</v>
      </c>
      <c r="BG298" s="445">
        <f t="shared" si="113"/>
        <v>73093.078800000003</v>
      </c>
      <c r="BH298" s="442">
        <v>0</v>
      </c>
      <c r="BI298" s="443">
        <v>0</v>
      </c>
      <c r="BJ298" s="444">
        <f t="shared" si="114"/>
        <v>0</v>
      </c>
      <c r="BK298" s="307">
        <v>0</v>
      </c>
      <c r="BL298" s="307">
        <v>0</v>
      </c>
      <c r="BM298" s="445">
        <f t="shared" si="115"/>
        <v>0</v>
      </c>
      <c r="BN298" s="442">
        <v>31</v>
      </c>
      <c r="BO298" s="443">
        <v>60665</v>
      </c>
      <c r="BP298" s="444">
        <f t="shared" si="116"/>
        <v>1538719.193</v>
      </c>
      <c r="BQ298" s="307">
        <v>19</v>
      </c>
      <c r="BR298" s="307">
        <v>54999</v>
      </c>
      <c r="BS298" s="445">
        <f t="shared" si="117"/>
        <v>855003.45420000004</v>
      </c>
      <c r="BT298" s="442"/>
      <c r="BU298" s="443"/>
      <c r="BV298" s="444">
        <f t="shared" si="118"/>
        <v>0</v>
      </c>
      <c r="BW298" s="307"/>
      <c r="BX298" s="307"/>
      <c r="BY298" s="449">
        <f t="shared" si="119"/>
        <v>0</v>
      </c>
    </row>
    <row r="299" spans="1:77" s="308" customFormat="1" ht="12.75" customHeight="1">
      <c r="A299" s="345" t="s">
        <v>342</v>
      </c>
      <c r="B299" s="346" t="s">
        <v>170</v>
      </c>
      <c r="C299" s="346"/>
      <c r="D299" s="347">
        <v>200004</v>
      </c>
      <c r="E299" s="479">
        <v>3</v>
      </c>
      <c r="F299" s="453">
        <v>67</v>
      </c>
      <c r="G299" s="454">
        <v>89321</v>
      </c>
      <c r="H299" s="439">
        <f t="shared" si="96"/>
        <v>5984507</v>
      </c>
      <c r="I299" s="311">
        <v>54</v>
      </c>
      <c r="J299" s="311">
        <v>87580</v>
      </c>
      <c r="K299" s="441">
        <f t="shared" si="97"/>
        <v>4729320</v>
      </c>
      <c r="L299" s="442">
        <v>107</v>
      </c>
      <c r="M299" s="443">
        <v>72769</v>
      </c>
      <c r="N299" s="444">
        <f t="shared" si="98"/>
        <v>7786283</v>
      </c>
      <c r="O299" s="307">
        <v>119</v>
      </c>
      <c r="P299" s="307">
        <v>72963</v>
      </c>
      <c r="Q299" s="445">
        <f t="shared" si="99"/>
        <v>8682597</v>
      </c>
      <c r="R299" s="442">
        <v>135</v>
      </c>
      <c r="S299" s="443">
        <v>59539</v>
      </c>
      <c r="T299" s="444">
        <f t="shared" si="100"/>
        <v>8037765</v>
      </c>
      <c r="U299" s="307">
        <v>124</v>
      </c>
      <c r="V299" s="307">
        <v>58964</v>
      </c>
      <c r="W299" s="441">
        <f t="shared" si="101"/>
        <v>7311536</v>
      </c>
      <c r="X299" s="442">
        <v>16</v>
      </c>
      <c r="Y299" s="443">
        <v>47057</v>
      </c>
      <c r="Z299" s="444">
        <f t="shared" si="102"/>
        <v>752912</v>
      </c>
      <c r="AA299" s="307">
        <v>14</v>
      </c>
      <c r="AB299" s="307">
        <v>47683</v>
      </c>
      <c r="AC299" s="445">
        <f t="shared" si="103"/>
        <v>667562</v>
      </c>
      <c r="AD299" s="442">
        <v>87</v>
      </c>
      <c r="AE299" s="443">
        <v>56996</v>
      </c>
      <c r="AF299" s="444">
        <f t="shared" si="104"/>
        <v>4958652</v>
      </c>
      <c r="AG299" s="307">
        <v>87</v>
      </c>
      <c r="AH299" s="307">
        <v>55179</v>
      </c>
      <c r="AI299" s="445">
        <f t="shared" si="105"/>
        <v>4800573</v>
      </c>
      <c r="AJ299" s="446"/>
      <c r="AK299" s="443"/>
      <c r="AL299" s="444">
        <f t="shared" si="106"/>
        <v>0</v>
      </c>
      <c r="AM299" s="307"/>
      <c r="AN299" s="307"/>
      <c r="AO299" s="447">
        <f t="shared" si="107"/>
        <v>0</v>
      </c>
      <c r="AP299" s="448">
        <v>11</v>
      </c>
      <c r="AQ299" s="443">
        <v>111753</v>
      </c>
      <c r="AR299" s="444">
        <f t="shared" si="108"/>
        <v>1005799.3506</v>
      </c>
      <c r="AS299" s="307">
        <v>16</v>
      </c>
      <c r="AT299" s="307">
        <v>114451</v>
      </c>
      <c r="AU299" s="441">
        <f t="shared" si="109"/>
        <v>1498300.9312</v>
      </c>
      <c r="AV299" s="442">
        <v>17</v>
      </c>
      <c r="AW299" s="443">
        <v>103290</v>
      </c>
      <c r="AX299" s="444">
        <f t="shared" si="110"/>
        <v>1436701.926</v>
      </c>
      <c r="AY299" s="307">
        <v>20</v>
      </c>
      <c r="AZ299" s="307">
        <v>101957</v>
      </c>
      <c r="BA299" s="445">
        <f t="shared" si="111"/>
        <v>1668424.348</v>
      </c>
      <c r="BB299" s="442">
        <v>1</v>
      </c>
      <c r="BC299" s="443">
        <v>46356</v>
      </c>
      <c r="BD299" s="444">
        <f t="shared" si="112"/>
        <v>37928.479200000002</v>
      </c>
      <c r="BE299" s="307">
        <v>2</v>
      </c>
      <c r="BF299" s="307">
        <v>68247</v>
      </c>
      <c r="BG299" s="445">
        <f t="shared" si="113"/>
        <v>111679.39080000001</v>
      </c>
      <c r="BH299" s="442">
        <v>1</v>
      </c>
      <c r="BI299" s="443">
        <v>56774</v>
      </c>
      <c r="BJ299" s="444">
        <f t="shared" si="114"/>
        <v>46452.486799999999</v>
      </c>
      <c r="BK299" s="307">
        <v>0</v>
      </c>
      <c r="BL299" s="307">
        <v>0</v>
      </c>
      <c r="BM299" s="445">
        <f t="shared" si="115"/>
        <v>0</v>
      </c>
      <c r="BN299" s="442">
        <v>18</v>
      </c>
      <c r="BO299" s="443">
        <v>82337</v>
      </c>
      <c r="BP299" s="444">
        <f t="shared" si="116"/>
        <v>1212626.4012</v>
      </c>
      <c r="BQ299" s="307">
        <v>15</v>
      </c>
      <c r="BR299" s="307">
        <v>88227</v>
      </c>
      <c r="BS299" s="445">
        <f t="shared" si="117"/>
        <v>1082809.9710000001</v>
      </c>
      <c r="BT299" s="442"/>
      <c r="BU299" s="443"/>
      <c r="BV299" s="444">
        <f t="shared" si="118"/>
        <v>0</v>
      </c>
      <c r="BW299" s="307"/>
      <c r="BX299" s="307"/>
      <c r="BY299" s="449">
        <f t="shared" si="119"/>
        <v>0</v>
      </c>
    </row>
    <row r="300" spans="1:77" s="308" customFormat="1" ht="12.75" customHeight="1">
      <c r="A300" s="345" t="s">
        <v>342</v>
      </c>
      <c r="B300" s="394" t="s">
        <v>171</v>
      </c>
      <c r="C300" s="536" t="s">
        <v>1064</v>
      </c>
      <c r="D300" s="347">
        <v>198543</v>
      </c>
      <c r="E300" s="479">
        <v>4</v>
      </c>
      <c r="F300" s="453">
        <v>37</v>
      </c>
      <c r="G300" s="454">
        <v>87367</v>
      </c>
      <c r="H300" s="439">
        <f t="shared" si="96"/>
        <v>3232579</v>
      </c>
      <c r="I300" s="311">
        <v>33</v>
      </c>
      <c r="J300" s="311">
        <v>85429</v>
      </c>
      <c r="K300" s="441">
        <f t="shared" si="97"/>
        <v>2819157</v>
      </c>
      <c r="L300" s="442">
        <v>67</v>
      </c>
      <c r="M300" s="443">
        <v>75507</v>
      </c>
      <c r="N300" s="444">
        <f t="shared" si="98"/>
        <v>5058969</v>
      </c>
      <c r="O300" s="307">
        <v>72</v>
      </c>
      <c r="P300" s="307">
        <v>73418</v>
      </c>
      <c r="Q300" s="445">
        <f t="shared" si="99"/>
        <v>5286096</v>
      </c>
      <c r="R300" s="442">
        <v>111</v>
      </c>
      <c r="S300" s="443">
        <v>62383</v>
      </c>
      <c r="T300" s="444">
        <f t="shared" si="100"/>
        <v>6924513</v>
      </c>
      <c r="U300" s="307">
        <v>106</v>
      </c>
      <c r="V300" s="307">
        <v>63055</v>
      </c>
      <c r="W300" s="441">
        <f t="shared" si="101"/>
        <v>6683830</v>
      </c>
      <c r="X300" s="442">
        <v>7</v>
      </c>
      <c r="Y300" s="443">
        <v>60510</v>
      </c>
      <c r="Z300" s="444">
        <f t="shared" si="102"/>
        <v>423570</v>
      </c>
      <c r="AA300" s="307">
        <v>9</v>
      </c>
      <c r="AB300" s="307">
        <v>58771</v>
      </c>
      <c r="AC300" s="445">
        <f t="shared" si="103"/>
        <v>528939</v>
      </c>
      <c r="AD300" s="442">
        <v>23</v>
      </c>
      <c r="AE300" s="443">
        <v>52188</v>
      </c>
      <c r="AF300" s="444">
        <f t="shared" si="104"/>
        <v>1200324</v>
      </c>
      <c r="AG300" s="307">
        <v>33</v>
      </c>
      <c r="AH300" s="307">
        <v>53427</v>
      </c>
      <c r="AI300" s="445">
        <f t="shared" si="105"/>
        <v>1763091</v>
      </c>
      <c r="AJ300" s="446"/>
      <c r="AK300" s="443"/>
      <c r="AL300" s="444">
        <f t="shared" si="106"/>
        <v>0</v>
      </c>
      <c r="AM300" s="307"/>
      <c r="AN300" s="307"/>
      <c r="AO300" s="447">
        <f t="shared" si="107"/>
        <v>0</v>
      </c>
      <c r="AP300" s="448">
        <v>6</v>
      </c>
      <c r="AQ300" s="443">
        <v>106885</v>
      </c>
      <c r="AR300" s="444">
        <f t="shared" si="108"/>
        <v>524719.84200000006</v>
      </c>
      <c r="AS300" s="307">
        <v>11</v>
      </c>
      <c r="AT300" s="307">
        <v>106866</v>
      </c>
      <c r="AU300" s="441">
        <f t="shared" si="109"/>
        <v>961815.37320000003</v>
      </c>
      <c r="AV300" s="442">
        <v>11</v>
      </c>
      <c r="AW300" s="443">
        <v>92522</v>
      </c>
      <c r="AX300" s="444">
        <f t="shared" si="110"/>
        <v>832716.50440000009</v>
      </c>
      <c r="AY300" s="307">
        <v>10</v>
      </c>
      <c r="AZ300" s="307">
        <v>93002</v>
      </c>
      <c r="BA300" s="445">
        <f t="shared" si="111"/>
        <v>760942.36400000006</v>
      </c>
      <c r="BB300" s="442">
        <v>10</v>
      </c>
      <c r="BC300" s="443">
        <v>79880</v>
      </c>
      <c r="BD300" s="444">
        <f t="shared" si="112"/>
        <v>653578.16</v>
      </c>
      <c r="BE300" s="307">
        <v>3</v>
      </c>
      <c r="BF300" s="307">
        <v>93259</v>
      </c>
      <c r="BG300" s="445">
        <f t="shared" si="113"/>
        <v>228913.54140000002</v>
      </c>
      <c r="BH300" s="442">
        <v>1</v>
      </c>
      <c r="BI300" s="443">
        <v>63726</v>
      </c>
      <c r="BJ300" s="444">
        <f t="shared" si="114"/>
        <v>52140.6132</v>
      </c>
      <c r="BK300" s="307">
        <v>0</v>
      </c>
      <c r="BL300" s="307">
        <v>0</v>
      </c>
      <c r="BM300" s="445">
        <f t="shared" si="115"/>
        <v>0</v>
      </c>
      <c r="BN300" s="442">
        <v>14</v>
      </c>
      <c r="BO300" s="443">
        <v>45272</v>
      </c>
      <c r="BP300" s="444">
        <f t="shared" si="116"/>
        <v>518581.70560000004</v>
      </c>
      <c r="BQ300" s="307">
        <v>0</v>
      </c>
      <c r="BR300" s="307">
        <v>0</v>
      </c>
      <c r="BS300" s="445">
        <f t="shared" si="117"/>
        <v>0</v>
      </c>
      <c r="BT300" s="442"/>
      <c r="BU300" s="443"/>
      <c r="BV300" s="444">
        <f t="shared" si="118"/>
        <v>0</v>
      </c>
      <c r="BW300" s="307"/>
      <c r="BX300" s="307"/>
      <c r="BY300" s="449">
        <f t="shared" si="119"/>
        <v>0</v>
      </c>
    </row>
    <row r="301" spans="1:77" s="308" customFormat="1" ht="12.75" customHeight="1">
      <c r="A301" s="345" t="s">
        <v>342</v>
      </c>
      <c r="B301" s="346" t="s">
        <v>172</v>
      </c>
      <c r="C301" s="346"/>
      <c r="D301" s="347">
        <v>199281</v>
      </c>
      <c r="E301" s="479">
        <v>5</v>
      </c>
      <c r="F301" s="453">
        <v>53</v>
      </c>
      <c r="G301" s="454">
        <v>86364</v>
      </c>
      <c r="H301" s="439">
        <f t="shared" si="96"/>
        <v>4577292</v>
      </c>
      <c r="I301" s="311">
        <v>59</v>
      </c>
      <c r="J301" s="311">
        <v>85636</v>
      </c>
      <c r="K301" s="441">
        <f t="shared" si="97"/>
        <v>5052524</v>
      </c>
      <c r="L301" s="442">
        <v>56</v>
      </c>
      <c r="M301" s="443">
        <v>66923</v>
      </c>
      <c r="N301" s="444">
        <f t="shared" si="98"/>
        <v>3747688</v>
      </c>
      <c r="O301" s="307">
        <v>63</v>
      </c>
      <c r="P301" s="307">
        <v>66000</v>
      </c>
      <c r="Q301" s="445">
        <f t="shared" si="99"/>
        <v>4158000</v>
      </c>
      <c r="R301" s="442">
        <v>105</v>
      </c>
      <c r="S301" s="443">
        <v>58055</v>
      </c>
      <c r="T301" s="444">
        <f t="shared" si="100"/>
        <v>6095775</v>
      </c>
      <c r="U301" s="307">
        <v>113</v>
      </c>
      <c r="V301" s="307">
        <v>57362</v>
      </c>
      <c r="W301" s="441">
        <f t="shared" si="101"/>
        <v>6481906</v>
      </c>
      <c r="X301" s="442">
        <v>5</v>
      </c>
      <c r="Y301" s="443">
        <v>50693</v>
      </c>
      <c r="Z301" s="444">
        <f t="shared" si="102"/>
        <v>253465</v>
      </c>
      <c r="AA301" s="307">
        <v>3</v>
      </c>
      <c r="AB301" s="307">
        <v>50154</v>
      </c>
      <c r="AC301" s="445">
        <f t="shared" si="103"/>
        <v>150462</v>
      </c>
      <c r="AD301" s="442">
        <v>64</v>
      </c>
      <c r="AE301" s="443">
        <v>46841</v>
      </c>
      <c r="AF301" s="444">
        <f t="shared" si="104"/>
        <v>2997824</v>
      </c>
      <c r="AG301" s="307">
        <v>82</v>
      </c>
      <c r="AH301" s="307">
        <v>47843</v>
      </c>
      <c r="AI301" s="445">
        <f t="shared" si="105"/>
        <v>3923126</v>
      </c>
      <c r="AJ301" s="446"/>
      <c r="AK301" s="443"/>
      <c r="AL301" s="444">
        <f t="shared" si="106"/>
        <v>0</v>
      </c>
      <c r="AM301" s="307"/>
      <c r="AN301" s="307"/>
      <c r="AO301" s="447">
        <f t="shared" si="107"/>
        <v>0</v>
      </c>
      <c r="AP301" s="448">
        <v>2</v>
      </c>
      <c r="AQ301" s="443">
        <v>90702</v>
      </c>
      <c r="AR301" s="444">
        <f t="shared" si="108"/>
        <v>148424.75280000002</v>
      </c>
      <c r="AS301" s="307">
        <v>1</v>
      </c>
      <c r="AT301" s="307">
        <v>102572</v>
      </c>
      <c r="AU301" s="441">
        <f t="shared" si="109"/>
        <v>83924.410400000008</v>
      </c>
      <c r="AV301" s="442">
        <v>1</v>
      </c>
      <c r="AW301" s="443">
        <v>115000</v>
      </c>
      <c r="AX301" s="444">
        <f t="shared" si="110"/>
        <v>94093</v>
      </c>
      <c r="AY301" s="307">
        <v>1</v>
      </c>
      <c r="AZ301" s="307">
        <v>115000</v>
      </c>
      <c r="BA301" s="445">
        <f t="shared" si="111"/>
        <v>94093</v>
      </c>
      <c r="BB301" s="442">
        <v>3</v>
      </c>
      <c r="BC301" s="443">
        <v>83277</v>
      </c>
      <c r="BD301" s="444">
        <f t="shared" si="112"/>
        <v>204411.7242</v>
      </c>
      <c r="BE301" s="307">
        <v>2</v>
      </c>
      <c r="BF301" s="307">
        <v>86166</v>
      </c>
      <c r="BG301" s="445">
        <f t="shared" si="113"/>
        <v>141002.04240000001</v>
      </c>
      <c r="BH301" s="442">
        <v>0</v>
      </c>
      <c r="BI301" s="443">
        <v>0</v>
      </c>
      <c r="BJ301" s="444">
        <f t="shared" si="114"/>
        <v>0</v>
      </c>
      <c r="BK301" s="307">
        <v>0</v>
      </c>
      <c r="BL301" s="307">
        <v>0</v>
      </c>
      <c r="BM301" s="445">
        <f t="shared" si="115"/>
        <v>0</v>
      </c>
      <c r="BN301" s="442">
        <v>4</v>
      </c>
      <c r="BO301" s="443">
        <v>55666</v>
      </c>
      <c r="BP301" s="444">
        <f t="shared" si="116"/>
        <v>182183.68480000002</v>
      </c>
      <c r="BQ301" s="307">
        <v>5</v>
      </c>
      <c r="BR301" s="307">
        <v>67012</v>
      </c>
      <c r="BS301" s="445">
        <f t="shared" si="117"/>
        <v>274146.092</v>
      </c>
      <c r="BT301" s="442"/>
      <c r="BU301" s="443"/>
      <c r="BV301" s="444">
        <f t="shared" si="118"/>
        <v>0</v>
      </c>
      <c r="BW301" s="307"/>
      <c r="BX301" s="307"/>
      <c r="BY301" s="449">
        <f t="shared" si="119"/>
        <v>0</v>
      </c>
    </row>
    <row r="302" spans="1:77" s="308" customFormat="1" ht="12.75" customHeight="1">
      <c r="A302" s="345" t="s">
        <v>342</v>
      </c>
      <c r="B302" s="346" t="s">
        <v>175</v>
      </c>
      <c r="C302" s="346"/>
      <c r="D302" s="347">
        <v>199999</v>
      </c>
      <c r="E302" s="479">
        <v>5</v>
      </c>
      <c r="F302" s="453">
        <v>26</v>
      </c>
      <c r="G302" s="454">
        <v>93693</v>
      </c>
      <c r="H302" s="439">
        <f t="shared" si="96"/>
        <v>2436018</v>
      </c>
      <c r="I302" s="311">
        <v>16</v>
      </c>
      <c r="J302" s="311">
        <v>92518</v>
      </c>
      <c r="K302" s="441">
        <f t="shared" si="97"/>
        <v>1480288</v>
      </c>
      <c r="L302" s="442">
        <v>81</v>
      </c>
      <c r="M302" s="443">
        <v>75786</v>
      </c>
      <c r="N302" s="444">
        <f t="shared" si="98"/>
        <v>6138666</v>
      </c>
      <c r="O302" s="307">
        <v>61</v>
      </c>
      <c r="P302" s="307">
        <v>76148</v>
      </c>
      <c r="Q302" s="445">
        <f t="shared" si="99"/>
        <v>4645028</v>
      </c>
      <c r="R302" s="442">
        <v>82</v>
      </c>
      <c r="S302" s="443">
        <v>68110</v>
      </c>
      <c r="T302" s="444">
        <f t="shared" si="100"/>
        <v>5585020</v>
      </c>
      <c r="U302" s="307">
        <v>78</v>
      </c>
      <c r="V302" s="307">
        <v>68532</v>
      </c>
      <c r="W302" s="441">
        <f t="shared" si="101"/>
        <v>5345496</v>
      </c>
      <c r="X302" s="442">
        <v>33</v>
      </c>
      <c r="Y302" s="443">
        <v>59968</v>
      </c>
      <c r="Z302" s="444">
        <f t="shared" si="102"/>
        <v>1978944</v>
      </c>
      <c r="AA302" s="307">
        <v>20</v>
      </c>
      <c r="AB302" s="307">
        <v>59152</v>
      </c>
      <c r="AC302" s="445">
        <f t="shared" si="103"/>
        <v>1183040</v>
      </c>
      <c r="AD302" s="442">
        <v>6</v>
      </c>
      <c r="AE302" s="443">
        <v>62705</v>
      </c>
      <c r="AF302" s="444">
        <f t="shared" si="104"/>
        <v>376230</v>
      </c>
      <c r="AG302" s="307">
        <v>6</v>
      </c>
      <c r="AH302" s="307">
        <v>60303</v>
      </c>
      <c r="AI302" s="445">
        <f t="shared" si="105"/>
        <v>361818</v>
      </c>
      <c r="AJ302" s="446"/>
      <c r="AK302" s="443"/>
      <c r="AL302" s="444">
        <f t="shared" si="106"/>
        <v>0</v>
      </c>
      <c r="AM302" s="307"/>
      <c r="AN302" s="307"/>
      <c r="AO302" s="447">
        <f t="shared" si="107"/>
        <v>0</v>
      </c>
      <c r="AP302" s="448">
        <v>10</v>
      </c>
      <c r="AQ302" s="443">
        <v>106839</v>
      </c>
      <c r="AR302" s="444">
        <f t="shared" si="108"/>
        <v>874156.69800000009</v>
      </c>
      <c r="AS302" s="307">
        <v>24</v>
      </c>
      <c r="AT302" s="307">
        <v>104759</v>
      </c>
      <c r="AU302" s="441">
        <f t="shared" si="109"/>
        <v>2057131.5312000001</v>
      </c>
      <c r="AV302" s="442">
        <v>31</v>
      </c>
      <c r="AW302" s="443">
        <v>91579</v>
      </c>
      <c r="AX302" s="444">
        <f t="shared" si="110"/>
        <v>2322828.0718</v>
      </c>
      <c r="AY302" s="307">
        <v>48</v>
      </c>
      <c r="AZ302" s="307">
        <v>86596</v>
      </c>
      <c r="BA302" s="445">
        <f t="shared" si="111"/>
        <v>3400936.6655999999</v>
      </c>
      <c r="BB302" s="442">
        <v>37</v>
      </c>
      <c r="BC302" s="443">
        <v>78235</v>
      </c>
      <c r="BD302" s="444">
        <f t="shared" si="112"/>
        <v>2368439.449</v>
      </c>
      <c r="BE302" s="307">
        <v>53</v>
      </c>
      <c r="BF302" s="307">
        <v>78698</v>
      </c>
      <c r="BG302" s="445">
        <f t="shared" si="113"/>
        <v>3412707.2908000001</v>
      </c>
      <c r="BH302" s="442">
        <v>8</v>
      </c>
      <c r="BI302" s="443">
        <v>65102</v>
      </c>
      <c r="BJ302" s="444">
        <f t="shared" si="114"/>
        <v>426131.65120000002</v>
      </c>
      <c r="BK302" s="307">
        <v>25</v>
      </c>
      <c r="BL302" s="307">
        <v>67758</v>
      </c>
      <c r="BM302" s="445">
        <f t="shared" si="115"/>
        <v>1385989.8900000001</v>
      </c>
      <c r="BN302" s="442">
        <v>11</v>
      </c>
      <c r="BO302" s="443">
        <v>54173</v>
      </c>
      <c r="BP302" s="444">
        <f t="shared" si="116"/>
        <v>487567.8346</v>
      </c>
      <c r="BQ302" s="307">
        <v>12</v>
      </c>
      <c r="BR302" s="307">
        <v>66712</v>
      </c>
      <c r="BS302" s="445">
        <f t="shared" si="117"/>
        <v>655005.10080000001</v>
      </c>
      <c r="BT302" s="442"/>
      <c r="BU302" s="443"/>
      <c r="BV302" s="444">
        <f t="shared" si="118"/>
        <v>0</v>
      </c>
      <c r="BW302" s="307"/>
      <c r="BX302" s="307"/>
      <c r="BY302" s="449">
        <f t="shared" si="119"/>
        <v>0</v>
      </c>
    </row>
    <row r="303" spans="1:77" s="308" customFormat="1" ht="12.75" customHeight="1">
      <c r="A303" s="345" t="s">
        <v>342</v>
      </c>
      <c r="B303" s="346" t="s">
        <v>173</v>
      </c>
      <c r="C303" s="346"/>
      <c r="D303" s="347">
        <v>198507</v>
      </c>
      <c r="E303" s="479">
        <v>6</v>
      </c>
      <c r="F303" s="453">
        <v>49</v>
      </c>
      <c r="G303" s="454">
        <v>77960</v>
      </c>
      <c r="H303" s="439">
        <f t="shared" si="96"/>
        <v>3820040</v>
      </c>
      <c r="I303" s="311">
        <v>51</v>
      </c>
      <c r="J303" s="311">
        <v>76043</v>
      </c>
      <c r="K303" s="441">
        <f t="shared" si="97"/>
        <v>3878193</v>
      </c>
      <c r="L303" s="442">
        <v>32</v>
      </c>
      <c r="M303" s="443">
        <v>68412</v>
      </c>
      <c r="N303" s="444">
        <f t="shared" si="98"/>
        <v>2189184</v>
      </c>
      <c r="O303" s="307">
        <v>35</v>
      </c>
      <c r="P303" s="307">
        <v>69438</v>
      </c>
      <c r="Q303" s="445">
        <f t="shared" si="99"/>
        <v>2430330</v>
      </c>
      <c r="R303" s="442">
        <v>45</v>
      </c>
      <c r="S303" s="443">
        <v>61124</v>
      </c>
      <c r="T303" s="444">
        <f t="shared" si="100"/>
        <v>2750580</v>
      </c>
      <c r="U303" s="307">
        <v>42</v>
      </c>
      <c r="V303" s="307">
        <v>62321</v>
      </c>
      <c r="W303" s="441">
        <f t="shared" si="101"/>
        <v>2617482</v>
      </c>
      <c r="X303" s="442">
        <v>3</v>
      </c>
      <c r="Y303" s="443">
        <v>56294</v>
      </c>
      <c r="Z303" s="444">
        <f t="shared" si="102"/>
        <v>168882</v>
      </c>
      <c r="AA303" s="307">
        <v>3</v>
      </c>
      <c r="AB303" s="307">
        <v>56294</v>
      </c>
      <c r="AC303" s="445">
        <f t="shared" si="103"/>
        <v>168882</v>
      </c>
      <c r="AD303" s="442">
        <v>28</v>
      </c>
      <c r="AE303" s="443">
        <v>59168</v>
      </c>
      <c r="AF303" s="444">
        <f t="shared" si="104"/>
        <v>1656704</v>
      </c>
      <c r="AG303" s="307">
        <v>33</v>
      </c>
      <c r="AH303" s="307">
        <v>59205</v>
      </c>
      <c r="AI303" s="445">
        <f t="shared" si="105"/>
        <v>1953765</v>
      </c>
      <c r="AJ303" s="446"/>
      <c r="AK303" s="443"/>
      <c r="AL303" s="444">
        <f t="shared" si="106"/>
        <v>0</v>
      </c>
      <c r="AM303" s="307"/>
      <c r="AN303" s="307"/>
      <c r="AO303" s="447">
        <f t="shared" si="107"/>
        <v>0</v>
      </c>
      <c r="AP303" s="448">
        <v>2</v>
      </c>
      <c r="AQ303" s="443">
        <v>95772</v>
      </c>
      <c r="AR303" s="444">
        <f t="shared" si="108"/>
        <v>156721.3008</v>
      </c>
      <c r="AS303" s="307">
        <v>2</v>
      </c>
      <c r="AT303" s="307">
        <v>102240</v>
      </c>
      <c r="AU303" s="441">
        <f t="shared" si="109"/>
        <v>167305.53600000002</v>
      </c>
      <c r="AV303" s="442">
        <v>0</v>
      </c>
      <c r="AW303" s="443">
        <v>0</v>
      </c>
      <c r="AX303" s="444">
        <f t="shared" si="110"/>
        <v>0</v>
      </c>
      <c r="AY303" s="307">
        <v>1</v>
      </c>
      <c r="AZ303" s="307">
        <v>82000</v>
      </c>
      <c r="BA303" s="445">
        <f t="shared" si="111"/>
        <v>67092.400000000009</v>
      </c>
      <c r="BB303" s="442">
        <v>3</v>
      </c>
      <c r="BC303" s="443">
        <v>89439</v>
      </c>
      <c r="BD303" s="444">
        <f t="shared" si="112"/>
        <v>219536.9694</v>
      </c>
      <c r="BE303" s="307">
        <v>1</v>
      </c>
      <c r="BF303" s="307">
        <v>154211</v>
      </c>
      <c r="BG303" s="445">
        <f t="shared" si="113"/>
        <v>126175.44020000001</v>
      </c>
      <c r="BH303" s="442">
        <v>0</v>
      </c>
      <c r="BI303" s="443">
        <v>0</v>
      </c>
      <c r="BJ303" s="444">
        <f t="shared" si="114"/>
        <v>0</v>
      </c>
      <c r="BK303" s="307">
        <v>0</v>
      </c>
      <c r="BL303" s="307">
        <v>0</v>
      </c>
      <c r="BM303" s="445">
        <f t="shared" si="115"/>
        <v>0</v>
      </c>
      <c r="BN303" s="442">
        <v>3</v>
      </c>
      <c r="BO303" s="443">
        <v>63772</v>
      </c>
      <c r="BP303" s="444">
        <f t="shared" si="116"/>
        <v>156534.7512</v>
      </c>
      <c r="BQ303" s="307">
        <v>2</v>
      </c>
      <c r="BR303" s="307">
        <v>77492</v>
      </c>
      <c r="BS303" s="445">
        <f t="shared" si="117"/>
        <v>126807.9088</v>
      </c>
      <c r="BT303" s="442"/>
      <c r="BU303" s="443"/>
      <c r="BV303" s="444">
        <f t="shared" si="118"/>
        <v>0</v>
      </c>
      <c r="BW303" s="307"/>
      <c r="BX303" s="307"/>
      <c r="BY303" s="449">
        <f t="shared" si="119"/>
        <v>0</v>
      </c>
    </row>
    <row r="304" spans="1:77" s="308" customFormat="1" ht="12.75" customHeight="1">
      <c r="A304" s="345" t="s">
        <v>342</v>
      </c>
      <c r="B304" s="346" t="s">
        <v>174</v>
      </c>
      <c r="C304" s="346"/>
      <c r="D304" s="347">
        <v>199111</v>
      </c>
      <c r="E304" s="479">
        <v>6</v>
      </c>
      <c r="F304" s="453">
        <v>58</v>
      </c>
      <c r="G304" s="454">
        <v>87909</v>
      </c>
      <c r="H304" s="439">
        <f t="shared" si="96"/>
        <v>5098722</v>
      </c>
      <c r="I304" s="311">
        <v>62</v>
      </c>
      <c r="J304" s="311">
        <v>86905</v>
      </c>
      <c r="K304" s="441">
        <f t="shared" si="97"/>
        <v>5388110</v>
      </c>
      <c r="L304" s="442">
        <v>63</v>
      </c>
      <c r="M304" s="443">
        <v>68283</v>
      </c>
      <c r="N304" s="444">
        <f t="shared" si="98"/>
        <v>4301829</v>
      </c>
      <c r="O304" s="307">
        <v>64</v>
      </c>
      <c r="P304" s="307">
        <v>67703</v>
      </c>
      <c r="Q304" s="445">
        <f t="shared" si="99"/>
        <v>4332992</v>
      </c>
      <c r="R304" s="442">
        <v>45</v>
      </c>
      <c r="S304" s="443">
        <v>59779</v>
      </c>
      <c r="T304" s="444">
        <f t="shared" si="100"/>
        <v>2690055</v>
      </c>
      <c r="U304" s="307">
        <v>44</v>
      </c>
      <c r="V304" s="307">
        <v>61218</v>
      </c>
      <c r="W304" s="441">
        <f t="shared" si="101"/>
        <v>2693592</v>
      </c>
      <c r="X304" s="442">
        <v>1</v>
      </c>
      <c r="Y304" s="443">
        <v>56000</v>
      </c>
      <c r="Z304" s="444">
        <f t="shared" si="102"/>
        <v>56000</v>
      </c>
      <c r="AA304" s="307">
        <v>0</v>
      </c>
      <c r="AB304" s="307">
        <v>0</v>
      </c>
      <c r="AC304" s="445">
        <f t="shared" si="103"/>
        <v>0</v>
      </c>
      <c r="AD304" s="442">
        <v>40</v>
      </c>
      <c r="AE304" s="443">
        <v>49915</v>
      </c>
      <c r="AF304" s="444">
        <f t="shared" si="104"/>
        <v>1996600</v>
      </c>
      <c r="AG304" s="307">
        <v>47</v>
      </c>
      <c r="AH304" s="307">
        <v>49533</v>
      </c>
      <c r="AI304" s="445">
        <f t="shared" si="105"/>
        <v>2328051</v>
      </c>
      <c r="AJ304" s="446"/>
      <c r="AK304" s="443"/>
      <c r="AL304" s="444">
        <f t="shared" si="106"/>
        <v>0</v>
      </c>
      <c r="AM304" s="307"/>
      <c r="AN304" s="307"/>
      <c r="AO304" s="447">
        <f t="shared" si="107"/>
        <v>0</v>
      </c>
      <c r="AP304" s="448">
        <v>0</v>
      </c>
      <c r="AQ304" s="443">
        <v>0</v>
      </c>
      <c r="AR304" s="444">
        <f t="shared" si="108"/>
        <v>0</v>
      </c>
      <c r="AS304" s="307">
        <v>0</v>
      </c>
      <c r="AT304" s="307">
        <v>0</v>
      </c>
      <c r="AU304" s="441">
        <f t="shared" si="109"/>
        <v>0</v>
      </c>
      <c r="AV304" s="442">
        <v>0</v>
      </c>
      <c r="AW304" s="443">
        <v>0</v>
      </c>
      <c r="AX304" s="444">
        <f t="shared" si="110"/>
        <v>0</v>
      </c>
      <c r="AY304" s="307">
        <v>0</v>
      </c>
      <c r="AZ304" s="307">
        <v>0</v>
      </c>
      <c r="BA304" s="445">
        <f t="shared" si="111"/>
        <v>0</v>
      </c>
      <c r="BB304" s="442">
        <v>0</v>
      </c>
      <c r="BC304" s="443">
        <v>0</v>
      </c>
      <c r="BD304" s="444">
        <f t="shared" si="112"/>
        <v>0</v>
      </c>
      <c r="BE304" s="307">
        <v>0</v>
      </c>
      <c r="BF304" s="307">
        <v>0</v>
      </c>
      <c r="BG304" s="445">
        <f t="shared" si="113"/>
        <v>0</v>
      </c>
      <c r="BH304" s="442">
        <v>0</v>
      </c>
      <c r="BI304" s="443">
        <v>0</v>
      </c>
      <c r="BJ304" s="444">
        <f t="shared" si="114"/>
        <v>0</v>
      </c>
      <c r="BK304" s="307">
        <v>0</v>
      </c>
      <c r="BL304" s="307">
        <v>0</v>
      </c>
      <c r="BM304" s="445">
        <f t="shared" si="115"/>
        <v>0</v>
      </c>
      <c r="BN304" s="442">
        <v>1</v>
      </c>
      <c r="BO304" s="443">
        <v>76928</v>
      </c>
      <c r="BP304" s="444">
        <f t="shared" si="116"/>
        <v>62942.489600000001</v>
      </c>
      <c r="BQ304" s="307">
        <v>0</v>
      </c>
      <c r="BR304" s="307">
        <v>0</v>
      </c>
      <c r="BS304" s="445">
        <f t="shared" si="117"/>
        <v>0</v>
      </c>
      <c r="BT304" s="442"/>
      <c r="BU304" s="443"/>
      <c r="BV304" s="444">
        <f t="shared" si="118"/>
        <v>0</v>
      </c>
      <c r="BW304" s="307"/>
      <c r="BX304" s="307"/>
      <c r="BY304" s="449">
        <f t="shared" si="119"/>
        <v>0</v>
      </c>
    </row>
    <row r="305" spans="1:77" s="308" customFormat="1" ht="12.75" customHeight="1">
      <c r="A305" s="534" t="s">
        <v>342</v>
      </c>
      <c r="B305" s="349" t="s">
        <v>176</v>
      </c>
      <c r="C305" s="349"/>
      <c r="D305" s="350">
        <v>197887</v>
      </c>
      <c r="E305" s="458">
        <v>8</v>
      </c>
      <c r="F305" s="453"/>
      <c r="G305" s="454"/>
      <c r="H305" s="439">
        <f t="shared" si="96"/>
        <v>0</v>
      </c>
      <c r="I305" s="311"/>
      <c r="J305" s="311"/>
      <c r="K305" s="441">
        <f t="shared" si="97"/>
        <v>0</v>
      </c>
      <c r="L305" s="442"/>
      <c r="M305" s="443"/>
      <c r="N305" s="444">
        <f t="shared" si="98"/>
        <v>0</v>
      </c>
      <c r="O305" s="307"/>
      <c r="P305" s="307"/>
      <c r="Q305" s="445">
        <f t="shared" si="99"/>
        <v>0</v>
      </c>
      <c r="R305" s="442"/>
      <c r="S305" s="443"/>
      <c r="T305" s="444">
        <f t="shared" si="100"/>
        <v>0</v>
      </c>
      <c r="U305" s="307"/>
      <c r="V305" s="307"/>
      <c r="W305" s="441">
        <f t="shared" si="101"/>
        <v>0</v>
      </c>
      <c r="X305" s="442"/>
      <c r="Y305" s="443"/>
      <c r="Z305" s="444">
        <f t="shared" si="102"/>
        <v>0</v>
      </c>
      <c r="AA305" s="307"/>
      <c r="AB305" s="307"/>
      <c r="AC305" s="445">
        <f t="shared" si="103"/>
        <v>0</v>
      </c>
      <c r="AD305" s="442"/>
      <c r="AE305" s="443"/>
      <c r="AF305" s="444">
        <f t="shared" si="104"/>
        <v>0</v>
      </c>
      <c r="AG305" s="307"/>
      <c r="AH305" s="307"/>
      <c r="AI305" s="445">
        <f t="shared" si="105"/>
        <v>0</v>
      </c>
      <c r="AJ305" s="446">
        <v>172</v>
      </c>
      <c r="AK305" s="443">
        <v>46889</v>
      </c>
      <c r="AL305" s="444">
        <f t="shared" si="106"/>
        <v>8064908</v>
      </c>
      <c r="AM305" s="307">
        <v>172</v>
      </c>
      <c r="AN305" s="307">
        <v>45890</v>
      </c>
      <c r="AO305" s="447">
        <f t="shared" si="107"/>
        <v>7893080</v>
      </c>
      <c r="AP305" s="448"/>
      <c r="AQ305" s="443"/>
      <c r="AR305" s="444">
        <f t="shared" si="108"/>
        <v>0</v>
      </c>
      <c r="AS305" s="307"/>
      <c r="AT305" s="307"/>
      <c r="AU305" s="441">
        <f t="shared" si="109"/>
        <v>0</v>
      </c>
      <c r="AV305" s="442"/>
      <c r="AW305" s="443"/>
      <c r="AX305" s="444">
        <f t="shared" si="110"/>
        <v>0</v>
      </c>
      <c r="AY305" s="307"/>
      <c r="AZ305" s="307"/>
      <c r="BA305" s="445">
        <f t="shared" si="111"/>
        <v>0</v>
      </c>
      <c r="BB305" s="442"/>
      <c r="BC305" s="443"/>
      <c r="BD305" s="444">
        <f t="shared" si="112"/>
        <v>0</v>
      </c>
      <c r="BE305" s="307"/>
      <c r="BF305" s="307"/>
      <c r="BG305" s="445">
        <f t="shared" si="113"/>
        <v>0</v>
      </c>
      <c r="BH305" s="442"/>
      <c r="BI305" s="443"/>
      <c r="BJ305" s="444">
        <f t="shared" si="114"/>
        <v>0</v>
      </c>
      <c r="BK305" s="307"/>
      <c r="BL305" s="307"/>
      <c r="BM305" s="445">
        <f t="shared" si="115"/>
        <v>0</v>
      </c>
      <c r="BN305" s="442"/>
      <c r="BO305" s="443"/>
      <c r="BP305" s="444">
        <f t="shared" si="116"/>
        <v>0</v>
      </c>
      <c r="BQ305" s="307"/>
      <c r="BR305" s="307"/>
      <c r="BS305" s="445">
        <f t="shared" si="117"/>
        <v>0</v>
      </c>
      <c r="BT305" s="442"/>
      <c r="BU305" s="443"/>
      <c r="BV305" s="444">
        <f t="shared" si="118"/>
        <v>0</v>
      </c>
      <c r="BW305" s="307"/>
      <c r="BX305" s="307"/>
      <c r="BY305" s="449">
        <f t="shared" si="119"/>
        <v>0</v>
      </c>
    </row>
    <row r="306" spans="1:77" s="308" customFormat="1" ht="12.75" customHeight="1">
      <c r="A306" s="348" t="s">
        <v>342</v>
      </c>
      <c r="B306" s="349" t="s">
        <v>177</v>
      </c>
      <c r="C306" s="349"/>
      <c r="D306" s="350">
        <v>198154</v>
      </c>
      <c r="E306" s="458">
        <v>8</v>
      </c>
      <c r="F306" s="453"/>
      <c r="G306" s="454"/>
      <c r="H306" s="439">
        <f t="shared" si="96"/>
        <v>0</v>
      </c>
      <c r="I306" s="311"/>
      <c r="J306" s="311"/>
      <c r="K306" s="441">
        <f t="shared" si="97"/>
        <v>0</v>
      </c>
      <c r="L306" s="442"/>
      <c r="M306" s="443"/>
      <c r="N306" s="444">
        <f t="shared" si="98"/>
        <v>0</v>
      </c>
      <c r="O306" s="307"/>
      <c r="P306" s="307"/>
      <c r="Q306" s="445">
        <f t="shared" si="99"/>
        <v>0</v>
      </c>
      <c r="R306" s="442"/>
      <c r="S306" s="443"/>
      <c r="T306" s="444">
        <f t="shared" si="100"/>
        <v>0</v>
      </c>
      <c r="U306" s="307"/>
      <c r="V306" s="307"/>
      <c r="W306" s="441">
        <f t="shared" si="101"/>
        <v>0</v>
      </c>
      <c r="X306" s="442"/>
      <c r="Y306" s="443"/>
      <c r="Z306" s="444">
        <f t="shared" si="102"/>
        <v>0</v>
      </c>
      <c r="AA306" s="307"/>
      <c r="AB306" s="307"/>
      <c r="AC306" s="445">
        <f t="shared" si="103"/>
        <v>0</v>
      </c>
      <c r="AD306" s="442"/>
      <c r="AE306" s="443"/>
      <c r="AF306" s="444">
        <f t="shared" si="104"/>
        <v>0</v>
      </c>
      <c r="AG306" s="307"/>
      <c r="AH306" s="307"/>
      <c r="AI306" s="445">
        <f t="shared" si="105"/>
        <v>0</v>
      </c>
      <c r="AJ306" s="446">
        <v>253</v>
      </c>
      <c r="AK306" s="443">
        <v>48385</v>
      </c>
      <c r="AL306" s="444">
        <f t="shared" si="106"/>
        <v>12241405</v>
      </c>
      <c r="AM306" s="307">
        <v>279</v>
      </c>
      <c r="AN306" s="307">
        <v>48299</v>
      </c>
      <c r="AO306" s="447">
        <f t="shared" si="107"/>
        <v>13475421</v>
      </c>
      <c r="AP306" s="448"/>
      <c r="AQ306" s="443"/>
      <c r="AR306" s="444">
        <f t="shared" si="108"/>
        <v>0</v>
      </c>
      <c r="AS306" s="307"/>
      <c r="AT306" s="307"/>
      <c r="AU306" s="441">
        <f t="shared" si="109"/>
        <v>0</v>
      </c>
      <c r="AV306" s="442"/>
      <c r="AW306" s="443"/>
      <c r="AX306" s="444">
        <f t="shared" si="110"/>
        <v>0</v>
      </c>
      <c r="AY306" s="307"/>
      <c r="AZ306" s="307"/>
      <c r="BA306" s="445">
        <f t="shared" si="111"/>
        <v>0</v>
      </c>
      <c r="BB306" s="442"/>
      <c r="BC306" s="443"/>
      <c r="BD306" s="444">
        <f t="shared" si="112"/>
        <v>0</v>
      </c>
      <c r="BE306" s="307"/>
      <c r="BF306" s="307"/>
      <c r="BG306" s="445">
        <f t="shared" si="113"/>
        <v>0</v>
      </c>
      <c r="BH306" s="442"/>
      <c r="BI306" s="443"/>
      <c r="BJ306" s="444">
        <f t="shared" si="114"/>
        <v>0</v>
      </c>
      <c r="BK306" s="307"/>
      <c r="BL306" s="307"/>
      <c r="BM306" s="445">
        <f t="shared" si="115"/>
        <v>0</v>
      </c>
      <c r="BN306" s="442"/>
      <c r="BO306" s="443"/>
      <c r="BP306" s="444">
        <f t="shared" si="116"/>
        <v>0</v>
      </c>
      <c r="BQ306" s="307"/>
      <c r="BR306" s="307"/>
      <c r="BS306" s="445">
        <f t="shared" si="117"/>
        <v>0</v>
      </c>
      <c r="BT306" s="442"/>
      <c r="BU306" s="443"/>
      <c r="BV306" s="444">
        <f t="shared" si="118"/>
        <v>0</v>
      </c>
      <c r="BW306" s="307"/>
      <c r="BX306" s="307"/>
      <c r="BY306" s="449">
        <f t="shared" si="119"/>
        <v>0</v>
      </c>
    </row>
    <row r="307" spans="1:77" s="308" customFormat="1" ht="12.75" customHeight="1">
      <c r="A307" s="348" t="s">
        <v>342</v>
      </c>
      <c r="B307" s="349" t="s">
        <v>180</v>
      </c>
      <c r="C307" s="349"/>
      <c r="D307" s="350">
        <v>198260</v>
      </c>
      <c r="E307" s="458">
        <v>8</v>
      </c>
      <c r="F307" s="453"/>
      <c r="G307" s="454"/>
      <c r="H307" s="439">
        <f t="shared" si="96"/>
        <v>0</v>
      </c>
      <c r="I307" s="311"/>
      <c r="J307" s="311"/>
      <c r="K307" s="441">
        <f t="shared" si="97"/>
        <v>0</v>
      </c>
      <c r="L307" s="442"/>
      <c r="M307" s="443"/>
      <c r="N307" s="444">
        <f t="shared" si="98"/>
        <v>0</v>
      </c>
      <c r="O307" s="307"/>
      <c r="P307" s="307"/>
      <c r="Q307" s="445">
        <f t="shared" si="99"/>
        <v>0</v>
      </c>
      <c r="R307" s="442"/>
      <c r="S307" s="443"/>
      <c r="T307" s="444">
        <f t="shared" si="100"/>
        <v>0</v>
      </c>
      <c r="U307" s="307"/>
      <c r="V307" s="307"/>
      <c r="W307" s="441">
        <f t="shared" si="101"/>
        <v>0</v>
      </c>
      <c r="X307" s="442"/>
      <c r="Y307" s="443"/>
      <c r="Z307" s="444">
        <f t="shared" si="102"/>
        <v>0</v>
      </c>
      <c r="AA307" s="307"/>
      <c r="AB307" s="307"/>
      <c r="AC307" s="445">
        <f t="shared" si="103"/>
        <v>0</v>
      </c>
      <c r="AD307" s="442"/>
      <c r="AE307" s="443"/>
      <c r="AF307" s="444">
        <f t="shared" si="104"/>
        <v>0</v>
      </c>
      <c r="AG307" s="307"/>
      <c r="AH307" s="307"/>
      <c r="AI307" s="445">
        <f t="shared" si="105"/>
        <v>0</v>
      </c>
      <c r="AJ307" s="446">
        <v>337</v>
      </c>
      <c r="AK307" s="443">
        <v>52089</v>
      </c>
      <c r="AL307" s="444">
        <f t="shared" si="106"/>
        <v>17553993</v>
      </c>
      <c r="AM307" s="307">
        <v>343</v>
      </c>
      <c r="AN307" s="307">
        <v>52475</v>
      </c>
      <c r="AO307" s="447">
        <f t="shared" si="107"/>
        <v>17998925</v>
      </c>
      <c r="AP307" s="448"/>
      <c r="AQ307" s="443"/>
      <c r="AR307" s="444">
        <f t="shared" si="108"/>
        <v>0</v>
      </c>
      <c r="AS307" s="307"/>
      <c r="AT307" s="307"/>
      <c r="AU307" s="441">
        <f t="shared" si="109"/>
        <v>0</v>
      </c>
      <c r="AV307" s="442"/>
      <c r="AW307" s="443"/>
      <c r="AX307" s="444">
        <f t="shared" si="110"/>
        <v>0</v>
      </c>
      <c r="AY307" s="307"/>
      <c r="AZ307" s="307"/>
      <c r="BA307" s="445">
        <f t="shared" si="111"/>
        <v>0</v>
      </c>
      <c r="BB307" s="442"/>
      <c r="BC307" s="443"/>
      <c r="BD307" s="444">
        <f t="shared" si="112"/>
        <v>0</v>
      </c>
      <c r="BE307" s="307"/>
      <c r="BF307" s="307"/>
      <c r="BG307" s="445">
        <f t="shared" si="113"/>
        <v>0</v>
      </c>
      <c r="BH307" s="442"/>
      <c r="BI307" s="443"/>
      <c r="BJ307" s="444">
        <f t="shared" si="114"/>
        <v>0</v>
      </c>
      <c r="BK307" s="307"/>
      <c r="BL307" s="307"/>
      <c r="BM307" s="445">
        <f t="shared" si="115"/>
        <v>0</v>
      </c>
      <c r="BN307" s="442"/>
      <c r="BO307" s="443"/>
      <c r="BP307" s="444">
        <f t="shared" si="116"/>
        <v>0</v>
      </c>
      <c r="BQ307" s="307"/>
      <c r="BR307" s="307"/>
      <c r="BS307" s="445">
        <f t="shared" si="117"/>
        <v>0</v>
      </c>
      <c r="BT307" s="442"/>
      <c r="BU307" s="443"/>
      <c r="BV307" s="444">
        <f t="shared" si="118"/>
        <v>0</v>
      </c>
      <c r="BW307" s="307"/>
      <c r="BX307" s="307"/>
      <c r="BY307" s="449">
        <f t="shared" si="119"/>
        <v>0</v>
      </c>
    </row>
    <row r="308" spans="1:77" s="308" customFormat="1" ht="12.75" customHeight="1">
      <c r="A308" s="348" t="s">
        <v>342</v>
      </c>
      <c r="B308" s="349" t="s">
        <v>181</v>
      </c>
      <c r="C308" s="349"/>
      <c r="D308" s="350">
        <v>198534</v>
      </c>
      <c r="E308" s="458">
        <v>8</v>
      </c>
      <c r="F308" s="453"/>
      <c r="G308" s="454"/>
      <c r="H308" s="439">
        <f t="shared" si="96"/>
        <v>0</v>
      </c>
      <c r="I308" s="311"/>
      <c r="J308" s="311"/>
      <c r="K308" s="441">
        <f t="shared" si="97"/>
        <v>0</v>
      </c>
      <c r="L308" s="442"/>
      <c r="M308" s="443"/>
      <c r="N308" s="444">
        <f t="shared" si="98"/>
        <v>0</v>
      </c>
      <c r="O308" s="307"/>
      <c r="P308" s="307"/>
      <c r="Q308" s="445">
        <f t="shared" si="99"/>
        <v>0</v>
      </c>
      <c r="R308" s="442"/>
      <c r="S308" s="443"/>
      <c r="T308" s="444">
        <f t="shared" si="100"/>
        <v>0</v>
      </c>
      <c r="U308" s="307"/>
      <c r="V308" s="307"/>
      <c r="W308" s="441">
        <f t="shared" si="101"/>
        <v>0</v>
      </c>
      <c r="X308" s="442"/>
      <c r="Y308" s="443"/>
      <c r="Z308" s="444">
        <f t="shared" si="102"/>
        <v>0</v>
      </c>
      <c r="AA308" s="307"/>
      <c r="AB308" s="307"/>
      <c r="AC308" s="445">
        <f t="shared" si="103"/>
        <v>0</v>
      </c>
      <c r="AD308" s="442"/>
      <c r="AE308" s="443"/>
      <c r="AF308" s="444">
        <f t="shared" si="104"/>
        <v>0</v>
      </c>
      <c r="AG308" s="307"/>
      <c r="AH308" s="307"/>
      <c r="AI308" s="445">
        <f t="shared" si="105"/>
        <v>0</v>
      </c>
      <c r="AJ308" s="446">
        <v>303</v>
      </c>
      <c r="AK308" s="443">
        <v>45447</v>
      </c>
      <c r="AL308" s="444">
        <f t="shared" si="106"/>
        <v>13770441</v>
      </c>
      <c r="AM308" s="307">
        <v>311</v>
      </c>
      <c r="AN308" s="307">
        <v>45787</v>
      </c>
      <c r="AO308" s="447">
        <f t="shared" si="107"/>
        <v>14239757</v>
      </c>
      <c r="AP308" s="448"/>
      <c r="AQ308" s="443"/>
      <c r="AR308" s="444">
        <f t="shared" si="108"/>
        <v>0</v>
      </c>
      <c r="AS308" s="307"/>
      <c r="AT308" s="307"/>
      <c r="AU308" s="441">
        <f t="shared" si="109"/>
        <v>0</v>
      </c>
      <c r="AV308" s="442"/>
      <c r="AW308" s="443"/>
      <c r="AX308" s="444">
        <f t="shared" si="110"/>
        <v>0</v>
      </c>
      <c r="AY308" s="307"/>
      <c r="AZ308" s="307"/>
      <c r="BA308" s="445">
        <f t="shared" si="111"/>
        <v>0</v>
      </c>
      <c r="BB308" s="442"/>
      <c r="BC308" s="443"/>
      <c r="BD308" s="444">
        <f t="shared" si="112"/>
        <v>0</v>
      </c>
      <c r="BE308" s="307"/>
      <c r="BF308" s="307"/>
      <c r="BG308" s="445">
        <f t="shared" si="113"/>
        <v>0</v>
      </c>
      <c r="BH308" s="442"/>
      <c r="BI308" s="443"/>
      <c r="BJ308" s="444">
        <f t="shared" si="114"/>
        <v>0</v>
      </c>
      <c r="BK308" s="307"/>
      <c r="BL308" s="307"/>
      <c r="BM308" s="445">
        <f t="shared" si="115"/>
        <v>0</v>
      </c>
      <c r="BN308" s="442"/>
      <c r="BO308" s="443"/>
      <c r="BP308" s="444">
        <f t="shared" si="116"/>
        <v>0</v>
      </c>
      <c r="BQ308" s="307"/>
      <c r="BR308" s="307"/>
      <c r="BS308" s="445">
        <f t="shared" si="117"/>
        <v>0</v>
      </c>
      <c r="BT308" s="442"/>
      <c r="BU308" s="443"/>
      <c r="BV308" s="444">
        <f t="shared" si="118"/>
        <v>0</v>
      </c>
      <c r="BW308" s="307"/>
      <c r="BX308" s="307"/>
      <c r="BY308" s="449">
        <f t="shared" si="119"/>
        <v>0</v>
      </c>
    </row>
    <row r="309" spans="1:77" s="308" customFormat="1" ht="12.75" customHeight="1">
      <c r="A309" s="348" t="s">
        <v>342</v>
      </c>
      <c r="B309" s="349" t="s">
        <v>182</v>
      </c>
      <c r="C309" s="349"/>
      <c r="D309" s="350">
        <v>198552</v>
      </c>
      <c r="E309" s="458">
        <v>8</v>
      </c>
      <c r="F309" s="453"/>
      <c r="G309" s="454"/>
      <c r="H309" s="439">
        <f t="shared" si="96"/>
        <v>0</v>
      </c>
      <c r="I309" s="311"/>
      <c r="J309" s="311"/>
      <c r="K309" s="441">
        <f t="shared" si="97"/>
        <v>0</v>
      </c>
      <c r="L309" s="442"/>
      <c r="M309" s="443"/>
      <c r="N309" s="444">
        <f t="shared" si="98"/>
        <v>0</v>
      </c>
      <c r="O309" s="307"/>
      <c r="P309" s="307"/>
      <c r="Q309" s="445">
        <f t="shared" si="99"/>
        <v>0</v>
      </c>
      <c r="R309" s="442"/>
      <c r="S309" s="443"/>
      <c r="T309" s="444">
        <f t="shared" si="100"/>
        <v>0</v>
      </c>
      <c r="U309" s="307"/>
      <c r="V309" s="307"/>
      <c r="W309" s="441">
        <f t="shared" si="101"/>
        <v>0</v>
      </c>
      <c r="X309" s="442"/>
      <c r="Y309" s="443"/>
      <c r="Z309" s="444">
        <f t="shared" si="102"/>
        <v>0</v>
      </c>
      <c r="AA309" s="307"/>
      <c r="AB309" s="307"/>
      <c r="AC309" s="445">
        <f t="shared" si="103"/>
        <v>0</v>
      </c>
      <c r="AD309" s="442"/>
      <c r="AE309" s="443"/>
      <c r="AF309" s="444">
        <f t="shared" si="104"/>
        <v>0</v>
      </c>
      <c r="AG309" s="307"/>
      <c r="AH309" s="307"/>
      <c r="AI309" s="445">
        <f t="shared" si="105"/>
        <v>0</v>
      </c>
      <c r="AJ309" s="446">
        <v>198</v>
      </c>
      <c r="AK309" s="443">
        <v>43624</v>
      </c>
      <c r="AL309" s="444">
        <f t="shared" si="106"/>
        <v>8637552</v>
      </c>
      <c r="AM309" s="307">
        <v>214</v>
      </c>
      <c r="AN309" s="307">
        <v>43172</v>
      </c>
      <c r="AO309" s="447">
        <f t="shared" si="107"/>
        <v>9238808</v>
      </c>
      <c r="AP309" s="448"/>
      <c r="AQ309" s="443"/>
      <c r="AR309" s="444">
        <f t="shared" si="108"/>
        <v>0</v>
      </c>
      <c r="AS309" s="307"/>
      <c r="AT309" s="307"/>
      <c r="AU309" s="441">
        <f t="shared" si="109"/>
        <v>0</v>
      </c>
      <c r="AV309" s="442"/>
      <c r="AW309" s="443"/>
      <c r="AX309" s="444">
        <f t="shared" si="110"/>
        <v>0</v>
      </c>
      <c r="AY309" s="307"/>
      <c r="AZ309" s="307"/>
      <c r="BA309" s="445">
        <f t="shared" si="111"/>
        <v>0</v>
      </c>
      <c r="BB309" s="442"/>
      <c r="BC309" s="443"/>
      <c r="BD309" s="444">
        <f t="shared" si="112"/>
        <v>0</v>
      </c>
      <c r="BE309" s="307"/>
      <c r="BF309" s="307"/>
      <c r="BG309" s="445">
        <f t="shared" si="113"/>
        <v>0</v>
      </c>
      <c r="BH309" s="442"/>
      <c r="BI309" s="443"/>
      <c r="BJ309" s="444">
        <f t="shared" si="114"/>
        <v>0</v>
      </c>
      <c r="BK309" s="307"/>
      <c r="BL309" s="307"/>
      <c r="BM309" s="445">
        <f t="shared" si="115"/>
        <v>0</v>
      </c>
      <c r="BN309" s="442"/>
      <c r="BO309" s="443"/>
      <c r="BP309" s="444">
        <f t="shared" si="116"/>
        <v>0</v>
      </c>
      <c r="BQ309" s="307"/>
      <c r="BR309" s="307"/>
      <c r="BS309" s="445">
        <f t="shared" si="117"/>
        <v>0</v>
      </c>
      <c r="BT309" s="442"/>
      <c r="BU309" s="443"/>
      <c r="BV309" s="444">
        <f t="shared" si="118"/>
        <v>0</v>
      </c>
      <c r="BW309" s="307"/>
      <c r="BX309" s="307"/>
      <c r="BY309" s="449">
        <f t="shared" si="119"/>
        <v>0</v>
      </c>
    </row>
    <row r="310" spans="1:77" s="308" customFormat="1" ht="12.75" customHeight="1">
      <c r="A310" s="348" t="s">
        <v>342</v>
      </c>
      <c r="B310" s="408" t="s">
        <v>197</v>
      </c>
      <c r="C310" s="537" t="s">
        <v>1120</v>
      </c>
      <c r="D310" s="350">
        <v>198570</v>
      </c>
      <c r="E310" s="538">
        <v>8</v>
      </c>
      <c r="F310" s="453"/>
      <c r="G310" s="454"/>
      <c r="H310" s="439">
        <f t="shared" si="96"/>
        <v>0</v>
      </c>
      <c r="I310" s="311"/>
      <c r="J310" s="311"/>
      <c r="K310" s="441">
        <f t="shared" si="97"/>
        <v>0</v>
      </c>
      <c r="L310" s="442"/>
      <c r="M310" s="443"/>
      <c r="N310" s="444">
        <f t="shared" si="98"/>
        <v>0</v>
      </c>
      <c r="O310" s="307"/>
      <c r="P310" s="307"/>
      <c r="Q310" s="445">
        <f t="shared" si="99"/>
        <v>0</v>
      </c>
      <c r="R310" s="442"/>
      <c r="S310" s="443"/>
      <c r="T310" s="444">
        <f t="shared" si="100"/>
        <v>0</v>
      </c>
      <c r="U310" s="307"/>
      <c r="V310" s="307"/>
      <c r="W310" s="441">
        <f t="shared" si="101"/>
        <v>0</v>
      </c>
      <c r="X310" s="442"/>
      <c r="Y310" s="443"/>
      <c r="Z310" s="444">
        <f t="shared" si="102"/>
        <v>0</v>
      </c>
      <c r="AA310" s="307"/>
      <c r="AB310" s="307"/>
      <c r="AC310" s="445">
        <f t="shared" si="103"/>
        <v>0</v>
      </c>
      <c r="AD310" s="442"/>
      <c r="AE310" s="443"/>
      <c r="AF310" s="444">
        <f t="shared" si="104"/>
        <v>0</v>
      </c>
      <c r="AG310" s="307"/>
      <c r="AH310" s="307"/>
      <c r="AI310" s="445">
        <f t="shared" si="105"/>
        <v>0</v>
      </c>
      <c r="AJ310" s="446">
        <v>135</v>
      </c>
      <c r="AK310" s="443">
        <v>50287</v>
      </c>
      <c r="AL310" s="444">
        <f t="shared" si="106"/>
        <v>6788745</v>
      </c>
      <c r="AM310" s="307">
        <v>161</v>
      </c>
      <c r="AN310" s="307">
        <v>50329</v>
      </c>
      <c r="AO310" s="447">
        <f t="shared" si="107"/>
        <v>8102969</v>
      </c>
      <c r="AP310" s="448"/>
      <c r="AQ310" s="443"/>
      <c r="AR310" s="444">
        <f t="shared" si="108"/>
        <v>0</v>
      </c>
      <c r="AS310" s="307"/>
      <c r="AT310" s="307"/>
      <c r="AU310" s="441">
        <f t="shared" si="109"/>
        <v>0</v>
      </c>
      <c r="AV310" s="442"/>
      <c r="AW310" s="443"/>
      <c r="AX310" s="444">
        <f t="shared" si="110"/>
        <v>0</v>
      </c>
      <c r="AY310" s="307"/>
      <c r="AZ310" s="307"/>
      <c r="BA310" s="445">
        <f t="shared" si="111"/>
        <v>0</v>
      </c>
      <c r="BB310" s="442"/>
      <c r="BC310" s="443"/>
      <c r="BD310" s="444">
        <f t="shared" si="112"/>
        <v>0</v>
      </c>
      <c r="BE310" s="307"/>
      <c r="BF310" s="307"/>
      <c r="BG310" s="445">
        <f t="shared" si="113"/>
        <v>0</v>
      </c>
      <c r="BH310" s="442"/>
      <c r="BI310" s="443"/>
      <c r="BJ310" s="444">
        <f t="shared" si="114"/>
        <v>0</v>
      </c>
      <c r="BK310" s="307"/>
      <c r="BL310" s="307"/>
      <c r="BM310" s="445">
        <f t="shared" si="115"/>
        <v>0</v>
      </c>
      <c r="BN310" s="442"/>
      <c r="BO310" s="443"/>
      <c r="BP310" s="444">
        <f t="shared" si="116"/>
        <v>0</v>
      </c>
      <c r="BQ310" s="307"/>
      <c r="BR310" s="307"/>
      <c r="BS310" s="445">
        <f t="shared" si="117"/>
        <v>0</v>
      </c>
      <c r="BT310" s="442"/>
      <c r="BU310" s="443"/>
      <c r="BV310" s="444">
        <f t="shared" si="118"/>
        <v>0</v>
      </c>
      <c r="BW310" s="307"/>
      <c r="BX310" s="307"/>
      <c r="BY310" s="449">
        <f t="shared" si="119"/>
        <v>0</v>
      </c>
    </row>
    <row r="311" spans="1:77" s="308" customFormat="1" ht="12.75" customHeight="1">
      <c r="A311" s="348" t="s">
        <v>342</v>
      </c>
      <c r="B311" s="349" t="s">
        <v>183</v>
      </c>
      <c r="C311" s="349"/>
      <c r="D311" s="350">
        <v>198622</v>
      </c>
      <c r="E311" s="458">
        <v>8</v>
      </c>
      <c r="F311" s="453"/>
      <c r="G311" s="454"/>
      <c r="H311" s="439">
        <f t="shared" si="96"/>
        <v>0</v>
      </c>
      <c r="I311" s="311"/>
      <c r="J311" s="311"/>
      <c r="K311" s="441">
        <f t="shared" si="97"/>
        <v>0</v>
      </c>
      <c r="L311" s="442"/>
      <c r="M311" s="443"/>
      <c r="N311" s="444">
        <f t="shared" si="98"/>
        <v>0</v>
      </c>
      <c r="O311" s="307"/>
      <c r="P311" s="307"/>
      <c r="Q311" s="445">
        <f t="shared" si="99"/>
        <v>0</v>
      </c>
      <c r="R311" s="442"/>
      <c r="S311" s="443"/>
      <c r="T311" s="444">
        <f t="shared" si="100"/>
        <v>0</v>
      </c>
      <c r="U311" s="307"/>
      <c r="V311" s="307"/>
      <c r="W311" s="441">
        <f t="shared" si="101"/>
        <v>0</v>
      </c>
      <c r="X311" s="442"/>
      <c r="Y311" s="443"/>
      <c r="Z311" s="444">
        <f t="shared" si="102"/>
        <v>0</v>
      </c>
      <c r="AA311" s="307"/>
      <c r="AB311" s="307"/>
      <c r="AC311" s="445">
        <f t="shared" si="103"/>
        <v>0</v>
      </c>
      <c r="AD311" s="442"/>
      <c r="AE311" s="443"/>
      <c r="AF311" s="444">
        <f t="shared" si="104"/>
        <v>0</v>
      </c>
      <c r="AG311" s="307"/>
      <c r="AH311" s="307"/>
      <c r="AI311" s="445">
        <f t="shared" si="105"/>
        <v>0</v>
      </c>
      <c r="AJ311" s="446">
        <v>289</v>
      </c>
      <c r="AK311" s="443">
        <v>50893</v>
      </c>
      <c r="AL311" s="444">
        <f t="shared" si="106"/>
        <v>14708077</v>
      </c>
      <c r="AM311" s="307">
        <v>324</v>
      </c>
      <c r="AN311" s="307">
        <v>49631</v>
      </c>
      <c r="AO311" s="447">
        <f t="shared" si="107"/>
        <v>16080444</v>
      </c>
      <c r="AP311" s="448"/>
      <c r="AQ311" s="443"/>
      <c r="AR311" s="444">
        <f t="shared" si="108"/>
        <v>0</v>
      </c>
      <c r="AS311" s="307"/>
      <c r="AT311" s="307"/>
      <c r="AU311" s="441">
        <f t="shared" si="109"/>
        <v>0</v>
      </c>
      <c r="AV311" s="442"/>
      <c r="AW311" s="443"/>
      <c r="AX311" s="444">
        <f t="shared" si="110"/>
        <v>0</v>
      </c>
      <c r="AY311" s="307"/>
      <c r="AZ311" s="307"/>
      <c r="BA311" s="445">
        <f t="shared" si="111"/>
        <v>0</v>
      </c>
      <c r="BB311" s="442"/>
      <c r="BC311" s="443"/>
      <c r="BD311" s="444">
        <f t="shared" si="112"/>
        <v>0</v>
      </c>
      <c r="BE311" s="307"/>
      <c r="BF311" s="307"/>
      <c r="BG311" s="445">
        <f t="shared" si="113"/>
        <v>0</v>
      </c>
      <c r="BH311" s="442"/>
      <c r="BI311" s="443"/>
      <c r="BJ311" s="444">
        <f t="shared" si="114"/>
        <v>0</v>
      </c>
      <c r="BK311" s="307"/>
      <c r="BL311" s="307"/>
      <c r="BM311" s="445">
        <f t="shared" si="115"/>
        <v>0</v>
      </c>
      <c r="BN311" s="442"/>
      <c r="BO311" s="443"/>
      <c r="BP311" s="444">
        <f t="shared" si="116"/>
        <v>0</v>
      </c>
      <c r="BQ311" s="307"/>
      <c r="BR311" s="307"/>
      <c r="BS311" s="445">
        <f t="shared" si="117"/>
        <v>0</v>
      </c>
      <c r="BT311" s="442"/>
      <c r="BU311" s="443"/>
      <c r="BV311" s="444">
        <f t="shared" si="118"/>
        <v>0</v>
      </c>
      <c r="BW311" s="307"/>
      <c r="BX311" s="307"/>
      <c r="BY311" s="449">
        <f t="shared" si="119"/>
        <v>0</v>
      </c>
    </row>
    <row r="312" spans="1:77" s="308" customFormat="1" ht="12.75" customHeight="1">
      <c r="A312" s="348" t="s">
        <v>342</v>
      </c>
      <c r="B312" s="349" t="s">
        <v>184</v>
      </c>
      <c r="C312" s="349"/>
      <c r="D312" s="350">
        <v>199333</v>
      </c>
      <c r="E312" s="458">
        <v>8</v>
      </c>
      <c r="F312" s="453"/>
      <c r="G312" s="454"/>
      <c r="H312" s="439">
        <f t="shared" si="96"/>
        <v>0</v>
      </c>
      <c r="I312" s="311"/>
      <c r="J312" s="311"/>
      <c r="K312" s="441">
        <f t="shared" si="97"/>
        <v>0</v>
      </c>
      <c r="L312" s="442"/>
      <c r="M312" s="443"/>
      <c r="N312" s="444">
        <f t="shared" si="98"/>
        <v>0</v>
      </c>
      <c r="O312" s="307"/>
      <c r="P312" s="307"/>
      <c r="Q312" s="445">
        <f t="shared" si="99"/>
        <v>0</v>
      </c>
      <c r="R312" s="442"/>
      <c r="S312" s="443"/>
      <c r="T312" s="444">
        <f t="shared" si="100"/>
        <v>0</v>
      </c>
      <c r="U312" s="307"/>
      <c r="V312" s="307"/>
      <c r="W312" s="441">
        <f t="shared" si="101"/>
        <v>0</v>
      </c>
      <c r="X312" s="442"/>
      <c r="Y312" s="443"/>
      <c r="Z312" s="444">
        <f t="shared" si="102"/>
        <v>0</v>
      </c>
      <c r="AA312" s="307"/>
      <c r="AB312" s="307"/>
      <c r="AC312" s="445">
        <f t="shared" si="103"/>
        <v>0</v>
      </c>
      <c r="AD312" s="442"/>
      <c r="AE312" s="443"/>
      <c r="AF312" s="444">
        <f t="shared" si="104"/>
        <v>0</v>
      </c>
      <c r="AG312" s="307"/>
      <c r="AH312" s="307"/>
      <c r="AI312" s="445">
        <f t="shared" si="105"/>
        <v>0</v>
      </c>
      <c r="AJ312" s="446">
        <v>196</v>
      </c>
      <c r="AK312" s="443">
        <v>47072</v>
      </c>
      <c r="AL312" s="444">
        <f t="shared" si="106"/>
        <v>9226112</v>
      </c>
      <c r="AM312" s="307">
        <v>226</v>
      </c>
      <c r="AN312" s="307">
        <v>47137</v>
      </c>
      <c r="AO312" s="447">
        <f t="shared" si="107"/>
        <v>10652962</v>
      </c>
      <c r="AP312" s="448"/>
      <c r="AQ312" s="443"/>
      <c r="AR312" s="444">
        <f t="shared" si="108"/>
        <v>0</v>
      </c>
      <c r="AS312" s="307"/>
      <c r="AT312" s="307"/>
      <c r="AU312" s="441">
        <f t="shared" si="109"/>
        <v>0</v>
      </c>
      <c r="AV312" s="442"/>
      <c r="AW312" s="443"/>
      <c r="AX312" s="444">
        <f t="shared" si="110"/>
        <v>0</v>
      </c>
      <c r="AY312" s="307"/>
      <c r="AZ312" s="307"/>
      <c r="BA312" s="445">
        <f t="shared" si="111"/>
        <v>0</v>
      </c>
      <c r="BB312" s="442"/>
      <c r="BC312" s="443"/>
      <c r="BD312" s="444">
        <f t="shared" si="112"/>
        <v>0</v>
      </c>
      <c r="BE312" s="307"/>
      <c r="BF312" s="307"/>
      <c r="BG312" s="445">
        <f t="shared" si="113"/>
        <v>0</v>
      </c>
      <c r="BH312" s="442"/>
      <c r="BI312" s="443"/>
      <c r="BJ312" s="444">
        <f t="shared" si="114"/>
        <v>0</v>
      </c>
      <c r="BK312" s="307"/>
      <c r="BL312" s="307"/>
      <c r="BM312" s="445">
        <f t="shared" si="115"/>
        <v>0</v>
      </c>
      <c r="BN312" s="442"/>
      <c r="BO312" s="443"/>
      <c r="BP312" s="444">
        <f t="shared" si="116"/>
        <v>0</v>
      </c>
      <c r="BQ312" s="307"/>
      <c r="BR312" s="307"/>
      <c r="BS312" s="445">
        <f t="shared" si="117"/>
        <v>0</v>
      </c>
      <c r="BT312" s="442"/>
      <c r="BU312" s="443"/>
      <c r="BV312" s="444">
        <f t="shared" si="118"/>
        <v>0</v>
      </c>
      <c r="BW312" s="307"/>
      <c r="BX312" s="307"/>
      <c r="BY312" s="449">
        <f t="shared" si="119"/>
        <v>0</v>
      </c>
    </row>
    <row r="313" spans="1:77" s="308" customFormat="1" ht="12.75" customHeight="1">
      <c r="A313" s="351" t="s">
        <v>342</v>
      </c>
      <c r="B313" s="335" t="s">
        <v>209</v>
      </c>
      <c r="C313" s="335"/>
      <c r="D313" s="334">
        <v>199494</v>
      </c>
      <c r="E313" s="459">
        <v>8</v>
      </c>
      <c r="F313" s="453"/>
      <c r="G313" s="454"/>
      <c r="H313" s="439">
        <f t="shared" si="96"/>
        <v>0</v>
      </c>
      <c r="I313" s="311"/>
      <c r="J313" s="311"/>
      <c r="K313" s="441">
        <f t="shared" si="97"/>
        <v>0</v>
      </c>
      <c r="L313" s="442"/>
      <c r="M313" s="443"/>
      <c r="N313" s="444">
        <f t="shared" si="98"/>
        <v>0</v>
      </c>
      <c r="O313" s="307"/>
      <c r="P313" s="307"/>
      <c r="Q313" s="445">
        <f t="shared" si="99"/>
        <v>0</v>
      </c>
      <c r="R313" s="442"/>
      <c r="S313" s="443"/>
      <c r="T313" s="444">
        <f t="shared" si="100"/>
        <v>0</v>
      </c>
      <c r="U313" s="307"/>
      <c r="V313" s="307"/>
      <c r="W313" s="441">
        <f t="shared" si="101"/>
        <v>0</v>
      </c>
      <c r="X313" s="442"/>
      <c r="Y313" s="443"/>
      <c r="Z313" s="444">
        <f t="shared" si="102"/>
        <v>0</v>
      </c>
      <c r="AA313" s="307"/>
      <c r="AB313" s="307"/>
      <c r="AC313" s="445">
        <f t="shared" si="103"/>
        <v>0</v>
      </c>
      <c r="AD313" s="442"/>
      <c r="AE313" s="443"/>
      <c r="AF313" s="444">
        <f t="shared" si="104"/>
        <v>0</v>
      </c>
      <c r="AG313" s="307"/>
      <c r="AH313" s="307"/>
      <c r="AI313" s="445">
        <f t="shared" si="105"/>
        <v>0</v>
      </c>
      <c r="AJ313" s="446">
        <v>145</v>
      </c>
      <c r="AK313" s="443">
        <v>54021</v>
      </c>
      <c r="AL313" s="444">
        <f t="shared" si="106"/>
        <v>7833045</v>
      </c>
      <c r="AM313" s="307">
        <v>157</v>
      </c>
      <c r="AN313" s="307">
        <v>54252</v>
      </c>
      <c r="AO313" s="447">
        <f t="shared" si="107"/>
        <v>8517564</v>
      </c>
      <c r="AP313" s="448"/>
      <c r="AQ313" s="443"/>
      <c r="AR313" s="444">
        <f t="shared" si="108"/>
        <v>0</v>
      </c>
      <c r="AS313" s="307"/>
      <c r="AT313" s="307"/>
      <c r="AU313" s="441">
        <f t="shared" si="109"/>
        <v>0</v>
      </c>
      <c r="AV313" s="442"/>
      <c r="AW313" s="443"/>
      <c r="AX313" s="444">
        <f t="shared" si="110"/>
        <v>0</v>
      </c>
      <c r="AY313" s="307"/>
      <c r="AZ313" s="307"/>
      <c r="BA313" s="445">
        <f t="shared" si="111"/>
        <v>0</v>
      </c>
      <c r="BB313" s="442"/>
      <c r="BC313" s="443"/>
      <c r="BD313" s="444">
        <f t="shared" si="112"/>
        <v>0</v>
      </c>
      <c r="BE313" s="307"/>
      <c r="BF313" s="307"/>
      <c r="BG313" s="445">
        <f t="shared" si="113"/>
        <v>0</v>
      </c>
      <c r="BH313" s="442"/>
      <c r="BI313" s="443"/>
      <c r="BJ313" s="444">
        <f t="shared" si="114"/>
        <v>0</v>
      </c>
      <c r="BK313" s="307"/>
      <c r="BL313" s="307"/>
      <c r="BM313" s="445">
        <f t="shared" si="115"/>
        <v>0</v>
      </c>
      <c r="BN313" s="442"/>
      <c r="BO313" s="443"/>
      <c r="BP313" s="444">
        <f t="shared" si="116"/>
        <v>0</v>
      </c>
      <c r="BQ313" s="307"/>
      <c r="BR313" s="307"/>
      <c r="BS313" s="445">
        <f t="shared" si="117"/>
        <v>0</v>
      </c>
      <c r="BT313" s="442"/>
      <c r="BU313" s="443"/>
      <c r="BV313" s="444">
        <f t="shared" si="118"/>
        <v>0</v>
      </c>
      <c r="BW313" s="307"/>
      <c r="BX313" s="307"/>
      <c r="BY313" s="449">
        <f t="shared" si="119"/>
        <v>0</v>
      </c>
    </row>
    <row r="314" spans="1:77" s="308" customFormat="1" ht="12.75" customHeight="1">
      <c r="A314" s="348" t="s">
        <v>342</v>
      </c>
      <c r="B314" s="349" t="s">
        <v>185</v>
      </c>
      <c r="C314" s="349"/>
      <c r="D314" s="350">
        <v>199856</v>
      </c>
      <c r="E314" s="458">
        <v>8</v>
      </c>
      <c r="F314" s="453"/>
      <c r="G314" s="454"/>
      <c r="H314" s="439">
        <f t="shared" si="96"/>
        <v>0</v>
      </c>
      <c r="I314" s="311"/>
      <c r="J314" s="311"/>
      <c r="K314" s="441">
        <f t="shared" si="97"/>
        <v>0</v>
      </c>
      <c r="L314" s="442"/>
      <c r="M314" s="443"/>
      <c r="N314" s="444">
        <f t="shared" si="98"/>
        <v>0</v>
      </c>
      <c r="O314" s="307"/>
      <c r="P314" s="307"/>
      <c r="Q314" s="445">
        <f t="shared" si="99"/>
        <v>0</v>
      </c>
      <c r="R314" s="442"/>
      <c r="S314" s="443"/>
      <c r="T314" s="444">
        <f t="shared" si="100"/>
        <v>0</v>
      </c>
      <c r="U314" s="307"/>
      <c r="V314" s="307"/>
      <c r="W314" s="441">
        <f t="shared" si="101"/>
        <v>0</v>
      </c>
      <c r="X314" s="442"/>
      <c r="Y314" s="443"/>
      <c r="Z314" s="444">
        <f t="shared" si="102"/>
        <v>0</v>
      </c>
      <c r="AA314" s="307"/>
      <c r="AB314" s="307"/>
      <c r="AC314" s="445">
        <f t="shared" si="103"/>
        <v>0</v>
      </c>
      <c r="AD314" s="442"/>
      <c r="AE314" s="443"/>
      <c r="AF314" s="444">
        <f t="shared" si="104"/>
        <v>0</v>
      </c>
      <c r="AG314" s="307"/>
      <c r="AH314" s="307"/>
      <c r="AI314" s="445">
        <f t="shared" si="105"/>
        <v>0</v>
      </c>
      <c r="AJ314" s="446">
        <v>453</v>
      </c>
      <c r="AK314" s="443">
        <v>45085</v>
      </c>
      <c r="AL314" s="444">
        <f t="shared" si="106"/>
        <v>20423505</v>
      </c>
      <c r="AM314" s="307">
        <v>503</v>
      </c>
      <c r="AN314" s="307">
        <v>44216</v>
      </c>
      <c r="AO314" s="447">
        <f t="shared" si="107"/>
        <v>22240648</v>
      </c>
      <c r="AP314" s="448"/>
      <c r="AQ314" s="443"/>
      <c r="AR314" s="444">
        <f t="shared" si="108"/>
        <v>0</v>
      </c>
      <c r="AS314" s="307"/>
      <c r="AT314" s="307"/>
      <c r="AU314" s="441">
        <f t="shared" si="109"/>
        <v>0</v>
      </c>
      <c r="AV314" s="442"/>
      <c r="AW314" s="443"/>
      <c r="AX314" s="444">
        <f t="shared" si="110"/>
        <v>0</v>
      </c>
      <c r="AY314" s="307"/>
      <c r="AZ314" s="307"/>
      <c r="BA314" s="445">
        <f t="shared" si="111"/>
        <v>0</v>
      </c>
      <c r="BB314" s="442"/>
      <c r="BC314" s="443"/>
      <c r="BD314" s="444">
        <f t="shared" si="112"/>
        <v>0</v>
      </c>
      <c r="BE314" s="307"/>
      <c r="BF314" s="307"/>
      <c r="BG314" s="445">
        <f t="shared" si="113"/>
        <v>0</v>
      </c>
      <c r="BH314" s="442"/>
      <c r="BI314" s="443"/>
      <c r="BJ314" s="444">
        <f t="shared" si="114"/>
        <v>0</v>
      </c>
      <c r="BK314" s="307"/>
      <c r="BL314" s="307"/>
      <c r="BM314" s="445">
        <f t="shared" si="115"/>
        <v>0</v>
      </c>
      <c r="BN314" s="442"/>
      <c r="BO314" s="443"/>
      <c r="BP314" s="444">
        <f t="shared" si="116"/>
        <v>0</v>
      </c>
      <c r="BQ314" s="307"/>
      <c r="BR314" s="307"/>
      <c r="BS314" s="445">
        <f t="shared" si="117"/>
        <v>0</v>
      </c>
      <c r="BT314" s="442"/>
      <c r="BU314" s="443"/>
      <c r="BV314" s="444">
        <f t="shared" si="118"/>
        <v>0</v>
      </c>
      <c r="BW314" s="307"/>
      <c r="BX314" s="307"/>
      <c r="BY314" s="449">
        <f t="shared" si="119"/>
        <v>0</v>
      </c>
    </row>
    <row r="315" spans="1:77" s="308" customFormat="1" ht="12.75" customHeight="1">
      <c r="A315" s="348" t="s">
        <v>342</v>
      </c>
      <c r="B315" s="349" t="s">
        <v>186</v>
      </c>
      <c r="C315" s="349"/>
      <c r="D315" s="350">
        <v>199786</v>
      </c>
      <c r="E315" s="458">
        <v>9</v>
      </c>
      <c r="F315" s="453"/>
      <c r="G315" s="454"/>
      <c r="H315" s="439">
        <f t="shared" si="96"/>
        <v>0</v>
      </c>
      <c r="I315" s="311"/>
      <c r="J315" s="311"/>
      <c r="K315" s="441">
        <f t="shared" si="97"/>
        <v>0</v>
      </c>
      <c r="L315" s="442"/>
      <c r="M315" s="443"/>
      <c r="N315" s="444">
        <f t="shared" si="98"/>
        <v>0</v>
      </c>
      <c r="O315" s="307"/>
      <c r="P315" s="307"/>
      <c r="Q315" s="445">
        <f t="shared" si="99"/>
        <v>0</v>
      </c>
      <c r="R315" s="442"/>
      <c r="S315" s="443"/>
      <c r="T315" s="444">
        <f t="shared" si="100"/>
        <v>0</v>
      </c>
      <c r="U315" s="307"/>
      <c r="V315" s="307"/>
      <c r="W315" s="441">
        <f t="shared" si="101"/>
        <v>0</v>
      </c>
      <c r="X315" s="442"/>
      <c r="Y315" s="443"/>
      <c r="Z315" s="444">
        <f t="shared" si="102"/>
        <v>0</v>
      </c>
      <c r="AA315" s="307"/>
      <c r="AB315" s="307"/>
      <c r="AC315" s="445">
        <f t="shared" si="103"/>
        <v>0</v>
      </c>
      <c r="AD315" s="442"/>
      <c r="AE315" s="443"/>
      <c r="AF315" s="444">
        <f t="shared" si="104"/>
        <v>0</v>
      </c>
      <c r="AG315" s="307"/>
      <c r="AH315" s="307"/>
      <c r="AI315" s="445">
        <f t="shared" si="105"/>
        <v>0</v>
      </c>
      <c r="AJ315" s="446">
        <v>110</v>
      </c>
      <c r="AK315" s="443">
        <v>48587</v>
      </c>
      <c r="AL315" s="444">
        <f t="shared" si="106"/>
        <v>5344570</v>
      </c>
      <c r="AM315" s="307">
        <v>111</v>
      </c>
      <c r="AN315" s="307">
        <v>48158</v>
      </c>
      <c r="AO315" s="447">
        <f t="shared" si="107"/>
        <v>5345538</v>
      </c>
      <c r="AP315" s="448"/>
      <c r="AQ315" s="443"/>
      <c r="AR315" s="444">
        <f t="shared" si="108"/>
        <v>0</v>
      </c>
      <c r="AS315" s="307"/>
      <c r="AT315" s="307"/>
      <c r="AU315" s="441">
        <f t="shared" si="109"/>
        <v>0</v>
      </c>
      <c r="AV315" s="442"/>
      <c r="AW315" s="443"/>
      <c r="AX315" s="444">
        <f t="shared" si="110"/>
        <v>0</v>
      </c>
      <c r="AY315" s="307"/>
      <c r="AZ315" s="307"/>
      <c r="BA315" s="445">
        <f t="shared" si="111"/>
        <v>0</v>
      </c>
      <c r="BB315" s="442"/>
      <c r="BC315" s="443"/>
      <c r="BD315" s="444">
        <f t="shared" si="112"/>
        <v>0</v>
      </c>
      <c r="BE315" s="307"/>
      <c r="BF315" s="307"/>
      <c r="BG315" s="445">
        <f t="shared" si="113"/>
        <v>0</v>
      </c>
      <c r="BH315" s="442"/>
      <c r="BI315" s="443"/>
      <c r="BJ315" s="444">
        <f t="shared" si="114"/>
        <v>0</v>
      </c>
      <c r="BK315" s="307"/>
      <c r="BL315" s="307"/>
      <c r="BM315" s="445">
        <f t="shared" si="115"/>
        <v>0</v>
      </c>
      <c r="BN315" s="442"/>
      <c r="BO315" s="443"/>
      <c r="BP315" s="444">
        <f t="shared" si="116"/>
        <v>0</v>
      </c>
      <c r="BQ315" s="307"/>
      <c r="BR315" s="307"/>
      <c r="BS315" s="445">
        <f t="shared" si="117"/>
        <v>0</v>
      </c>
      <c r="BT315" s="442"/>
      <c r="BU315" s="443"/>
      <c r="BV315" s="444">
        <f t="shared" si="118"/>
        <v>0</v>
      </c>
      <c r="BW315" s="307"/>
      <c r="BX315" s="307"/>
      <c r="BY315" s="449">
        <f t="shared" si="119"/>
        <v>0</v>
      </c>
    </row>
    <row r="316" spans="1:77" s="308" customFormat="1" ht="12.75" customHeight="1">
      <c r="A316" s="348" t="s">
        <v>342</v>
      </c>
      <c r="B316" s="349" t="s">
        <v>189</v>
      </c>
      <c r="C316" s="349"/>
      <c r="D316" s="350">
        <v>198118</v>
      </c>
      <c r="E316" s="458">
        <v>9</v>
      </c>
      <c r="F316" s="453"/>
      <c r="G316" s="454"/>
      <c r="H316" s="439">
        <f t="shared" si="96"/>
        <v>0</v>
      </c>
      <c r="I316" s="311"/>
      <c r="J316" s="311"/>
      <c r="K316" s="441">
        <f t="shared" si="97"/>
        <v>0</v>
      </c>
      <c r="L316" s="442"/>
      <c r="M316" s="443"/>
      <c r="N316" s="444">
        <f t="shared" si="98"/>
        <v>0</v>
      </c>
      <c r="O316" s="307"/>
      <c r="P316" s="307"/>
      <c r="Q316" s="445">
        <f t="shared" si="99"/>
        <v>0</v>
      </c>
      <c r="R316" s="442"/>
      <c r="S316" s="443"/>
      <c r="T316" s="444">
        <f t="shared" si="100"/>
        <v>0</v>
      </c>
      <c r="U316" s="307"/>
      <c r="V316" s="307"/>
      <c r="W316" s="441">
        <f t="shared" si="101"/>
        <v>0</v>
      </c>
      <c r="X316" s="442"/>
      <c r="Y316" s="443"/>
      <c r="Z316" s="444">
        <f t="shared" si="102"/>
        <v>0</v>
      </c>
      <c r="AA316" s="307"/>
      <c r="AB316" s="307"/>
      <c r="AC316" s="445">
        <f t="shared" si="103"/>
        <v>0</v>
      </c>
      <c r="AD316" s="442"/>
      <c r="AE316" s="443"/>
      <c r="AF316" s="444">
        <f t="shared" si="104"/>
        <v>0</v>
      </c>
      <c r="AG316" s="307"/>
      <c r="AH316" s="307"/>
      <c r="AI316" s="445">
        <f t="shared" si="105"/>
        <v>0</v>
      </c>
      <c r="AJ316" s="446">
        <v>138</v>
      </c>
      <c r="AK316" s="443">
        <v>43482</v>
      </c>
      <c r="AL316" s="444">
        <f t="shared" si="106"/>
        <v>6000516</v>
      </c>
      <c r="AM316" s="307">
        <v>136</v>
      </c>
      <c r="AN316" s="307">
        <v>44230</v>
      </c>
      <c r="AO316" s="447">
        <f t="shared" si="107"/>
        <v>6015280</v>
      </c>
      <c r="AP316" s="448"/>
      <c r="AQ316" s="443"/>
      <c r="AR316" s="444">
        <f t="shared" si="108"/>
        <v>0</v>
      </c>
      <c r="AS316" s="307"/>
      <c r="AT316" s="307"/>
      <c r="AU316" s="441">
        <f t="shared" si="109"/>
        <v>0</v>
      </c>
      <c r="AV316" s="442"/>
      <c r="AW316" s="443"/>
      <c r="AX316" s="444">
        <f t="shared" si="110"/>
        <v>0</v>
      </c>
      <c r="AY316" s="307"/>
      <c r="AZ316" s="307"/>
      <c r="BA316" s="445">
        <f t="shared" si="111"/>
        <v>0</v>
      </c>
      <c r="BB316" s="442"/>
      <c r="BC316" s="443"/>
      <c r="BD316" s="444">
        <f t="shared" si="112"/>
        <v>0</v>
      </c>
      <c r="BE316" s="307"/>
      <c r="BF316" s="307"/>
      <c r="BG316" s="445">
        <f t="shared" si="113"/>
        <v>0</v>
      </c>
      <c r="BH316" s="442"/>
      <c r="BI316" s="443"/>
      <c r="BJ316" s="444">
        <f t="shared" si="114"/>
        <v>0</v>
      </c>
      <c r="BK316" s="307"/>
      <c r="BL316" s="307"/>
      <c r="BM316" s="445">
        <f t="shared" si="115"/>
        <v>0</v>
      </c>
      <c r="BN316" s="442"/>
      <c r="BO316" s="443"/>
      <c r="BP316" s="444">
        <f t="shared" si="116"/>
        <v>0</v>
      </c>
      <c r="BQ316" s="307"/>
      <c r="BR316" s="307"/>
      <c r="BS316" s="445">
        <f t="shared" si="117"/>
        <v>0</v>
      </c>
      <c r="BT316" s="442"/>
      <c r="BU316" s="443"/>
      <c r="BV316" s="444">
        <f t="shared" si="118"/>
        <v>0</v>
      </c>
      <c r="BW316" s="307"/>
      <c r="BX316" s="307"/>
      <c r="BY316" s="449">
        <f t="shared" si="119"/>
        <v>0</v>
      </c>
    </row>
    <row r="317" spans="1:77" s="308" customFormat="1" ht="12.75" customHeight="1">
      <c r="A317" s="348" t="s">
        <v>342</v>
      </c>
      <c r="B317" s="408" t="s">
        <v>178</v>
      </c>
      <c r="C317" s="537" t="s">
        <v>1121</v>
      </c>
      <c r="D317" s="350">
        <v>198233</v>
      </c>
      <c r="E317" s="538">
        <v>9</v>
      </c>
      <c r="F317" s="453"/>
      <c r="G317" s="454"/>
      <c r="H317" s="439">
        <f t="shared" si="96"/>
        <v>0</v>
      </c>
      <c r="I317" s="311"/>
      <c r="J317" s="311"/>
      <c r="K317" s="441">
        <f t="shared" si="97"/>
        <v>0</v>
      </c>
      <c r="L317" s="442"/>
      <c r="M317" s="443"/>
      <c r="N317" s="444">
        <f t="shared" si="98"/>
        <v>0</v>
      </c>
      <c r="O317" s="307"/>
      <c r="P317" s="307"/>
      <c r="Q317" s="445">
        <f t="shared" si="99"/>
        <v>0</v>
      </c>
      <c r="R317" s="442"/>
      <c r="S317" s="443"/>
      <c r="T317" s="444">
        <f t="shared" si="100"/>
        <v>0</v>
      </c>
      <c r="U317" s="307"/>
      <c r="V317" s="307"/>
      <c r="W317" s="441">
        <f t="shared" si="101"/>
        <v>0</v>
      </c>
      <c r="X317" s="442"/>
      <c r="Y317" s="443"/>
      <c r="Z317" s="444">
        <f t="shared" si="102"/>
        <v>0</v>
      </c>
      <c r="AA317" s="307"/>
      <c r="AB317" s="307"/>
      <c r="AC317" s="445">
        <f t="shared" si="103"/>
        <v>0</v>
      </c>
      <c r="AD317" s="442"/>
      <c r="AE317" s="443"/>
      <c r="AF317" s="444">
        <f t="shared" si="104"/>
        <v>0</v>
      </c>
      <c r="AG317" s="307"/>
      <c r="AH317" s="307"/>
      <c r="AI317" s="445">
        <f t="shared" si="105"/>
        <v>0</v>
      </c>
      <c r="AJ317" s="446">
        <v>144</v>
      </c>
      <c r="AK317" s="443">
        <v>50714</v>
      </c>
      <c r="AL317" s="444">
        <f t="shared" si="106"/>
        <v>7302816</v>
      </c>
      <c r="AM317" s="307">
        <v>153</v>
      </c>
      <c r="AN317" s="307">
        <v>50879</v>
      </c>
      <c r="AO317" s="447">
        <f t="shared" si="107"/>
        <v>7784487</v>
      </c>
      <c r="AP317" s="448"/>
      <c r="AQ317" s="443"/>
      <c r="AR317" s="444">
        <f t="shared" si="108"/>
        <v>0</v>
      </c>
      <c r="AS317" s="307"/>
      <c r="AT317" s="307"/>
      <c r="AU317" s="441">
        <f t="shared" si="109"/>
        <v>0</v>
      </c>
      <c r="AV317" s="442"/>
      <c r="AW317" s="443"/>
      <c r="AX317" s="444">
        <f t="shared" si="110"/>
        <v>0</v>
      </c>
      <c r="AY317" s="307"/>
      <c r="AZ317" s="307"/>
      <c r="BA317" s="445">
        <f t="shared" si="111"/>
        <v>0</v>
      </c>
      <c r="BB317" s="442"/>
      <c r="BC317" s="443"/>
      <c r="BD317" s="444">
        <f t="shared" si="112"/>
        <v>0</v>
      </c>
      <c r="BE317" s="307"/>
      <c r="BF317" s="307"/>
      <c r="BG317" s="445">
        <f t="shared" si="113"/>
        <v>0</v>
      </c>
      <c r="BH317" s="442"/>
      <c r="BI317" s="443"/>
      <c r="BJ317" s="444">
        <f t="shared" si="114"/>
        <v>0</v>
      </c>
      <c r="BK317" s="307"/>
      <c r="BL317" s="307"/>
      <c r="BM317" s="445">
        <f t="shared" si="115"/>
        <v>0</v>
      </c>
      <c r="BN317" s="442"/>
      <c r="BO317" s="443"/>
      <c r="BP317" s="444">
        <f t="shared" si="116"/>
        <v>0</v>
      </c>
      <c r="BQ317" s="307"/>
      <c r="BR317" s="307"/>
      <c r="BS317" s="445">
        <f t="shared" si="117"/>
        <v>0</v>
      </c>
      <c r="BT317" s="442"/>
      <c r="BU317" s="443"/>
      <c r="BV317" s="444">
        <f t="shared" si="118"/>
        <v>0</v>
      </c>
      <c r="BW317" s="307"/>
      <c r="BX317" s="307"/>
      <c r="BY317" s="449">
        <f t="shared" si="119"/>
        <v>0</v>
      </c>
    </row>
    <row r="318" spans="1:77" s="308" customFormat="1" ht="12.75" customHeight="1">
      <c r="A318" s="348" t="s">
        <v>342</v>
      </c>
      <c r="B318" s="408" t="s">
        <v>179</v>
      </c>
      <c r="C318" s="537" t="s">
        <v>1121</v>
      </c>
      <c r="D318" s="350">
        <v>198251</v>
      </c>
      <c r="E318" s="538">
        <v>9</v>
      </c>
      <c r="F318" s="453"/>
      <c r="G318" s="454"/>
      <c r="H318" s="439">
        <f t="shared" si="96"/>
        <v>0</v>
      </c>
      <c r="I318" s="311"/>
      <c r="J318" s="311"/>
      <c r="K318" s="441">
        <f t="shared" si="97"/>
        <v>0</v>
      </c>
      <c r="L318" s="442"/>
      <c r="M318" s="443"/>
      <c r="N318" s="444">
        <f t="shared" si="98"/>
        <v>0</v>
      </c>
      <c r="O318" s="307"/>
      <c r="P318" s="307"/>
      <c r="Q318" s="445">
        <f t="shared" si="99"/>
        <v>0</v>
      </c>
      <c r="R318" s="442"/>
      <c r="S318" s="443"/>
      <c r="T318" s="444">
        <f t="shared" si="100"/>
        <v>0</v>
      </c>
      <c r="U318" s="307"/>
      <c r="V318" s="307"/>
      <c r="W318" s="441">
        <f t="shared" si="101"/>
        <v>0</v>
      </c>
      <c r="X318" s="442"/>
      <c r="Y318" s="443"/>
      <c r="Z318" s="444">
        <f t="shared" si="102"/>
        <v>0</v>
      </c>
      <c r="AA318" s="307"/>
      <c r="AB318" s="307"/>
      <c r="AC318" s="445">
        <f t="shared" si="103"/>
        <v>0</v>
      </c>
      <c r="AD318" s="442"/>
      <c r="AE318" s="443"/>
      <c r="AF318" s="444">
        <f t="shared" si="104"/>
        <v>0</v>
      </c>
      <c r="AG318" s="307"/>
      <c r="AH318" s="307"/>
      <c r="AI318" s="445">
        <f t="shared" si="105"/>
        <v>0</v>
      </c>
      <c r="AJ318" s="446">
        <v>172</v>
      </c>
      <c r="AK318" s="443">
        <v>45172</v>
      </c>
      <c r="AL318" s="444">
        <f t="shared" si="106"/>
        <v>7769584</v>
      </c>
      <c r="AM318" s="307">
        <v>170</v>
      </c>
      <c r="AN318" s="307">
        <v>40825</v>
      </c>
      <c r="AO318" s="447">
        <f t="shared" si="107"/>
        <v>6940250</v>
      </c>
      <c r="AP318" s="448"/>
      <c r="AQ318" s="443"/>
      <c r="AR318" s="444">
        <f t="shared" si="108"/>
        <v>0</v>
      </c>
      <c r="AS318" s="307"/>
      <c r="AT318" s="307"/>
      <c r="AU318" s="441">
        <f t="shared" si="109"/>
        <v>0</v>
      </c>
      <c r="AV318" s="442"/>
      <c r="AW318" s="443"/>
      <c r="AX318" s="444">
        <f t="shared" si="110"/>
        <v>0</v>
      </c>
      <c r="AY318" s="307"/>
      <c r="AZ318" s="307"/>
      <c r="BA318" s="445">
        <f t="shared" si="111"/>
        <v>0</v>
      </c>
      <c r="BB318" s="442"/>
      <c r="BC318" s="443"/>
      <c r="BD318" s="444">
        <f t="shared" si="112"/>
        <v>0</v>
      </c>
      <c r="BE318" s="307"/>
      <c r="BF318" s="307"/>
      <c r="BG318" s="445">
        <f t="shared" si="113"/>
        <v>0</v>
      </c>
      <c r="BH318" s="442"/>
      <c r="BI318" s="443"/>
      <c r="BJ318" s="444">
        <f t="shared" si="114"/>
        <v>0</v>
      </c>
      <c r="BK318" s="307"/>
      <c r="BL318" s="307"/>
      <c r="BM318" s="445">
        <f t="shared" si="115"/>
        <v>0</v>
      </c>
      <c r="BN318" s="442"/>
      <c r="BO318" s="443"/>
      <c r="BP318" s="444">
        <f t="shared" si="116"/>
        <v>0</v>
      </c>
      <c r="BQ318" s="307"/>
      <c r="BR318" s="307"/>
      <c r="BS318" s="445">
        <f t="shared" si="117"/>
        <v>0</v>
      </c>
      <c r="BT318" s="442"/>
      <c r="BU318" s="443"/>
      <c r="BV318" s="444">
        <f t="shared" si="118"/>
        <v>0</v>
      </c>
      <c r="BW318" s="307"/>
      <c r="BX318" s="307"/>
      <c r="BY318" s="449">
        <f t="shared" si="119"/>
        <v>0</v>
      </c>
    </row>
    <row r="319" spans="1:77" s="308" customFormat="1" ht="12.75" customHeight="1">
      <c r="A319" s="348" t="s">
        <v>342</v>
      </c>
      <c r="B319" s="349" t="s">
        <v>190</v>
      </c>
      <c r="C319" s="349"/>
      <c r="D319" s="350">
        <v>198321</v>
      </c>
      <c r="E319" s="458">
        <v>9</v>
      </c>
      <c r="F319" s="453"/>
      <c r="G319" s="454"/>
      <c r="H319" s="439">
        <f t="shared" si="96"/>
        <v>0</v>
      </c>
      <c r="I319" s="311"/>
      <c r="J319" s="311"/>
      <c r="K319" s="441">
        <f t="shared" si="97"/>
        <v>0</v>
      </c>
      <c r="L319" s="442"/>
      <c r="M319" s="443"/>
      <c r="N319" s="444">
        <f t="shared" si="98"/>
        <v>0</v>
      </c>
      <c r="O319" s="307"/>
      <c r="P319" s="307"/>
      <c r="Q319" s="445">
        <f t="shared" si="99"/>
        <v>0</v>
      </c>
      <c r="R319" s="442"/>
      <c r="S319" s="443"/>
      <c r="T319" s="444">
        <f t="shared" si="100"/>
        <v>0</v>
      </c>
      <c r="U319" s="307"/>
      <c r="V319" s="307"/>
      <c r="W319" s="441">
        <f t="shared" si="101"/>
        <v>0</v>
      </c>
      <c r="X319" s="442"/>
      <c r="Y319" s="443"/>
      <c r="Z319" s="444">
        <f t="shared" si="102"/>
        <v>0</v>
      </c>
      <c r="AA319" s="307"/>
      <c r="AB319" s="307"/>
      <c r="AC319" s="445">
        <f t="shared" si="103"/>
        <v>0</v>
      </c>
      <c r="AD319" s="442"/>
      <c r="AE319" s="443"/>
      <c r="AF319" s="444">
        <f t="shared" si="104"/>
        <v>0</v>
      </c>
      <c r="AG319" s="307"/>
      <c r="AH319" s="307"/>
      <c r="AI319" s="445">
        <f t="shared" si="105"/>
        <v>0</v>
      </c>
      <c r="AJ319" s="446">
        <v>83</v>
      </c>
      <c r="AK319" s="443">
        <v>46132</v>
      </c>
      <c r="AL319" s="444">
        <f t="shared" si="106"/>
        <v>3828956</v>
      </c>
      <c r="AM319" s="307">
        <v>83</v>
      </c>
      <c r="AN319" s="307">
        <v>55442</v>
      </c>
      <c r="AO319" s="447">
        <f t="shared" si="107"/>
        <v>4601686</v>
      </c>
      <c r="AP319" s="448"/>
      <c r="AQ319" s="443"/>
      <c r="AR319" s="444">
        <f t="shared" si="108"/>
        <v>0</v>
      </c>
      <c r="AS319" s="307"/>
      <c r="AT319" s="307"/>
      <c r="AU319" s="441">
        <f t="shared" si="109"/>
        <v>0</v>
      </c>
      <c r="AV319" s="442"/>
      <c r="AW319" s="443"/>
      <c r="AX319" s="444">
        <f t="shared" si="110"/>
        <v>0</v>
      </c>
      <c r="AY319" s="307"/>
      <c r="AZ319" s="307"/>
      <c r="BA319" s="445">
        <f t="shared" si="111"/>
        <v>0</v>
      </c>
      <c r="BB319" s="442"/>
      <c r="BC319" s="443"/>
      <c r="BD319" s="444">
        <f t="shared" si="112"/>
        <v>0</v>
      </c>
      <c r="BE319" s="307"/>
      <c r="BF319" s="307"/>
      <c r="BG319" s="445">
        <f t="shared" si="113"/>
        <v>0</v>
      </c>
      <c r="BH319" s="442"/>
      <c r="BI319" s="443"/>
      <c r="BJ319" s="444">
        <f t="shared" si="114"/>
        <v>0</v>
      </c>
      <c r="BK319" s="307"/>
      <c r="BL319" s="307"/>
      <c r="BM319" s="445">
        <f t="shared" si="115"/>
        <v>0</v>
      </c>
      <c r="BN319" s="442"/>
      <c r="BO319" s="443"/>
      <c r="BP319" s="444">
        <f t="shared" si="116"/>
        <v>0</v>
      </c>
      <c r="BQ319" s="307"/>
      <c r="BR319" s="307"/>
      <c r="BS319" s="445">
        <f t="shared" si="117"/>
        <v>0</v>
      </c>
      <c r="BT319" s="442"/>
      <c r="BU319" s="443"/>
      <c r="BV319" s="444">
        <f t="shared" si="118"/>
        <v>0</v>
      </c>
      <c r="BW319" s="307"/>
      <c r="BX319" s="307"/>
      <c r="BY319" s="449">
        <f t="shared" si="119"/>
        <v>0</v>
      </c>
    </row>
    <row r="320" spans="1:77" s="308" customFormat="1" ht="12.75" customHeight="1">
      <c r="A320" s="348" t="s">
        <v>342</v>
      </c>
      <c r="B320" s="333" t="s">
        <v>191</v>
      </c>
      <c r="C320" s="333"/>
      <c r="D320" s="350">
        <v>198330</v>
      </c>
      <c r="E320" s="458">
        <v>9</v>
      </c>
      <c r="F320" s="453"/>
      <c r="G320" s="454"/>
      <c r="H320" s="439">
        <f t="shared" si="96"/>
        <v>0</v>
      </c>
      <c r="I320" s="311"/>
      <c r="J320" s="311"/>
      <c r="K320" s="441">
        <f t="shared" si="97"/>
        <v>0</v>
      </c>
      <c r="L320" s="442"/>
      <c r="M320" s="443"/>
      <c r="N320" s="444">
        <f t="shared" si="98"/>
        <v>0</v>
      </c>
      <c r="O320" s="307"/>
      <c r="P320" s="307"/>
      <c r="Q320" s="445">
        <f t="shared" si="99"/>
        <v>0</v>
      </c>
      <c r="R320" s="442"/>
      <c r="S320" s="443"/>
      <c r="T320" s="444">
        <f t="shared" si="100"/>
        <v>0</v>
      </c>
      <c r="U320" s="307"/>
      <c r="V320" s="307"/>
      <c r="W320" s="441">
        <f t="shared" si="101"/>
        <v>0</v>
      </c>
      <c r="X320" s="442"/>
      <c r="Y320" s="443"/>
      <c r="Z320" s="444">
        <f t="shared" si="102"/>
        <v>0</v>
      </c>
      <c r="AA320" s="307"/>
      <c r="AB320" s="307"/>
      <c r="AC320" s="445">
        <f t="shared" si="103"/>
        <v>0</v>
      </c>
      <c r="AD320" s="442"/>
      <c r="AE320" s="443"/>
      <c r="AF320" s="444">
        <f t="shared" si="104"/>
        <v>0</v>
      </c>
      <c r="AG320" s="307"/>
      <c r="AH320" s="307"/>
      <c r="AI320" s="445">
        <f t="shared" si="105"/>
        <v>0</v>
      </c>
      <c r="AJ320" s="446">
        <v>134</v>
      </c>
      <c r="AK320" s="443">
        <v>42974</v>
      </c>
      <c r="AL320" s="444">
        <f t="shared" si="106"/>
        <v>5758516</v>
      </c>
      <c r="AM320" s="307">
        <v>141</v>
      </c>
      <c r="AN320" s="307">
        <v>41857</v>
      </c>
      <c r="AO320" s="447">
        <f t="shared" si="107"/>
        <v>5901837</v>
      </c>
      <c r="AP320" s="448"/>
      <c r="AQ320" s="443"/>
      <c r="AR320" s="444">
        <f t="shared" si="108"/>
        <v>0</v>
      </c>
      <c r="AS320" s="307"/>
      <c r="AT320" s="307"/>
      <c r="AU320" s="441">
        <f t="shared" si="109"/>
        <v>0</v>
      </c>
      <c r="AV320" s="442"/>
      <c r="AW320" s="443"/>
      <c r="AX320" s="444">
        <f t="shared" si="110"/>
        <v>0</v>
      </c>
      <c r="AY320" s="307"/>
      <c r="AZ320" s="307"/>
      <c r="BA320" s="445">
        <f t="shared" si="111"/>
        <v>0</v>
      </c>
      <c r="BB320" s="442"/>
      <c r="BC320" s="443"/>
      <c r="BD320" s="444">
        <f t="shared" si="112"/>
        <v>0</v>
      </c>
      <c r="BE320" s="307"/>
      <c r="BF320" s="307"/>
      <c r="BG320" s="445">
        <f t="shared" si="113"/>
        <v>0</v>
      </c>
      <c r="BH320" s="442"/>
      <c r="BI320" s="443"/>
      <c r="BJ320" s="444">
        <f t="shared" si="114"/>
        <v>0</v>
      </c>
      <c r="BK320" s="307"/>
      <c r="BL320" s="307"/>
      <c r="BM320" s="445">
        <f t="shared" si="115"/>
        <v>0</v>
      </c>
      <c r="BN320" s="442"/>
      <c r="BO320" s="443"/>
      <c r="BP320" s="444">
        <f t="shared" si="116"/>
        <v>0</v>
      </c>
      <c r="BQ320" s="307"/>
      <c r="BR320" s="307"/>
      <c r="BS320" s="445">
        <f t="shared" si="117"/>
        <v>0</v>
      </c>
      <c r="BT320" s="442"/>
      <c r="BU320" s="443"/>
      <c r="BV320" s="444">
        <f t="shared" si="118"/>
        <v>0</v>
      </c>
      <c r="BW320" s="307"/>
      <c r="BX320" s="307"/>
      <c r="BY320" s="449">
        <f t="shared" si="119"/>
        <v>0</v>
      </c>
    </row>
    <row r="321" spans="1:77" s="308" customFormat="1" ht="12.75" customHeight="1">
      <c r="A321" s="348" t="s">
        <v>342</v>
      </c>
      <c r="B321" s="349" t="s">
        <v>193</v>
      </c>
      <c r="C321" s="349"/>
      <c r="D321" s="350">
        <v>198367</v>
      </c>
      <c r="E321" s="458">
        <v>9</v>
      </c>
      <c r="F321" s="453"/>
      <c r="G321" s="454"/>
      <c r="H321" s="439">
        <f t="shared" si="96"/>
        <v>0</v>
      </c>
      <c r="I321" s="311"/>
      <c r="J321" s="311"/>
      <c r="K321" s="441">
        <f t="shared" si="97"/>
        <v>0</v>
      </c>
      <c r="L321" s="442"/>
      <c r="M321" s="443"/>
      <c r="N321" s="444">
        <f t="shared" si="98"/>
        <v>0</v>
      </c>
      <c r="O321" s="307"/>
      <c r="P321" s="307"/>
      <c r="Q321" s="445">
        <f t="shared" si="99"/>
        <v>0</v>
      </c>
      <c r="R321" s="442"/>
      <c r="S321" s="443"/>
      <c r="T321" s="444">
        <f t="shared" si="100"/>
        <v>0</v>
      </c>
      <c r="U321" s="307"/>
      <c r="V321" s="307"/>
      <c r="W321" s="441">
        <f t="shared" si="101"/>
        <v>0</v>
      </c>
      <c r="X321" s="442"/>
      <c r="Y321" s="443"/>
      <c r="Z321" s="444">
        <f t="shared" si="102"/>
        <v>0</v>
      </c>
      <c r="AA321" s="307"/>
      <c r="AB321" s="307"/>
      <c r="AC321" s="445">
        <f t="shared" si="103"/>
        <v>0</v>
      </c>
      <c r="AD321" s="442"/>
      <c r="AE321" s="443"/>
      <c r="AF321" s="444">
        <f t="shared" si="104"/>
        <v>0</v>
      </c>
      <c r="AG321" s="307"/>
      <c r="AH321" s="307"/>
      <c r="AI321" s="445">
        <f t="shared" si="105"/>
        <v>0</v>
      </c>
      <c r="AJ321" s="446">
        <v>77</v>
      </c>
      <c r="AK321" s="443">
        <v>43908</v>
      </c>
      <c r="AL321" s="444">
        <f t="shared" si="106"/>
        <v>3380916</v>
      </c>
      <c r="AM321" s="307">
        <v>92</v>
      </c>
      <c r="AN321" s="307">
        <v>51508</v>
      </c>
      <c r="AO321" s="447">
        <f t="shared" si="107"/>
        <v>4738736</v>
      </c>
      <c r="AP321" s="448"/>
      <c r="AQ321" s="443"/>
      <c r="AR321" s="444">
        <f t="shared" si="108"/>
        <v>0</v>
      </c>
      <c r="AS321" s="307"/>
      <c r="AT321" s="307"/>
      <c r="AU321" s="441">
        <f t="shared" si="109"/>
        <v>0</v>
      </c>
      <c r="AV321" s="442"/>
      <c r="AW321" s="443"/>
      <c r="AX321" s="444">
        <f t="shared" si="110"/>
        <v>0</v>
      </c>
      <c r="AY321" s="307"/>
      <c r="AZ321" s="307"/>
      <c r="BA321" s="445">
        <f t="shared" si="111"/>
        <v>0</v>
      </c>
      <c r="BB321" s="442"/>
      <c r="BC321" s="443"/>
      <c r="BD321" s="444">
        <f t="shared" si="112"/>
        <v>0</v>
      </c>
      <c r="BE321" s="307"/>
      <c r="BF321" s="307"/>
      <c r="BG321" s="445">
        <f t="shared" si="113"/>
        <v>0</v>
      </c>
      <c r="BH321" s="442"/>
      <c r="BI321" s="443"/>
      <c r="BJ321" s="444">
        <f t="shared" si="114"/>
        <v>0</v>
      </c>
      <c r="BK321" s="307"/>
      <c r="BL321" s="307"/>
      <c r="BM321" s="445">
        <f t="shared" si="115"/>
        <v>0</v>
      </c>
      <c r="BN321" s="442"/>
      <c r="BO321" s="443"/>
      <c r="BP321" s="444">
        <f t="shared" si="116"/>
        <v>0</v>
      </c>
      <c r="BQ321" s="307"/>
      <c r="BR321" s="307"/>
      <c r="BS321" s="445">
        <f t="shared" si="117"/>
        <v>0</v>
      </c>
      <c r="BT321" s="442"/>
      <c r="BU321" s="443"/>
      <c r="BV321" s="444">
        <f t="shared" si="118"/>
        <v>0</v>
      </c>
      <c r="BW321" s="307"/>
      <c r="BX321" s="307"/>
      <c r="BY321" s="449">
        <f t="shared" si="119"/>
        <v>0</v>
      </c>
    </row>
    <row r="322" spans="1:77" s="308" customFormat="1" ht="12.75" customHeight="1">
      <c r="A322" s="348" t="s">
        <v>342</v>
      </c>
      <c r="B322" s="349" t="s">
        <v>194</v>
      </c>
      <c r="C322" s="349"/>
      <c r="D322" s="350">
        <v>198376</v>
      </c>
      <c r="E322" s="458">
        <v>9</v>
      </c>
      <c r="F322" s="453"/>
      <c r="G322" s="454"/>
      <c r="H322" s="439">
        <f t="shared" si="96"/>
        <v>0</v>
      </c>
      <c r="I322" s="311"/>
      <c r="J322" s="311"/>
      <c r="K322" s="441">
        <f t="shared" si="97"/>
        <v>0</v>
      </c>
      <c r="L322" s="442"/>
      <c r="M322" s="443"/>
      <c r="N322" s="444">
        <f t="shared" si="98"/>
        <v>0</v>
      </c>
      <c r="O322" s="307"/>
      <c r="P322" s="307"/>
      <c r="Q322" s="445">
        <f t="shared" si="99"/>
        <v>0</v>
      </c>
      <c r="R322" s="442"/>
      <c r="S322" s="443"/>
      <c r="T322" s="444">
        <f t="shared" si="100"/>
        <v>0</v>
      </c>
      <c r="U322" s="307"/>
      <c r="V322" s="307"/>
      <c r="W322" s="441">
        <f t="shared" si="101"/>
        <v>0</v>
      </c>
      <c r="X322" s="442"/>
      <c r="Y322" s="443"/>
      <c r="Z322" s="444">
        <f t="shared" si="102"/>
        <v>0</v>
      </c>
      <c r="AA322" s="307"/>
      <c r="AB322" s="307"/>
      <c r="AC322" s="445">
        <f t="shared" si="103"/>
        <v>0</v>
      </c>
      <c r="AD322" s="442"/>
      <c r="AE322" s="443"/>
      <c r="AF322" s="444">
        <f t="shared" si="104"/>
        <v>0</v>
      </c>
      <c r="AG322" s="307"/>
      <c r="AH322" s="307"/>
      <c r="AI322" s="445">
        <f t="shared" si="105"/>
        <v>0</v>
      </c>
      <c r="AJ322" s="446">
        <v>85</v>
      </c>
      <c r="AK322" s="443">
        <v>47023</v>
      </c>
      <c r="AL322" s="444">
        <f t="shared" si="106"/>
        <v>3996955</v>
      </c>
      <c r="AM322" s="307">
        <v>90</v>
      </c>
      <c r="AN322" s="307">
        <v>46692</v>
      </c>
      <c r="AO322" s="447">
        <f t="shared" si="107"/>
        <v>4202280</v>
      </c>
      <c r="AP322" s="448"/>
      <c r="AQ322" s="443"/>
      <c r="AR322" s="444">
        <f t="shared" si="108"/>
        <v>0</v>
      </c>
      <c r="AS322" s="307"/>
      <c r="AT322" s="307"/>
      <c r="AU322" s="441">
        <f t="shared" si="109"/>
        <v>0</v>
      </c>
      <c r="AV322" s="442"/>
      <c r="AW322" s="443"/>
      <c r="AX322" s="444">
        <f t="shared" si="110"/>
        <v>0</v>
      </c>
      <c r="AY322" s="307"/>
      <c r="AZ322" s="307"/>
      <c r="BA322" s="445">
        <f t="shared" si="111"/>
        <v>0</v>
      </c>
      <c r="BB322" s="442"/>
      <c r="BC322" s="443"/>
      <c r="BD322" s="444">
        <f t="shared" si="112"/>
        <v>0</v>
      </c>
      <c r="BE322" s="307"/>
      <c r="BF322" s="307"/>
      <c r="BG322" s="445">
        <f t="shared" si="113"/>
        <v>0</v>
      </c>
      <c r="BH322" s="442"/>
      <c r="BI322" s="443"/>
      <c r="BJ322" s="444">
        <f t="shared" si="114"/>
        <v>0</v>
      </c>
      <c r="BK322" s="307"/>
      <c r="BL322" s="307"/>
      <c r="BM322" s="445">
        <f t="shared" si="115"/>
        <v>0</v>
      </c>
      <c r="BN322" s="442"/>
      <c r="BO322" s="443"/>
      <c r="BP322" s="444">
        <f t="shared" si="116"/>
        <v>0</v>
      </c>
      <c r="BQ322" s="307"/>
      <c r="BR322" s="307"/>
      <c r="BS322" s="445">
        <f t="shared" si="117"/>
        <v>0</v>
      </c>
      <c r="BT322" s="442"/>
      <c r="BU322" s="443"/>
      <c r="BV322" s="444">
        <f t="shared" si="118"/>
        <v>0</v>
      </c>
      <c r="BW322" s="307"/>
      <c r="BX322" s="307"/>
      <c r="BY322" s="449">
        <f t="shared" si="119"/>
        <v>0</v>
      </c>
    </row>
    <row r="323" spans="1:77" s="308" customFormat="1" ht="12.75" customHeight="1">
      <c r="A323" s="351" t="s">
        <v>342</v>
      </c>
      <c r="B323" s="408" t="s">
        <v>195</v>
      </c>
      <c r="C323" s="537" t="s">
        <v>1121</v>
      </c>
      <c r="D323" s="334">
        <v>198455</v>
      </c>
      <c r="E323" s="538">
        <v>9</v>
      </c>
      <c r="F323" s="453"/>
      <c r="G323" s="454"/>
      <c r="H323" s="439">
        <f t="shared" si="96"/>
        <v>0</v>
      </c>
      <c r="I323" s="311"/>
      <c r="J323" s="311"/>
      <c r="K323" s="441">
        <f t="shared" si="97"/>
        <v>0</v>
      </c>
      <c r="L323" s="442"/>
      <c r="M323" s="443"/>
      <c r="N323" s="444">
        <f t="shared" si="98"/>
        <v>0</v>
      </c>
      <c r="O323" s="307"/>
      <c r="P323" s="307"/>
      <c r="Q323" s="445">
        <f t="shared" si="99"/>
        <v>0</v>
      </c>
      <c r="R323" s="442"/>
      <c r="S323" s="443"/>
      <c r="T323" s="444">
        <f t="shared" si="100"/>
        <v>0</v>
      </c>
      <c r="U323" s="307"/>
      <c r="V323" s="307"/>
      <c r="W323" s="441">
        <f t="shared" si="101"/>
        <v>0</v>
      </c>
      <c r="X323" s="442"/>
      <c r="Y323" s="443"/>
      <c r="Z323" s="444">
        <f t="shared" si="102"/>
        <v>0</v>
      </c>
      <c r="AA323" s="307"/>
      <c r="AB323" s="307"/>
      <c r="AC323" s="445">
        <f t="shared" si="103"/>
        <v>0</v>
      </c>
      <c r="AD323" s="442"/>
      <c r="AE323" s="443"/>
      <c r="AF323" s="444">
        <f t="shared" si="104"/>
        <v>0</v>
      </c>
      <c r="AG323" s="307"/>
      <c r="AH323" s="307"/>
      <c r="AI323" s="445">
        <f t="shared" si="105"/>
        <v>0</v>
      </c>
      <c r="AJ323" s="446">
        <v>151</v>
      </c>
      <c r="AK323" s="443">
        <v>53070</v>
      </c>
      <c r="AL323" s="444">
        <f t="shared" si="106"/>
        <v>8013570</v>
      </c>
      <c r="AM323" s="307">
        <v>163</v>
      </c>
      <c r="AN323" s="307">
        <v>52676</v>
      </c>
      <c r="AO323" s="447">
        <f t="shared" si="107"/>
        <v>8586188</v>
      </c>
      <c r="AP323" s="448"/>
      <c r="AQ323" s="443"/>
      <c r="AR323" s="444">
        <f t="shared" si="108"/>
        <v>0</v>
      </c>
      <c r="AS323" s="307"/>
      <c r="AT323" s="307"/>
      <c r="AU323" s="441">
        <f t="shared" si="109"/>
        <v>0</v>
      </c>
      <c r="AV323" s="442"/>
      <c r="AW323" s="443"/>
      <c r="AX323" s="444">
        <f t="shared" si="110"/>
        <v>0</v>
      </c>
      <c r="AY323" s="307"/>
      <c r="AZ323" s="307"/>
      <c r="BA323" s="445">
        <f t="shared" si="111"/>
        <v>0</v>
      </c>
      <c r="BB323" s="442"/>
      <c r="BC323" s="443"/>
      <c r="BD323" s="444">
        <f t="shared" si="112"/>
        <v>0</v>
      </c>
      <c r="BE323" s="307"/>
      <c r="BF323" s="307"/>
      <c r="BG323" s="445">
        <f t="shared" si="113"/>
        <v>0</v>
      </c>
      <c r="BH323" s="442"/>
      <c r="BI323" s="443"/>
      <c r="BJ323" s="444">
        <f t="shared" si="114"/>
        <v>0</v>
      </c>
      <c r="BK323" s="307"/>
      <c r="BL323" s="307"/>
      <c r="BM323" s="445">
        <f t="shared" si="115"/>
        <v>0</v>
      </c>
      <c r="BN323" s="442"/>
      <c r="BO323" s="443"/>
      <c r="BP323" s="444">
        <f t="shared" si="116"/>
        <v>0</v>
      </c>
      <c r="BQ323" s="307"/>
      <c r="BR323" s="307"/>
      <c r="BS323" s="445">
        <f t="shared" si="117"/>
        <v>0</v>
      </c>
      <c r="BT323" s="442"/>
      <c r="BU323" s="443"/>
      <c r="BV323" s="444">
        <f t="shared" si="118"/>
        <v>0</v>
      </c>
      <c r="BW323" s="307"/>
      <c r="BX323" s="307"/>
      <c r="BY323" s="449">
        <f t="shared" si="119"/>
        <v>0</v>
      </c>
    </row>
    <row r="324" spans="1:77" s="308" customFormat="1" ht="12.75" customHeight="1">
      <c r="A324" s="348" t="s">
        <v>342</v>
      </c>
      <c r="B324" s="349" t="s">
        <v>196</v>
      </c>
      <c r="C324" s="349"/>
      <c r="D324" s="350">
        <v>198491</v>
      </c>
      <c r="E324" s="458">
        <v>9</v>
      </c>
      <c r="F324" s="453"/>
      <c r="G324" s="454"/>
      <c r="H324" s="439">
        <f t="shared" si="96"/>
        <v>0</v>
      </c>
      <c r="I324" s="311"/>
      <c r="J324" s="311"/>
      <c r="K324" s="441">
        <f t="shared" si="97"/>
        <v>0</v>
      </c>
      <c r="L324" s="442"/>
      <c r="M324" s="443"/>
      <c r="N324" s="444">
        <f t="shared" si="98"/>
        <v>0</v>
      </c>
      <c r="O324" s="307"/>
      <c r="P324" s="307"/>
      <c r="Q324" s="445">
        <f t="shared" si="99"/>
        <v>0</v>
      </c>
      <c r="R324" s="442"/>
      <c r="S324" s="443"/>
      <c r="T324" s="444">
        <f t="shared" si="100"/>
        <v>0</v>
      </c>
      <c r="U324" s="307"/>
      <c r="V324" s="307"/>
      <c r="W324" s="441">
        <f t="shared" si="101"/>
        <v>0</v>
      </c>
      <c r="X324" s="442"/>
      <c r="Y324" s="443"/>
      <c r="Z324" s="444">
        <f t="shared" si="102"/>
        <v>0</v>
      </c>
      <c r="AA324" s="307"/>
      <c r="AB324" s="307"/>
      <c r="AC324" s="445">
        <f t="shared" si="103"/>
        <v>0</v>
      </c>
      <c r="AD324" s="442"/>
      <c r="AE324" s="443"/>
      <c r="AF324" s="444">
        <f t="shared" si="104"/>
        <v>0</v>
      </c>
      <c r="AG324" s="307"/>
      <c r="AH324" s="307"/>
      <c r="AI324" s="445">
        <f t="shared" si="105"/>
        <v>0</v>
      </c>
      <c r="AJ324" s="446">
        <v>71</v>
      </c>
      <c r="AK324" s="443">
        <v>42264</v>
      </c>
      <c r="AL324" s="444">
        <f t="shared" si="106"/>
        <v>3000744</v>
      </c>
      <c r="AM324" s="307">
        <v>93</v>
      </c>
      <c r="AN324" s="307">
        <v>44337</v>
      </c>
      <c r="AO324" s="447">
        <f t="shared" si="107"/>
        <v>4123341</v>
      </c>
      <c r="AP324" s="448"/>
      <c r="AQ324" s="443"/>
      <c r="AR324" s="444">
        <f t="shared" si="108"/>
        <v>0</v>
      </c>
      <c r="AS324" s="307"/>
      <c r="AT324" s="307"/>
      <c r="AU324" s="441">
        <f t="shared" si="109"/>
        <v>0</v>
      </c>
      <c r="AV324" s="442"/>
      <c r="AW324" s="443"/>
      <c r="AX324" s="444">
        <f t="shared" si="110"/>
        <v>0</v>
      </c>
      <c r="AY324" s="307"/>
      <c r="AZ324" s="307"/>
      <c r="BA324" s="445">
        <f t="shared" si="111"/>
        <v>0</v>
      </c>
      <c r="BB324" s="442"/>
      <c r="BC324" s="443"/>
      <c r="BD324" s="444">
        <f t="shared" si="112"/>
        <v>0</v>
      </c>
      <c r="BE324" s="307"/>
      <c r="BF324" s="307"/>
      <c r="BG324" s="445">
        <f t="shared" si="113"/>
        <v>0</v>
      </c>
      <c r="BH324" s="442"/>
      <c r="BI324" s="443"/>
      <c r="BJ324" s="444">
        <f t="shared" si="114"/>
        <v>0</v>
      </c>
      <c r="BK324" s="307"/>
      <c r="BL324" s="307"/>
      <c r="BM324" s="445">
        <f t="shared" si="115"/>
        <v>0</v>
      </c>
      <c r="BN324" s="442"/>
      <c r="BO324" s="443"/>
      <c r="BP324" s="444">
        <f t="shared" si="116"/>
        <v>0</v>
      </c>
      <c r="BQ324" s="307"/>
      <c r="BR324" s="307"/>
      <c r="BS324" s="445">
        <f t="shared" si="117"/>
        <v>0</v>
      </c>
      <c r="BT324" s="442"/>
      <c r="BU324" s="443"/>
      <c r="BV324" s="444">
        <f t="shared" si="118"/>
        <v>0</v>
      </c>
      <c r="BW324" s="307"/>
      <c r="BX324" s="307"/>
      <c r="BY324" s="449">
        <f t="shared" si="119"/>
        <v>0</v>
      </c>
    </row>
    <row r="325" spans="1:77" s="308" customFormat="1" ht="12.75" customHeight="1">
      <c r="A325" s="348" t="s">
        <v>342</v>
      </c>
      <c r="B325" s="349" t="s">
        <v>198</v>
      </c>
      <c r="C325" s="349"/>
      <c r="D325" s="350">
        <v>198668</v>
      </c>
      <c r="E325" s="458">
        <v>9</v>
      </c>
      <c r="F325" s="453"/>
      <c r="G325" s="454"/>
      <c r="H325" s="439">
        <f t="shared" si="96"/>
        <v>0</v>
      </c>
      <c r="I325" s="311"/>
      <c r="J325" s="311"/>
      <c r="K325" s="441">
        <f t="shared" si="97"/>
        <v>0</v>
      </c>
      <c r="L325" s="442"/>
      <c r="M325" s="443"/>
      <c r="N325" s="444">
        <f t="shared" si="98"/>
        <v>0</v>
      </c>
      <c r="O325" s="307"/>
      <c r="P325" s="307"/>
      <c r="Q325" s="445">
        <f t="shared" si="99"/>
        <v>0</v>
      </c>
      <c r="R325" s="442"/>
      <c r="S325" s="443"/>
      <c r="T325" s="444">
        <f t="shared" si="100"/>
        <v>0</v>
      </c>
      <c r="U325" s="307"/>
      <c r="V325" s="307"/>
      <c r="W325" s="441">
        <f t="shared" si="101"/>
        <v>0</v>
      </c>
      <c r="X325" s="442"/>
      <c r="Y325" s="443"/>
      <c r="Z325" s="444">
        <f t="shared" si="102"/>
        <v>0</v>
      </c>
      <c r="AA325" s="307"/>
      <c r="AB325" s="307"/>
      <c r="AC325" s="445">
        <f t="shared" si="103"/>
        <v>0</v>
      </c>
      <c r="AD325" s="442"/>
      <c r="AE325" s="443"/>
      <c r="AF325" s="444">
        <f t="shared" si="104"/>
        <v>0</v>
      </c>
      <c r="AG325" s="307"/>
      <c r="AH325" s="307"/>
      <c r="AI325" s="445">
        <f t="shared" si="105"/>
        <v>0</v>
      </c>
      <c r="AJ325" s="446">
        <v>70</v>
      </c>
      <c r="AK325" s="443">
        <v>48111</v>
      </c>
      <c r="AL325" s="444">
        <f t="shared" si="106"/>
        <v>3367770</v>
      </c>
      <c r="AM325" s="307">
        <v>79</v>
      </c>
      <c r="AN325" s="307">
        <v>47429</v>
      </c>
      <c r="AO325" s="447">
        <f t="shared" si="107"/>
        <v>3746891</v>
      </c>
      <c r="AP325" s="448"/>
      <c r="AQ325" s="443"/>
      <c r="AR325" s="444">
        <f t="shared" si="108"/>
        <v>0</v>
      </c>
      <c r="AS325" s="307"/>
      <c r="AT325" s="307"/>
      <c r="AU325" s="441">
        <f t="shared" si="109"/>
        <v>0</v>
      </c>
      <c r="AV325" s="442"/>
      <c r="AW325" s="443"/>
      <c r="AX325" s="444">
        <f t="shared" si="110"/>
        <v>0</v>
      </c>
      <c r="AY325" s="307"/>
      <c r="AZ325" s="307"/>
      <c r="BA325" s="445">
        <f t="shared" si="111"/>
        <v>0</v>
      </c>
      <c r="BB325" s="442"/>
      <c r="BC325" s="443"/>
      <c r="BD325" s="444">
        <f t="shared" si="112"/>
        <v>0</v>
      </c>
      <c r="BE325" s="307"/>
      <c r="BF325" s="307"/>
      <c r="BG325" s="445">
        <f t="shared" si="113"/>
        <v>0</v>
      </c>
      <c r="BH325" s="442"/>
      <c r="BI325" s="443"/>
      <c r="BJ325" s="444">
        <f t="shared" si="114"/>
        <v>0</v>
      </c>
      <c r="BK325" s="307"/>
      <c r="BL325" s="307"/>
      <c r="BM325" s="445">
        <f t="shared" si="115"/>
        <v>0</v>
      </c>
      <c r="BN325" s="442"/>
      <c r="BO325" s="443"/>
      <c r="BP325" s="444">
        <f t="shared" si="116"/>
        <v>0</v>
      </c>
      <c r="BQ325" s="307"/>
      <c r="BR325" s="307"/>
      <c r="BS325" s="445">
        <f t="shared" si="117"/>
        <v>0</v>
      </c>
      <c r="BT325" s="442"/>
      <c r="BU325" s="443"/>
      <c r="BV325" s="444">
        <f t="shared" si="118"/>
        <v>0</v>
      </c>
      <c r="BW325" s="307"/>
      <c r="BX325" s="307"/>
      <c r="BY325" s="449">
        <f t="shared" si="119"/>
        <v>0</v>
      </c>
    </row>
    <row r="326" spans="1:77" s="308" customFormat="1" ht="12.75" customHeight="1">
      <c r="A326" s="348" t="s">
        <v>342</v>
      </c>
      <c r="B326" s="349" t="s">
        <v>199</v>
      </c>
      <c r="C326" s="349"/>
      <c r="D326" s="350">
        <v>198710</v>
      </c>
      <c r="E326" s="458">
        <v>9</v>
      </c>
      <c r="F326" s="453"/>
      <c r="G326" s="454"/>
      <c r="H326" s="439">
        <f t="shared" si="96"/>
        <v>0</v>
      </c>
      <c r="I326" s="311"/>
      <c r="J326" s="311"/>
      <c r="K326" s="441">
        <f t="shared" si="97"/>
        <v>0</v>
      </c>
      <c r="L326" s="442"/>
      <c r="M326" s="443"/>
      <c r="N326" s="444">
        <f t="shared" si="98"/>
        <v>0</v>
      </c>
      <c r="O326" s="307"/>
      <c r="P326" s="307"/>
      <c r="Q326" s="445">
        <f t="shared" si="99"/>
        <v>0</v>
      </c>
      <c r="R326" s="442"/>
      <c r="S326" s="443"/>
      <c r="T326" s="444">
        <f t="shared" si="100"/>
        <v>0</v>
      </c>
      <c r="U326" s="307"/>
      <c r="V326" s="307"/>
      <c r="W326" s="441">
        <f t="shared" si="101"/>
        <v>0</v>
      </c>
      <c r="X326" s="442"/>
      <c r="Y326" s="443"/>
      <c r="Z326" s="444">
        <f t="shared" si="102"/>
        <v>0</v>
      </c>
      <c r="AA326" s="307"/>
      <c r="AB326" s="307"/>
      <c r="AC326" s="445">
        <f t="shared" si="103"/>
        <v>0</v>
      </c>
      <c r="AD326" s="442"/>
      <c r="AE326" s="443"/>
      <c r="AF326" s="444">
        <f t="shared" si="104"/>
        <v>0</v>
      </c>
      <c r="AG326" s="307"/>
      <c r="AH326" s="307"/>
      <c r="AI326" s="445">
        <f t="shared" si="105"/>
        <v>0</v>
      </c>
      <c r="AJ326" s="446">
        <v>67</v>
      </c>
      <c r="AK326" s="443">
        <v>45307</v>
      </c>
      <c r="AL326" s="444">
        <f t="shared" si="106"/>
        <v>3035569</v>
      </c>
      <c r="AM326" s="307">
        <v>68</v>
      </c>
      <c r="AN326" s="307">
        <v>51838</v>
      </c>
      <c r="AO326" s="447">
        <f t="shared" si="107"/>
        <v>3524984</v>
      </c>
      <c r="AP326" s="448"/>
      <c r="AQ326" s="443"/>
      <c r="AR326" s="444">
        <f t="shared" si="108"/>
        <v>0</v>
      </c>
      <c r="AS326" s="307"/>
      <c r="AT326" s="307"/>
      <c r="AU326" s="441">
        <f t="shared" si="109"/>
        <v>0</v>
      </c>
      <c r="AV326" s="442"/>
      <c r="AW326" s="443"/>
      <c r="AX326" s="444">
        <f t="shared" si="110"/>
        <v>0</v>
      </c>
      <c r="AY326" s="307"/>
      <c r="AZ326" s="307"/>
      <c r="BA326" s="445">
        <f t="shared" si="111"/>
        <v>0</v>
      </c>
      <c r="BB326" s="442"/>
      <c r="BC326" s="443"/>
      <c r="BD326" s="444">
        <f t="shared" si="112"/>
        <v>0</v>
      </c>
      <c r="BE326" s="307"/>
      <c r="BF326" s="307"/>
      <c r="BG326" s="445">
        <f t="shared" si="113"/>
        <v>0</v>
      </c>
      <c r="BH326" s="442"/>
      <c r="BI326" s="443"/>
      <c r="BJ326" s="444">
        <f t="shared" si="114"/>
        <v>0</v>
      </c>
      <c r="BK326" s="307"/>
      <c r="BL326" s="307"/>
      <c r="BM326" s="445">
        <f t="shared" si="115"/>
        <v>0</v>
      </c>
      <c r="BN326" s="442"/>
      <c r="BO326" s="443"/>
      <c r="BP326" s="444">
        <f t="shared" si="116"/>
        <v>0</v>
      </c>
      <c r="BQ326" s="307"/>
      <c r="BR326" s="307"/>
      <c r="BS326" s="445">
        <f t="shared" si="117"/>
        <v>0</v>
      </c>
      <c r="BT326" s="442"/>
      <c r="BU326" s="443"/>
      <c r="BV326" s="444">
        <f t="shared" si="118"/>
        <v>0</v>
      </c>
      <c r="BW326" s="307"/>
      <c r="BX326" s="307"/>
      <c r="BY326" s="449">
        <f t="shared" si="119"/>
        <v>0</v>
      </c>
    </row>
    <row r="327" spans="1:77" s="308" customFormat="1" ht="12.75" customHeight="1">
      <c r="A327" s="348" t="s">
        <v>342</v>
      </c>
      <c r="B327" s="349" t="s">
        <v>200</v>
      </c>
      <c r="C327" s="349"/>
      <c r="D327" s="350">
        <v>198774</v>
      </c>
      <c r="E327" s="458">
        <v>9</v>
      </c>
      <c r="F327" s="453"/>
      <c r="G327" s="454"/>
      <c r="H327" s="439">
        <f t="shared" si="96"/>
        <v>0</v>
      </c>
      <c r="I327" s="311"/>
      <c r="J327" s="311"/>
      <c r="K327" s="441">
        <f t="shared" si="97"/>
        <v>0</v>
      </c>
      <c r="L327" s="442"/>
      <c r="M327" s="443"/>
      <c r="N327" s="444">
        <f t="shared" si="98"/>
        <v>0</v>
      </c>
      <c r="O327" s="307"/>
      <c r="P327" s="307"/>
      <c r="Q327" s="445">
        <f t="shared" si="99"/>
        <v>0</v>
      </c>
      <c r="R327" s="442"/>
      <c r="S327" s="443"/>
      <c r="T327" s="444">
        <f t="shared" si="100"/>
        <v>0</v>
      </c>
      <c r="U327" s="307"/>
      <c r="V327" s="307"/>
      <c r="W327" s="441">
        <f t="shared" si="101"/>
        <v>0</v>
      </c>
      <c r="X327" s="442"/>
      <c r="Y327" s="443"/>
      <c r="Z327" s="444">
        <f t="shared" si="102"/>
        <v>0</v>
      </c>
      <c r="AA327" s="307"/>
      <c r="AB327" s="307"/>
      <c r="AC327" s="445">
        <f t="shared" si="103"/>
        <v>0</v>
      </c>
      <c r="AD327" s="442"/>
      <c r="AE327" s="443"/>
      <c r="AF327" s="444">
        <f t="shared" si="104"/>
        <v>0</v>
      </c>
      <c r="AG327" s="307"/>
      <c r="AH327" s="307"/>
      <c r="AI327" s="445">
        <f t="shared" si="105"/>
        <v>0</v>
      </c>
      <c r="AJ327" s="446">
        <v>137</v>
      </c>
      <c r="AK327" s="443">
        <v>58063</v>
      </c>
      <c r="AL327" s="444">
        <f t="shared" si="106"/>
        <v>7954631</v>
      </c>
      <c r="AM327" s="307">
        <v>127</v>
      </c>
      <c r="AN327" s="307">
        <v>60884</v>
      </c>
      <c r="AO327" s="447">
        <f t="shared" si="107"/>
        <v>7732268</v>
      </c>
      <c r="AP327" s="448"/>
      <c r="AQ327" s="443"/>
      <c r="AR327" s="444">
        <f t="shared" si="108"/>
        <v>0</v>
      </c>
      <c r="AS327" s="307"/>
      <c r="AT327" s="307"/>
      <c r="AU327" s="441">
        <f t="shared" si="109"/>
        <v>0</v>
      </c>
      <c r="AV327" s="442"/>
      <c r="AW327" s="443"/>
      <c r="AX327" s="444">
        <f t="shared" si="110"/>
        <v>0</v>
      </c>
      <c r="AY327" s="307"/>
      <c r="AZ327" s="307"/>
      <c r="BA327" s="445">
        <f t="shared" si="111"/>
        <v>0</v>
      </c>
      <c r="BB327" s="442"/>
      <c r="BC327" s="443"/>
      <c r="BD327" s="444">
        <f t="shared" si="112"/>
        <v>0</v>
      </c>
      <c r="BE327" s="307"/>
      <c r="BF327" s="307"/>
      <c r="BG327" s="445">
        <f t="shared" si="113"/>
        <v>0</v>
      </c>
      <c r="BH327" s="442"/>
      <c r="BI327" s="443"/>
      <c r="BJ327" s="444">
        <f t="shared" si="114"/>
        <v>0</v>
      </c>
      <c r="BK327" s="307"/>
      <c r="BL327" s="307"/>
      <c r="BM327" s="445">
        <f t="shared" si="115"/>
        <v>0</v>
      </c>
      <c r="BN327" s="442"/>
      <c r="BO327" s="443"/>
      <c r="BP327" s="444">
        <f t="shared" si="116"/>
        <v>0</v>
      </c>
      <c r="BQ327" s="307"/>
      <c r="BR327" s="307"/>
      <c r="BS327" s="445">
        <f t="shared" si="117"/>
        <v>0</v>
      </c>
      <c r="BT327" s="442"/>
      <c r="BU327" s="443"/>
      <c r="BV327" s="444">
        <f t="shared" si="118"/>
        <v>0</v>
      </c>
      <c r="BW327" s="307"/>
      <c r="BX327" s="307"/>
      <c r="BY327" s="449">
        <f t="shared" si="119"/>
        <v>0</v>
      </c>
    </row>
    <row r="328" spans="1:77" s="308" customFormat="1" ht="12.75" customHeight="1">
      <c r="A328" s="348" t="s">
        <v>342</v>
      </c>
      <c r="B328" s="349" t="s">
        <v>201</v>
      </c>
      <c r="C328" s="349"/>
      <c r="D328" s="350">
        <v>198817</v>
      </c>
      <c r="E328" s="458">
        <v>9</v>
      </c>
      <c r="F328" s="453"/>
      <c r="G328" s="454"/>
      <c r="H328" s="439">
        <f t="shared" si="96"/>
        <v>0</v>
      </c>
      <c r="I328" s="311"/>
      <c r="J328" s="311"/>
      <c r="K328" s="441">
        <f t="shared" si="97"/>
        <v>0</v>
      </c>
      <c r="L328" s="442"/>
      <c r="M328" s="443"/>
      <c r="N328" s="444">
        <f t="shared" si="98"/>
        <v>0</v>
      </c>
      <c r="O328" s="307"/>
      <c r="P328" s="307"/>
      <c r="Q328" s="445">
        <f t="shared" si="99"/>
        <v>0</v>
      </c>
      <c r="R328" s="442"/>
      <c r="S328" s="443"/>
      <c r="T328" s="444">
        <f t="shared" si="100"/>
        <v>0</v>
      </c>
      <c r="U328" s="307"/>
      <c r="V328" s="307"/>
      <c r="W328" s="441">
        <f t="shared" si="101"/>
        <v>0</v>
      </c>
      <c r="X328" s="442"/>
      <c r="Y328" s="443"/>
      <c r="Z328" s="444">
        <f t="shared" si="102"/>
        <v>0</v>
      </c>
      <c r="AA328" s="307"/>
      <c r="AB328" s="307"/>
      <c r="AC328" s="445">
        <f t="shared" si="103"/>
        <v>0</v>
      </c>
      <c r="AD328" s="442"/>
      <c r="AE328" s="443"/>
      <c r="AF328" s="444">
        <f t="shared" si="104"/>
        <v>0</v>
      </c>
      <c r="AG328" s="307"/>
      <c r="AH328" s="307"/>
      <c r="AI328" s="445">
        <f t="shared" si="105"/>
        <v>0</v>
      </c>
      <c r="AJ328" s="446">
        <v>106</v>
      </c>
      <c r="AK328" s="443">
        <v>43831</v>
      </c>
      <c r="AL328" s="444">
        <f t="shared" si="106"/>
        <v>4646086</v>
      </c>
      <c r="AM328" s="307">
        <v>109</v>
      </c>
      <c r="AN328" s="307">
        <v>44658</v>
      </c>
      <c r="AO328" s="447">
        <f t="shared" si="107"/>
        <v>4867722</v>
      </c>
      <c r="AP328" s="448"/>
      <c r="AQ328" s="443"/>
      <c r="AR328" s="444">
        <f t="shared" si="108"/>
        <v>0</v>
      </c>
      <c r="AS328" s="307"/>
      <c r="AT328" s="307"/>
      <c r="AU328" s="441">
        <f t="shared" si="109"/>
        <v>0</v>
      </c>
      <c r="AV328" s="442"/>
      <c r="AW328" s="443"/>
      <c r="AX328" s="444">
        <f t="shared" si="110"/>
        <v>0</v>
      </c>
      <c r="AY328" s="307"/>
      <c r="AZ328" s="307"/>
      <c r="BA328" s="445">
        <f t="shared" si="111"/>
        <v>0</v>
      </c>
      <c r="BB328" s="442"/>
      <c r="BC328" s="443"/>
      <c r="BD328" s="444">
        <f t="shared" si="112"/>
        <v>0</v>
      </c>
      <c r="BE328" s="307"/>
      <c r="BF328" s="307"/>
      <c r="BG328" s="445">
        <f t="shared" si="113"/>
        <v>0</v>
      </c>
      <c r="BH328" s="442"/>
      <c r="BI328" s="443"/>
      <c r="BJ328" s="444">
        <f t="shared" si="114"/>
        <v>0</v>
      </c>
      <c r="BK328" s="307"/>
      <c r="BL328" s="307"/>
      <c r="BM328" s="445">
        <f t="shared" si="115"/>
        <v>0</v>
      </c>
      <c r="BN328" s="442"/>
      <c r="BO328" s="443"/>
      <c r="BP328" s="444">
        <f t="shared" si="116"/>
        <v>0</v>
      </c>
      <c r="BQ328" s="307"/>
      <c r="BR328" s="307"/>
      <c r="BS328" s="445">
        <f t="shared" si="117"/>
        <v>0</v>
      </c>
      <c r="BT328" s="442"/>
      <c r="BU328" s="443"/>
      <c r="BV328" s="444">
        <f t="shared" si="118"/>
        <v>0</v>
      </c>
      <c r="BW328" s="307"/>
      <c r="BX328" s="307"/>
      <c r="BY328" s="449">
        <f t="shared" si="119"/>
        <v>0</v>
      </c>
    </row>
    <row r="329" spans="1:77" s="308" customFormat="1" ht="12.75" customHeight="1">
      <c r="A329" s="348" t="s">
        <v>342</v>
      </c>
      <c r="B329" s="349" t="s">
        <v>202</v>
      </c>
      <c r="C329" s="349"/>
      <c r="D329" s="350">
        <v>198987</v>
      </c>
      <c r="E329" s="458">
        <v>9</v>
      </c>
      <c r="F329" s="453"/>
      <c r="G329" s="454"/>
      <c r="H329" s="439">
        <f t="shared" ref="H329:H392" si="120">F329*G329</f>
        <v>0</v>
      </c>
      <c r="I329" s="311"/>
      <c r="J329" s="311"/>
      <c r="K329" s="441">
        <f t="shared" ref="K329:K392" si="121">I329*J329</f>
        <v>0</v>
      </c>
      <c r="L329" s="442"/>
      <c r="M329" s="443"/>
      <c r="N329" s="444">
        <f t="shared" ref="N329:N392" si="122">L329*M329</f>
        <v>0</v>
      </c>
      <c r="O329" s="307"/>
      <c r="P329" s="307"/>
      <c r="Q329" s="445">
        <f t="shared" ref="Q329:Q392" si="123">O329*P329</f>
        <v>0</v>
      </c>
      <c r="R329" s="442"/>
      <c r="S329" s="443"/>
      <c r="T329" s="444">
        <f t="shared" ref="T329:T392" si="124">R329*S329</f>
        <v>0</v>
      </c>
      <c r="U329" s="307"/>
      <c r="V329" s="307"/>
      <c r="W329" s="441">
        <f t="shared" ref="W329:W392" si="125">U329*V329</f>
        <v>0</v>
      </c>
      <c r="X329" s="442"/>
      <c r="Y329" s="443"/>
      <c r="Z329" s="444">
        <f t="shared" ref="Z329:Z392" si="126">X329*Y329</f>
        <v>0</v>
      </c>
      <c r="AA329" s="307"/>
      <c r="AB329" s="307"/>
      <c r="AC329" s="445">
        <f t="shared" ref="AC329:AC392" si="127">AA329*AB329</f>
        <v>0</v>
      </c>
      <c r="AD329" s="442"/>
      <c r="AE329" s="443"/>
      <c r="AF329" s="444">
        <f t="shared" ref="AF329:AF392" si="128">AD329*AE329</f>
        <v>0</v>
      </c>
      <c r="AG329" s="307"/>
      <c r="AH329" s="307"/>
      <c r="AI329" s="445">
        <f t="shared" ref="AI329:AI392" si="129">AG329*AH329</f>
        <v>0</v>
      </c>
      <c r="AJ329" s="446">
        <v>76</v>
      </c>
      <c r="AK329" s="443">
        <v>48316</v>
      </c>
      <c r="AL329" s="444">
        <f t="shared" ref="AL329:AL392" si="130">AJ329*AK329</f>
        <v>3672016</v>
      </c>
      <c r="AM329" s="307">
        <v>92</v>
      </c>
      <c r="AN329" s="307">
        <v>48179</v>
      </c>
      <c r="AO329" s="447">
        <f t="shared" ref="AO329:AO392" si="131">AM329*AN329</f>
        <v>4432468</v>
      </c>
      <c r="AP329" s="448"/>
      <c r="AQ329" s="443"/>
      <c r="AR329" s="444">
        <f t="shared" ref="AR329:AR392" si="132">(AP329*AQ329)*0.8182</f>
        <v>0</v>
      </c>
      <c r="AS329" s="307"/>
      <c r="AT329" s="307"/>
      <c r="AU329" s="441">
        <f t="shared" ref="AU329:AU392" si="133">(AS329*AT329)*0.8182</f>
        <v>0</v>
      </c>
      <c r="AV329" s="442"/>
      <c r="AW329" s="443"/>
      <c r="AX329" s="444">
        <f t="shared" ref="AX329:AX392" si="134">(AV329*AW329)*0.8182</f>
        <v>0</v>
      </c>
      <c r="AY329" s="307"/>
      <c r="AZ329" s="307"/>
      <c r="BA329" s="445">
        <f t="shared" ref="BA329:BA392" si="135">(AY329*AZ329)*0.8182</f>
        <v>0</v>
      </c>
      <c r="BB329" s="442"/>
      <c r="BC329" s="443"/>
      <c r="BD329" s="444">
        <f t="shared" ref="BD329:BD392" si="136">(BB329*BC329)*0.8182</f>
        <v>0</v>
      </c>
      <c r="BE329" s="307"/>
      <c r="BF329" s="307"/>
      <c r="BG329" s="445">
        <f t="shared" ref="BG329:BG392" si="137">(BE329*BF329)*0.8182</f>
        <v>0</v>
      </c>
      <c r="BH329" s="442"/>
      <c r="BI329" s="443"/>
      <c r="BJ329" s="444">
        <f t="shared" ref="BJ329:BJ392" si="138">(BH329*BI329)*0.8182</f>
        <v>0</v>
      </c>
      <c r="BK329" s="307"/>
      <c r="BL329" s="307"/>
      <c r="BM329" s="445">
        <f t="shared" ref="BM329:BM392" si="139">(BK329*BL329)*0.8182</f>
        <v>0</v>
      </c>
      <c r="BN329" s="442"/>
      <c r="BO329" s="443"/>
      <c r="BP329" s="444">
        <f t="shared" ref="BP329:BP392" si="140">(BN329*BO329)*0.8182</f>
        <v>0</v>
      </c>
      <c r="BQ329" s="307"/>
      <c r="BR329" s="307"/>
      <c r="BS329" s="445">
        <f t="shared" ref="BS329:BS392" si="141">(BQ329*BR329)*0.8182</f>
        <v>0</v>
      </c>
      <c r="BT329" s="442"/>
      <c r="BU329" s="443"/>
      <c r="BV329" s="444">
        <f t="shared" ref="BV329:BV392" si="142">(BT329*BU329)*0.8182</f>
        <v>0</v>
      </c>
      <c r="BW329" s="307"/>
      <c r="BX329" s="307"/>
      <c r="BY329" s="449">
        <f t="shared" ref="BY329:BY392" si="143">(BW329*BX329)*0.8182</f>
        <v>0</v>
      </c>
    </row>
    <row r="330" spans="1:77" s="308" customFormat="1" ht="12.75" customHeight="1">
      <c r="A330" s="348" t="s">
        <v>342</v>
      </c>
      <c r="B330" s="349" t="s">
        <v>203</v>
      </c>
      <c r="C330" s="349"/>
      <c r="D330" s="350">
        <v>199087</v>
      </c>
      <c r="E330" s="458">
        <v>9</v>
      </c>
      <c r="F330" s="453"/>
      <c r="G330" s="454"/>
      <c r="H330" s="439">
        <f t="shared" si="120"/>
        <v>0</v>
      </c>
      <c r="I330" s="311"/>
      <c r="J330" s="311"/>
      <c r="K330" s="441">
        <f t="shared" si="121"/>
        <v>0</v>
      </c>
      <c r="L330" s="442"/>
      <c r="M330" s="443"/>
      <c r="N330" s="444">
        <f t="shared" si="122"/>
        <v>0</v>
      </c>
      <c r="O330" s="307"/>
      <c r="P330" s="307"/>
      <c r="Q330" s="445">
        <f t="shared" si="123"/>
        <v>0</v>
      </c>
      <c r="R330" s="442"/>
      <c r="S330" s="443"/>
      <c r="T330" s="444">
        <f t="shared" si="124"/>
        <v>0</v>
      </c>
      <c r="U330" s="307"/>
      <c r="V330" s="307"/>
      <c r="W330" s="441">
        <f t="shared" si="125"/>
        <v>0</v>
      </c>
      <c r="X330" s="442"/>
      <c r="Y330" s="443"/>
      <c r="Z330" s="444">
        <f t="shared" si="126"/>
        <v>0</v>
      </c>
      <c r="AA330" s="307"/>
      <c r="AB330" s="307"/>
      <c r="AC330" s="445">
        <f t="shared" si="127"/>
        <v>0</v>
      </c>
      <c r="AD330" s="442"/>
      <c r="AE330" s="443"/>
      <c r="AF330" s="444">
        <f t="shared" si="128"/>
        <v>0</v>
      </c>
      <c r="AG330" s="307"/>
      <c r="AH330" s="307"/>
      <c r="AI330" s="445">
        <f t="shared" si="129"/>
        <v>0</v>
      </c>
      <c r="AJ330" s="446">
        <v>103</v>
      </c>
      <c r="AK330" s="443">
        <v>43834</v>
      </c>
      <c r="AL330" s="444">
        <f t="shared" si="130"/>
        <v>4514902</v>
      </c>
      <c r="AM330" s="307">
        <v>103</v>
      </c>
      <c r="AN330" s="307">
        <v>44328</v>
      </c>
      <c r="AO330" s="447">
        <f t="shared" si="131"/>
        <v>4565784</v>
      </c>
      <c r="AP330" s="448"/>
      <c r="AQ330" s="443"/>
      <c r="AR330" s="444">
        <f t="shared" si="132"/>
        <v>0</v>
      </c>
      <c r="AS330" s="307"/>
      <c r="AT330" s="307"/>
      <c r="AU330" s="441">
        <f t="shared" si="133"/>
        <v>0</v>
      </c>
      <c r="AV330" s="442"/>
      <c r="AW330" s="443"/>
      <c r="AX330" s="444">
        <f t="shared" si="134"/>
        <v>0</v>
      </c>
      <c r="AY330" s="307"/>
      <c r="AZ330" s="307"/>
      <c r="BA330" s="445">
        <f t="shared" si="135"/>
        <v>0</v>
      </c>
      <c r="BB330" s="442"/>
      <c r="BC330" s="443"/>
      <c r="BD330" s="444">
        <f t="shared" si="136"/>
        <v>0</v>
      </c>
      <c r="BE330" s="307"/>
      <c r="BF330" s="307"/>
      <c r="BG330" s="445">
        <f t="shared" si="137"/>
        <v>0</v>
      </c>
      <c r="BH330" s="442"/>
      <c r="BI330" s="443"/>
      <c r="BJ330" s="444">
        <f t="shared" si="138"/>
        <v>0</v>
      </c>
      <c r="BK330" s="307"/>
      <c r="BL330" s="307"/>
      <c r="BM330" s="445">
        <f t="shared" si="139"/>
        <v>0</v>
      </c>
      <c r="BN330" s="442"/>
      <c r="BO330" s="443"/>
      <c r="BP330" s="444">
        <f t="shared" si="140"/>
        <v>0</v>
      </c>
      <c r="BQ330" s="307"/>
      <c r="BR330" s="307"/>
      <c r="BS330" s="445">
        <f t="shared" si="141"/>
        <v>0</v>
      </c>
      <c r="BT330" s="442"/>
      <c r="BU330" s="443"/>
      <c r="BV330" s="444">
        <f t="shared" si="142"/>
        <v>0</v>
      </c>
      <c r="BW330" s="307"/>
      <c r="BX330" s="307"/>
      <c r="BY330" s="449">
        <f t="shared" si="143"/>
        <v>0</v>
      </c>
    </row>
    <row r="331" spans="1:77" s="308" customFormat="1" ht="12.75" customHeight="1">
      <c r="A331" s="348" t="s">
        <v>342</v>
      </c>
      <c r="B331" s="349" t="s">
        <v>205</v>
      </c>
      <c r="C331" s="349"/>
      <c r="D331" s="350">
        <v>199421</v>
      </c>
      <c r="E331" s="458">
        <v>9</v>
      </c>
      <c r="F331" s="453"/>
      <c r="G331" s="454"/>
      <c r="H331" s="439">
        <f t="shared" si="120"/>
        <v>0</v>
      </c>
      <c r="I331" s="311"/>
      <c r="J331" s="311"/>
      <c r="K331" s="441">
        <f t="shared" si="121"/>
        <v>0</v>
      </c>
      <c r="L331" s="442"/>
      <c r="M331" s="443"/>
      <c r="N331" s="444">
        <f t="shared" si="122"/>
        <v>0</v>
      </c>
      <c r="O331" s="307"/>
      <c r="P331" s="307"/>
      <c r="Q331" s="445">
        <f t="shared" si="123"/>
        <v>0</v>
      </c>
      <c r="R331" s="442"/>
      <c r="S331" s="443"/>
      <c r="T331" s="444">
        <f t="shared" si="124"/>
        <v>0</v>
      </c>
      <c r="U331" s="307"/>
      <c r="V331" s="307"/>
      <c r="W331" s="441">
        <f t="shared" si="125"/>
        <v>0</v>
      </c>
      <c r="X331" s="442"/>
      <c r="Y331" s="443"/>
      <c r="Z331" s="444">
        <f t="shared" si="126"/>
        <v>0</v>
      </c>
      <c r="AA331" s="307"/>
      <c r="AB331" s="307"/>
      <c r="AC331" s="445">
        <f t="shared" si="127"/>
        <v>0</v>
      </c>
      <c r="AD331" s="442"/>
      <c r="AE331" s="443"/>
      <c r="AF331" s="444">
        <f t="shared" si="128"/>
        <v>0</v>
      </c>
      <c r="AG331" s="307"/>
      <c r="AH331" s="307"/>
      <c r="AI331" s="445">
        <f t="shared" si="129"/>
        <v>0</v>
      </c>
      <c r="AJ331" s="446">
        <v>60</v>
      </c>
      <c r="AK331" s="443">
        <v>43062</v>
      </c>
      <c r="AL331" s="444">
        <f t="shared" si="130"/>
        <v>2583720</v>
      </c>
      <c r="AM331" s="307">
        <v>89</v>
      </c>
      <c r="AN331" s="307">
        <v>42243</v>
      </c>
      <c r="AO331" s="447">
        <f t="shared" si="131"/>
        <v>3759627</v>
      </c>
      <c r="AP331" s="448"/>
      <c r="AQ331" s="443"/>
      <c r="AR331" s="444">
        <f t="shared" si="132"/>
        <v>0</v>
      </c>
      <c r="AS331" s="307"/>
      <c r="AT331" s="307"/>
      <c r="AU331" s="441">
        <f t="shared" si="133"/>
        <v>0</v>
      </c>
      <c r="AV331" s="442"/>
      <c r="AW331" s="443"/>
      <c r="AX331" s="444">
        <f t="shared" si="134"/>
        <v>0</v>
      </c>
      <c r="AY331" s="307"/>
      <c r="AZ331" s="307"/>
      <c r="BA331" s="445">
        <f t="shared" si="135"/>
        <v>0</v>
      </c>
      <c r="BB331" s="442"/>
      <c r="BC331" s="443"/>
      <c r="BD331" s="444">
        <f t="shared" si="136"/>
        <v>0</v>
      </c>
      <c r="BE331" s="307"/>
      <c r="BF331" s="307"/>
      <c r="BG331" s="445">
        <f t="shared" si="137"/>
        <v>0</v>
      </c>
      <c r="BH331" s="442"/>
      <c r="BI331" s="443"/>
      <c r="BJ331" s="444">
        <f t="shared" si="138"/>
        <v>0</v>
      </c>
      <c r="BK331" s="307"/>
      <c r="BL331" s="307"/>
      <c r="BM331" s="445">
        <f t="shared" si="139"/>
        <v>0</v>
      </c>
      <c r="BN331" s="442"/>
      <c r="BO331" s="443"/>
      <c r="BP331" s="444">
        <f t="shared" si="140"/>
        <v>0</v>
      </c>
      <c r="BQ331" s="307"/>
      <c r="BR331" s="307"/>
      <c r="BS331" s="445">
        <f t="shared" si="141"/>
        <v>0</v>
      </c>
      <c r="BT331" s="442"/>
      <c r="BU331" s="443"/>
      <c r="BV331" s="444">
        <f t="shared" si="142"/>
        <v>0</v>
      </c>
      <c r="BW331" s="307"/>
      <c r="BX331" s="307"/>
      <c r="BY331" s="449">
        <f t="shared" si="143"/>
        <v>0</v>
      </c>
    </row>
    <row r="332" spans="1:77" s="308" customFormat="1" ht="12.75" customHeight="1">
      <c r="A332" s="348" t="s">
        <v>342</v>
      </c>
      <c r="B332" s="349" t="s">
        <v>207</v>
      </c>
      <c r="C332" s="349"/>
      <c r="D332" s="350">
        <v>199476</v>
      </c>
      <c r="E332" s="458">
        <v>9</v>
      </c>
      <c r="F332" s="453"/>
      <c r="G332" s="454"/>
      <c r="H332" s="439">
        <f t="shared" si="120"/>
        <v>0</v>
      </c>
      <c r="I332" s="311"/>
      <c r="J332" s="311"/>
      <c r="K332" s="441">
        <f t="shared" si="121"/>
        <v>0</v>
      </c>
      <c r="L332" s="442"/>
      <c r="M332" s="443"/>
      <c r="N332" s="444">
        <f t="shared" si="122"/>
        <v>0</v>
      </c>
      <c r="O332" s="307"/>
      <c r="P332" s="307"/>
      <c r="Q332" s="445">
        <f t="shared" si="123"/>
        <v>0</v>
      </c>
      <c r="R332" s="442"/>
      <c r="S332" s="443"/>
      <c r="T332" s="444">
        <f t="shared" si="124"/>
        <v>0</v>
      </c>
      <c r="U332" s="307"/>
      <c r="V332" s="307"/>
      <c r="W332" s="441">
        <f t="shared" si="125"/>
        <v>0</v>
      </c>
      <c r="X332" s="442"/>
      <c r="Y332" s="443"/>
      <c r="Z332" s="444">
        <f t="shared" si="126"/>
        <v>0</v>
      </c>
      <c r="AA332" s="307"/>
      <c r="AB332" s="307"/>
      <c r="AC332" s="445">
        <f t="shared" si="127"/>
        <v>0</v>
      </c>
      <c r="AD332" s="442"/>
      <c r="AE332" s="443"/>
      <c r="AF332" s="444">
        <f t="shared" si="128"/>
        <v>0</v>
      </c>
      <c r="AG332" s="307"/>
      <c r="AH332" s="307"/>
      <c r="AI332" s="445">
        <f t="shared" si="129"/>
        <v>0</v>
      </c>
      <c r="AJ332" s="446">
        <v>88</v>
      </c>
      <c r="AK332" s="443">
        <v>50857</v>
      </c>
      <c r="AL332" s="444">
        <f t="shared" si="130"/>
        <v>4475416</v>
      </c>
      <c r="AM332" s="307">
        <v>96</v>
      </c>
      <c r="AN332" s="307">
        <v>50206</v>
      </c>
      <c r="AO332" s="447">
        <f t="shared" si="131"/>
        <v>4819776</v>
      </c>
      <c r="AP332" s="448"/>
      <c r="AQ332" s="443"/>
      <c r="AR332" s="444">
        <f t="shared" si="132"/>
        <v>0</v>
      </c>
      <c r="AS332" s="307"/>
      <c r="AT332" s="307"/>
      <c r="AU332" s="441">
        <f t="shared" si="133"/>
        <v>0</v>
      </c>
      <c r="AV332" s="442"/>
      <c r="AW332" s="443"/>
      <c r="AX332" s="444">
        <f t="shared" si="134"/>
        <v>0</v>
      </c>
      <c r="AY332" s="307"/>
      <c r="AZ332" s="307"/>
      <c r="BA332" s="445">
        <f t="shared" si="135"/>
        <v>0</v>
      </c>
      <c r="BB332" s="442"/>
      <c r="BC332" s="443"/>
      <c r="BD332" s="444">
        <f t="shared" si="136"/>
        <v>0</v>
      </c>
      <c r="BE332" s="307"/>
      <c r="BF332" s="307"/>
      <c r="BG332" s="445">
        <f t="shared" si="137"/>
        <v>0</v>
      </c>
      <c r="BH332" s="442"/>
      <c r="BI332" s="443"/>
      <c r="BJ332" s="444">
        <f t="shared" si="138"/>
        <v>0</v>
      </c>
      <c r="BK332" s="307"/>
      <c r="BL332" s="307"/>
      <c r="BM332" s="445">
        <f t="shared" si="139"/>
        <v>0</v>
      </c>
      <c r="BN332" s="442"/>
      <c r="BO332" s="443"/>
      <c r="BP332" s="444">
        <f t="shared" si="140"/>
        <v>0</v>
      </c>
      <c r="BQ332" s="307"/>
      <c r="BR332" s="307"/>
      <c r="BS332" s="445">
        <f t="shared" si="141"/>
        <v>0</v>
      </c>
      <c r="BT332" s="442"/>
      <c r="BU332" s="443"/>
      <c r="BV332" s="444">
        <f t="shared" si="142"/>
        <v>0</v>
      </c>
      <c r="BW332" s="307"/>
      <c r="BX332" s="307"/>
      <c r="BY332" s="449">
        <f t="shared" si="143"/>
        <v>0</v>
      </c>
    </row>
    <row r="333" spans="1:77" s="308" customFormat="1" ht="12.75" customHeight="1">
      <c r="A333" s="348" t="s">
        <v>342</v>
      </c>
      <c r="B333" s="349" t="s">
        <v>210</v>
      </c>
      <c r="C333" s="349"/>
      <c r="D333" s="350">
        <v>199634</v>
      </c>
      <c r="E333" s="458">
        <v>9</v>
      </c>
      <c r="F333" s="453"/>
      <c r="G333" s="454"/>
      <c r="H333" s="439">
        <f t="shared" si="120"/>
        <v>0</v>
      </c>
      <c r="I333" s="311"/>
      <c r="J333" s="311"/>
      <c r="K333" s="441">
        <f t="shared" si="121"/>
        <v>0</v>
      </c>
      <c r="L333" s="442"/>
      <c r="M333" s="443"/>
      <c r="N333" s="444">
        <f t="shared" si="122"/>
        <v>0</v>
      </c>
      <c r="O333" s="307"/>
      <c r="P333" s="307"/>
      <c r="Q333" s="445">
        <f t="shared" si="123"/>
        <v>0</v>
      </c>
      <c r="R333" s="442"/>
      <c r="S333" s="443"/>
      <c r="T333" s="444">
        <f t="shared" si="124"/>
        <v>0</v>
      </c>
      <c r="U333" s="307"/>
      <c r="V333" s="307"/>
      <c r="W333" s="441">
        <f t="shared" si="125"/>
        <v>0</v>
      </c>
      <c r="X333" s="442"/>
      <c r="Y333" s="443"/>
      <c r="Z333" s="444">
        <f t="shared" si="126"/>
        <v>0</v>
      </c>
      <c r="AA333" s="307"/>
      <c r="AB333" s="307"/>
      <c r="AC333" s="445">
        <f t="shared" si="127"/>
        <v>0</v>
      </c>
      <c r="AD333" s="442"/>
      <c r="AE333" s="443"/>
      <c r="AF333" s="444">
        <f t="shared" si="128"/>
        <v>0</v>
      </c>
      <c r="AG333" s="307"/>
      <c r="AH333" s="307"/>
      <c r="AI333" s="445">
        <f t="shared" si="129"/>
        <v>0</v>
      </c>
      <c r="AJ333" s="446">
        <v>129</v>
      </c>
      <c r="AK333" s="443">
        <v>49181</v>
      </c>
      <c r="AL333" s="444">
        <f t="shared" si="130"/>
        <v>6344349</v>
      </c>
      <c r="AM333" s="307">
        <v>145</v>
      </c>
      <c r="AN333" s="307">
        <v>48625</v>
      </c>
      <c r="AO333" s="447">
        <f t="shared" si="131"/>
        <v>7050625</v>
      </c>
      <c r="AP333" s="448"/>
      <c r="AQ333" s="443"/>
      <c r="AR333" s="444">
        <f t="shared" si="132"/>
        <v>0</v>
      </c>
      <c r="AS333" s="307"/>
      <c r="AT333" s="307"/>
      <c r="AU333" s="441">
        <f t="shared" si="133"/>
        <v>0</v>
      </c>
      <c r="AV333" s="442"/>
      <c r="AW333" s="443"/>
      <c r="AX333" s="444">
        <f t="shared" si="134"/>
        <v>0</v>
      </c>
      <c r="AY333" s="307"/>
      <c r="AZ333" s="307"/>
      <c r="BA333" s="445">
        <f t="shared" si="135"/>
        <v>0</v>
      </c>
      <c r="BB333" s="442"/>
      <c r="BC333" s="443"/>
      <c r="BD333" s="444">
        <f t="shared" si="136"/>
        <v>0</v>
      </c>
      <c r="BE333" s="307"/>
      <c r="BF333" s="307"/>
      <c r="BG333" s="445">
        <f t="shared" si="137"/>
        <v>0</v>
      </c>
      <c r="BH333" s="442"/>
      <c r="BI333" s="443"/>
      <c r="BJ333" s="444">
        <f t="shared" si="138"/>
        <v>0</v>
      </c>
      <c r="BK333" s="307"/>
      <c r="BL333" s="307"/>
      <c r="BM333" s="445">
        <f t="shared" si="139"/>
        <v>0</v>
      </c>
      <c r="BN333" s="442"/>
      <c r="BO333" s="443"/>
      <c r="BP333" s="444">
        <f t="shared" si="140"/>
        <v>0</v>
      </c>
      <c r="BQ333" s="307"/>
      <c r="BR333" s="307"/>
      <c r="BS333" s="445">
        <f t="shared" si="141"/>
        <v>0</v>
      </c>
      <c r="BT333" s="442"/>
      <c r="BU333" s="443"/>
      <c r="BV333" s="444">
        <f t="shared" si="142"/>
        <v>0</v>
      </c>
      <c r="BW333" s="307"/>
      <c r="BX333" s="307"/>
      <c r="BY333" s="449">
        <f t="shared" si="143"/>
        <v>0</v>
      </c>
    </row>
    <row r="334" spans="1:77" s="308" customFormat="1" ht="12.75" customHeight="1">
      <c r="A334" s="348" t="s">
        <v>342</v>
      </c>
      <c r="B334" s="349" t="s">
        <v>215</v>
      </c>
      <c r="C334" s="349"/>
      <c r="D334" s="350">
        <v>199740</v>
      </c>
      <c r="E334" s="458">
        <v>9</v>
      </c>
      <c r="F334" s="453"/>
      <c r="G334" s="454"/>
      <c r="H334" s="439">
        <f t="shared" si="120"/>
        <v>0</v>
      </c>
      <c r="I334" s="311"/>
      <c r="J334" s="311"/>
      <c r="K334" s="441">
        <f t="shared" si="121"/>
        <v>0</v>
      </c>
      <c r="L334" s="442"/>
      <c r="M334" s="443"/>
      <c r="N334" s="444">
        <f t="shared" si="122"/>
        <v>0</v>
      </c>
      <c r="O334" s="307"/>
      <c r="P334" s="307"/>
      <c r="Q334" s="445">
        <f t="shared" si="123"/>
        <v>0</v>
      </c>
      <c r="R334" s="442"/>
      <c r="S334" s="443"/>
      <c r="T334" s="444">
        <f t="shared" si="124"/>
        <v>0</v>
      </c>
      <c r="U334" s="307"/>
      <c r="V334" s="307"/>
      <c r="W334" s="441">
        <f t="shared" si="125"/>
        <v>0</v>
      </c>
      <c r="X334" s="442"/>
      <c r="Y334" s="443"/>
      <c r="Z334" s="444">
        <f t="shared" si="126"/>
        <v>0</v>
      </c>
      <c r="AA334" s="307"/>
      <c r="AB334" s="307"/>
      <c r="AC334" s="445">
        <f t="shared" si="127"/>
        <v>0</v>
      </c>
      <c r="AD334" s="442"/>
      <c r="AE334" s="443"/>
      <c r="AF334" s="444">
        <f t="shared" si="128"/>
        <v>0</v>
      </c>
      <c r="AG334" s="307"/>
      <c r="AH334" s="307"/>
      <c r="AI334" s="445">
        <f t="shared" si="129"/>
        <v>0</v>
      </c>
      <c r="AJ334" s="446">
        <v>94</v>
      </c>
      <c r="AK334" s="443">
        <v>44142</v>
      </c>
      <c r="AL334" s="444">
        <f t="shared" si="130"/>
        <v>4149348</v>
      </c>
      <c r="AM334" s="307">
        <v>102</v>
      </c>
      <c r="AN334" s="307">
        <v>43544</v>
      </c>
      <c r="AO334" s="447">
        <f t="shared" si="131"/>
        <v>4441488</v>
      </c>
      <c r="AP334" s="448"/>
      <c r="AQ334" s="443"/>
      <c r="AR334" s="444">
        <f t="shared" si="132"/>
        <v>0</v>
      </c>
      <c r="AS334" s="307"/>
      <c r="AT334" s="307"/>
      <c r="AU334" s="441">
        <f t="shared" si="133"/>
        <v>0</v>
      </c>
      <c r="AV334" s="442"/>
      <c r="AW334" s="443"/>
      <c r="AX334" s="444">
        <f t="shared" si="134"/>
        <v>0</v>
      </c>
      <c r="AY334" s="307"/>
      <c r="AZ334" s="307"/>
      <c r="BA334" s="445">
        <f t="shared" si="135"/>
        <v>0</v>
      </c>
      <c r="BB334" s="442"/>
      <c r="BC334" s="443"/>
      <c r="BD334" s="444">
        <f t="shared" si="136"/>
        <v>0</v>
      </c>
      <c r="BE334" s="307"/>
      <c r="BF334" s="307"/>
      <c r="BG334" s="445">
        <f t="shared" si="137"/>
        <v>0</v>
      </c>
      <c r="BH334" s="442"/>
      <c r="BI334" s="443"/>
      <c r="BJ334" s="444">
        <f t="shared" si="138"/>
        <v>0</v>
      </c>
      <c r="BK334" s="307"/>
      <c r="BL334" s="307"/>
      <c r="BM334" s="445">
        <f t="shared" si="139"/>
        <v>0</v>
      </c>
      <c r="BN334" s="442"/>
      <c r="BO334" s="443"/>
      <c r="BP334" s="444">
        <f t="shared" si="140"/>
        <v>0</v>
      </c>
      <c r="BQ334" s="307"/>
      <c r="BR334" s="307"/>
      <c r="BS334" s="445">
        <f t="shared" si="141"/>
        <v>0</v>
      </c>
      <c r="BT334" s="442"/>
      <c r="BU334" s="443"/>
      <c r="BV334" s="444">
        <f t="shared" si="142"/>
        <v>0</v>
      </c>
      <c r="BW334" s="307"/>
      <c r="BX334" s="307"/>
      <c r="BY334" s="449">
        <f t="shared" si="143"/>
        <v>0</v>
      </c>
    </row>
    <row r="335" spans="1:77" s="308" customFormat="1" ht="12.75" customHeight="1">
      <c r="A335" s="348" t="s">
        <v>342</v>
      </c>
      <c r="B335" s="349" t="s">
        <v>216</v>
      </c>
      <c r="C335" s="349"/>
      <c r="D335" s="350">
        <v>199768</v>
      </c>
      <c r="E335" s="458">
        <v>9</v>
      </c>
      <c r="F335" s="453"/>
      <c r="G335" s="454"/>
      <c r="H335" s="439">
        <f t="shared" si="120"/>
        <v>0</v>
      </c>
      <c r="I335" s="311"/>
      <c r="J335" s="311"/>
      <c r="K335" s="441">
        <f t="shared" si="121"/>
        <v>0</v>
      </c>
      <c r="L335" s="442"/>
      <c r="M335" s="443"/>
      <c r="N335" s="444">
        <f t="shared" si="122"/>
        <v>0</v>
      </c>
      <c r="O335" s="307"/>
      <c r="P335" s="307"/>
      <c r="Q335" s="445">
        <f t="shared" si="123"/>
        <v>0</v>
      </c>
      <c r="R335" s="442"/>
      <c r="S335" s="443"/>
      <c r="T335" s="444">
        <f t="shared" si="124"/>
        <v>0</v>
      </c>
      <c r="U335" s="307"/>
      <c r="V335" s="307"/>
      <c r="W335" s="441">
        <f t="shared" si="125"/>
        <v>0</v>
      </c>
      <c r="X335" s="442"/>
      <c r="Y335" s="443"/>
      <c r="Z335" s="444">
        <f t="shared" si="126"/>
        <v>0</v>
      </c>
      <c r="AA335" s="307"/>
      <c r="AB335" s="307"/>
      <c r="AC335" s="445">
        <f t="shared" si="127"/>
        <v>0</v>
      </c>
      <c r="AD335" s="442"/>
      <c r="AE335" s="443"/>
      <c r="AF335" s="444">
        <f t="shared" si="128"/>
        <v>0</v>
      </c>
      <c r="AG335" s="307"/>
      <c r="AH335" s="307"/>
      <c r="AI335" s="445">
        <f t="shared" si="129"/>
        <v>0</v>
      </c>
      <c r="AJ335" s="446">
        <v>104</v>
      </c>
      <c r="AK335" s="443">
        <v>48207</v>
      </c>
      <c r="AL335" s="444">
        <f t="shared" si="130"/>
        <v>5013528</v>
      </c>
      <c r="AM335" s="307">
        <v>104</v>
      </c>
      <c r="AN335" s="307">
        <v>47175</v>
      </c>
      <c r="AO335" s="447">
        <f t="shared" si="131"/>
        <v>4906200</v>
      </c>
      <c r="AP335" s="448"/>
      <c r="AQ335" s="443"/>
      <c r="AR335" s="444">
        <f t="shared" si="132"/>
        <v>0</v>
      </c>
      <c r="AS335" s="307"/>
      <c r="AT335" s="307"/>
      <c r="AU335" s="441">
        <f t="shared" si="133"/>
        <v>0</v>
      </c>
      <c r="AV335" s="442"/>
      <c r="AW335" s="443"/>
      <c r="AX335" s="444">
        <f t="shared" si="134"/>
        <v>0</v>
      </c>
      <c r="AY335" s="307"/>
      <c r="AZ335" s="307"/>
      <c r="BA335" s="445">
        <f t="shared" si="135"/>
        <v>0</v>
      </c>
      <c r="BB335" s="442"/>
      <c r="BC335" s="443"/>
      <c r="BD335" s="444">
        <f t="shared" si="136"/>
        <v>0</v>
      </c>
      <c r="BE335" s="307"/>
      <c r="BF335" s="307"/>
      <c r="BG335" s="445">
        <f t="shared" si="137"/>
        <v>0</v>
      </c>
      <c r="BH335" s="442"/>
      <c r="BI335" s="443"/>
      <c r="BJ335" s="444">
        <f t="shared" si="138"/>
        <v>0</v>
      </c>
      <c r="BK335" s="307"/>
      <c r="BL335" s="307"/>
      <c r="BM335" s="445">
        <f t="shared" si="139"/>
        <v>0</v>
      </c>
      <c r="BN335" s="442"/>
      <c r="BO335" s="443"/>
      <c r="BP335" s="444">
        <f t="shared" si="140"/>
        <v>0</v>
      </c>
      <c r="BQ335" s="307"/>
      <c r="BR335" s="307"/>
      <c r="BS335" s="445">
        <f t="shared" si="141"/>
        <v>0</v>
      </c>
      <c r="BT335" s="442"/>
      <c r="BU335" s="443"/>
      <c r="BV335" s="444">
        <f t="shared" si="142"/>
        <v>0</v>
      </c>
      <c r="BW335" s="307"/>
      <c r="BX335" s="307"/>
      <c r="BY335" s="449">
        <f t="shared" si="143"/>
        <v>0</v>
      </c>
    </row>
    <row r="336" spans="1:77" s="308" customFormat="1" ht="12.75" customHeight="1">
      <c r="A336" s="348" t="s">
        <v>342</v>
      </c>
      <c r="B336" s="349" t="s">
        <v>217</v>
      </c>
      <c r="C336" s="349"/>
      <c r="D336" s="350">
        <v>199838</v>
      </c>
      <c r="E336" s="458">
        <v>9</v>
      </c>
      <c r="F336" s="453"/>
      <c r="G336" s="454"/>
      <c r="H336" s="439">
        <f t="shared" si="120"/>
        <v>0</v>
      </c>
      <c r="I336" s="311"/>
      <c r="J336" s="311"/>
      <c r="K336" s="441">
        <f t="shared" si="121"/>
        <v>0</v>
      </c>
      <c r="L336" s="442"/>
      <c r="M336" s="443"/>
      <c r="N336" s="444">
        <f t="shared" si="122"/>
        <v>0</v>
      </c>
      <c r="O336" s="307"/>
      <c r="P336" s="307"/>
      <c r="Q336" s="445">
        <f t="shared" si="123"/>
        <v>0</v>
      </c>
      <c r="R336" s="442"/>
      <c r="S336" s="443"/>
      <c r="T336" s="444">
        <f t="shared" si="124"/>
        <v>0</v>
      </c>
      <c r="U336" s="307"/>
      <c r="V336" s="307"/>
      <c r="W336" s="441">
        <f t="shared" si="125"/>
        <v>0</v>
      </c>
      <c r="X336" s="442"/>
      <c r="Y336" s="443"/>
      <c r="Z336" s="444">
        <f t="shared" si="126"/>
        <v>0</v>
      </c>
      <c r="AA336" s="307"/>
      <c r="AB336" s="307"/>
      <c r="AC336" s="445">
        <f t="shared" si="127"/>
        <v>0</v>
      </c>
      <c r="AD336" s="442"/>
      <c r="AE336" s="443"/>
      <c r="AF336" s="444">
        <f t="shared" si="128"/>
        <v>0</v>
      </c>
      <c r="AG336" s="307"/>
      <c r="AH336" s="307"/>
      <c r="AI336" s="445">
        <f t="shared" si="129"/>
        <v>0</v>
      </c>
      <c r="AJ336" s="446">
        <v>144</v>
      </c>
      <c r="AK336" s="443">
        <v>44252</v>
      </c>
      <c r="AL336" s="444">
        <f t="shared" si="130"/>
        <v>6372288</v>
      </c>
      <c r="AM336" s="307">
        <v>137</v>
      </c>
      <c r="AN336" s="307">
        <v>43856</v>
      </c>
      <c r="AO336" s="447">
        <f t="shared" si="131"/>
        <v>6008272</v>
      </c>
      <c r="AP336" s="448"/>
      <c r="AQ336" s="443"/>
      <c r="AR336" s="444">
        <f t="shared" si="132"/>
        <v>0</v>
      </c>
      <c r="AS336" s="307"/>
      <c r="AT336" s="307"/>
      <c r="AU336" s="441">
        <f t="shared" si="133"/>
        <v>0</v>
      </c>
      <c r="AV336" s="442"/>
      <c r="AW336" s="443"/>
      <c r="AX336" s="444">
        <f t="shared" si="134"/>
        <v>0</v>
      </c>
      <c r="AY336" s="307"/>
      <c r="AZ336" s="307"/>
      <c r="BA336" s="445">
        <f t="shared" si="135"/>
        <v>0</v>
      </c>
      <c r="BB336" s="442"/>
      <c r="BC336" s="443"/>
      <c r="BD336" s="444">
        <f t="shared" si="136"/>
        <v>0</v>
      </c>
      <c r="BE336" s="307"/>
      <c r="BF336" s="307"/>
      <c r="BG336" s="445">
        <f t="shared" si="137"/>
        <v>0</v>
      </c>
      <c r="BH336" s="442"/>
      <c r="BI336" s="443"/>
      <c r="BJ336" s="444">
        <f t="shared" si="138"/>
        <v>0</v>
      </c>
      <c r="BK336" s="307"/>
      <c r="BL336" s="307"/>
      <c r="BM336" s="445">
        <f t="shared" si="139"/>
        <v>0</v>
      </c>
      <c r="BN336" s="442"/>
      <c r="BO336" s="443"/>
      <c r="BP336" s="444">
        <f t="shared" si="140"/>
        <v>0</v>
      </c>
      <c r="BQ336" s="307"/>
      <c r="BR336" s="307"/>
      <c r="BS336" s="445">
        <f t="shared" si="141"/>
        <v>0</v>
      </c>
      <c r="BT336" s="442"/>
      <c r="BU336" s="443"/>
      <c r="BV336" s="444">
        <f t="shared" si="142"/>
        <v>0</v>
      </c>
      <c r="BW336" s="307"/>
      <c r="BX336" s="307"/>
      <c r="BY336" s="449">
        <f t="shared" si="143"/>
        <v>0</v>
      </c>
    </row>
    <row r="337" spans="1:77" s="308" customFormat="1" ht="12.75" customHeight="1">
      <c r="A337" s="348" t="s">
        <v>342</v>
      </c>
      <c r="B337" s="349" t="s">
        <v>218</v>
      </c>
      <c r="C337" s="349"/>
      <c r="D337" s="350">
        <v>199892</v>
      </c>
      <c r="E337" s="458">
        <v>9</v>
      </c>
      <c r="F337" s="453"/>
      <c r="G337" s="454"/>
      <c r="H337" s="439">
        <f t="shared" si="120"/>
        <v>0</v>
      </c>
      <c r="I337" s="311"/>
      <c r="J337" s="311"/>
      <c r="K337" s="441">
        <f t="shared" si="121"/>
        <v>0</v>
      </c>
      <c r="L337" s="442"/>
      <c r="M337" s="443"/>
      <c r="N337" s="444">
        <f t="shared" si="122"/>
        <v>0</v>
      </c>
      <c r="O337" s="307"/>
      <c r="P337" s="307"/>
      <c r="Q337" s="445">
        <f t="shared" si="123"/>
        <v>0</v>
      </c>
      <c r="R337" s="442"/>
      <c r="S337" s="443"/>
      <c r="T337" s="444">
        <f t="shared" si="124"/>
        <v>0</v>
      </c>
      <c r="U337" s="307"/>
      <c r="V337" s="307"/>
      <c r="W337" s="441">
        <f t="shared" si="125"/>
        <v>0</v>
      </c>
      <c r="X337" s="442"/>
      <c r="Y337" s="443"/>
      <c r="Z337" s="444">
        <f t="shared" si="126"/>
        <v>0</v>
      </c>
      <c r="AA337" s="307"/>
      <c r="AB337" s="307"/>
      <c r="AC337" s="445">
        <f t="shared" si="127"/>
        <v>0</v>
      </c>
      <c r="AD337" s="442"/>
      <c r="AE337" s="443"/>
      <c r="AF337" s="444">
        <f t="shared" si="128"/>
        <v>0</v>
      </c>
      <c r="AG337" s="307"/>
      <c r="AH337" s="307"/>
      <c r="AI337" s="445">
        <f t="shared" si="129"/>
        <v>0</v>
      </c>
      <c r="AJ337" s="446">
        <v>124</v>
      </c>
      <c r="AK337" s="443">
        <v>43961</v>
      </c>
      <c r="AL337" s="444">
        <f t="shared" si="130"/>
        <v>5451164</v>
      </c>
      <c r="AM337" s="307">
        <v>125</v>
      </c>
      <c r="AN337" s="307">
        <v>44540</v>
      </c>
      <c r="AO337" s="447">
        <f t="shared" si="131"/>
        <v>5567500</v>
      </c>
      <c r="AP337" s="448"/>
      <c r="AQ337" s="443"/>
      <c r="AR337" s="444">
        <f t="shared" si="132"/>
        <v>0</v>
      </c>
      <c r="AS337" s="307"/>
      <c r="AT337" s="307"/>
      <c r="AU337" s="441">
        <f t="shared" si="133"/>
        <v>0</v>
      </c>
      <c r="AV337" s="442"/>
      <c r="AW337" s="443"/>
      <c r="AX337" s="444">
        <f t="shared" si="134"/>
        <v>0</v>
      </c>
      <c r="AY337" s="307"/>
      <c r="AZ337" s="307"/>
      <c r="BA337" s="445">
        <f t="shared" si="135"/>
        <v>0</v>
      </c>
      <c r="BB337" s="442"/>
      <c r="BC337" s="443"/>
      <c r="BD337" s="444">
        <f t="shared" si="136"/>
        <v>0</v>
      </c>
      <c r="BE337" s="307"/>
      <c r="BF337" s="307"/>
      <c r="BG337" s="445">
        <f t="shared" si="137"/>
        <v>0</v>
      </c>
      <c r="BH337" s="442"/>
      <c r="BI337" s="443"/>
      <c r="BJ337" s="444">
        <f t="shared" si="138"/>
        <v>0</v>
      </c>
      <c r="BK337" s="307"/>
      <c r="BL337" s="307"/>
      <c r="BM337" s="445">
        <f t="shared" si="139"/>
        <v>0</v>
      </c>
      <c r="BN337" s="442"/>
      <c r="BO337" s="443"/>
      <c r="BP337" s="444">
        <f t="shared" si="140"/>
        <v>0</v>
      </c>
      <c r="BQ337" s="307"/>
      <c r="BR337" s="307"/>
      <c r="BS337" s="445">
        <f t="shared" si="141"/>
        <v>0</v>
      </c>
      <c r="BT337" s="442"/>
      <c r="BU337" s="443"/>
      <c r="BV337" s="444">
        <f t="shared" si="142"/>
        <v>0</v>
      </c>
      <c r="BW337" s="307"/>
      <c r="BX337" s="307"/>
      <c r="BY337" s="449">
        <f t="shared" si="143"/>
        <v>0</v>
      </c>
    </row>
    <row r="338" spans="1:77" s="308" customFormat="1" ht="12.75" customHeight="1">
      <c r="A338" s="348" t="s">
        <v>342</v>
      </c>
      <c r="B338" s="349" t="s">
        <v>219</v>
      </c>
      <c r="C338" s="349"/>
      <c r="D338" s="350">
        <v>199908</v>
      </c>
      <c r="E338" s="458">
        <v>9</v>
      </c>
      <c r="F338" s="453"/>
      <c r="G338" s="454"/>
      <c r="H338" s="439">
        <f t="shared" si="120"/>
        <v>0</v>
      </c>
      <c r="I338" s="311"/>
      <c r="J338" s="311"/>
      <c r="K338" s="441">
        <f t="shared" si="121"/>
        <v>0</v>
      </c>
      <c r="L338" s="442"/>
      <c r="M338" s="443"/>
      <c r="N338" s="444">
        <f t="shared" si="122"/>
        <v>0</v>
      </c>
      <c r="O338" s="307"/>
      <c r="P338" s="307"/>
      <c r="Q338" s="445">
        <f t="shared" si="123"/>
        <v>0</v>
      </c>
      <c r="R338" s="442"/>
      <c r="S338" s="443"/>
      <c r="T338" s="444">
        <f t="shared" si="124"/>
        <v>0</v>
      </c>
      <c r="U338" s="307"/>
      <c r="V338" s="307"/>
      <c r="W338" s="441">
        <f t="shared" si="125"/>
        <v>0</v>
      </c>
      <c r="X338" s="442"/>
      <c r="Y338" s="443"/>
      <c r="Z338" s="444">
        <f t="shared" si="126"/>
        <v>0</v>
      </c>
      <c r="AA338" s="307"/>
      <c r="AB338" s="307"/>
      <c r="AC338" s="445">
        <f t="shared" si="127"/>
        <v>0</v>
      </c>
      <c r="AD338" s="442"/>
      <c r="AE338" s="443"/>
      <c r="AF338" s="444">
        <f t="shared" si="128"/>
        <v>0</v>
      </c>
      <c r="AG338" s="307"/>
      <c r="AH338" s="307"/>
      <c r="AI338" s="445">
        <f t="shared" si="129"/>
        <v>0</v>
      </c>
      <c r="AJ338" s="446">
        <v>75</v>
      </c>
      <c r="AK338" s="443">
        <v>49691</v>
      </c>
      <c r="AL338" s="444">
        <f t="shared" si="130"/>
        <v>3726825</v>
      </c>
      <c r="AM338" s="307">
        <v>78</v>
      </c>
      <c r="AN338" s="307">
        <v>49442</v>
      </c>
      <c r="AO338" s="447">
        <f t="shared" si="131"/>
        <v>3856476</v>
      </c>
      <c r="AP338" s="448"/>
      <c r="AQ338" s="443"/>
      <c r="AR338" s="444">
        <f t="shared" si="132"/>
        <v>0</v>
      </c>
      <c r="AS338" s="307"/>
      <c r="AT338" s="307"/>
      <c r="AU338" s="441">
        <f t="shared" si="133"/>
        <v>0</v>
      </c>
      <c r="AV338" s="442"/>
      <c r="AW338" s="443"/>
      <c r="AX338" s="444">
        <f t="shared" si="134"/>
        <v>0</v>
      </c>
      <c r="AY338" s="307"/>
      <c r="AZ338" s="307"/>
      <c r="BA338" s="445">
        <f t="shared" si="135"/>
        <v>0</v>
      </c>
      <c r="BB338" s="442"/>
      <c r="BC338" s="443"/>
      <c r="BD338" s="444">
        <f t="shared" si="136"/>
        <v>0</v>
      </c>
      <c r="BE338" s="307"/>
      <c r="BF338" s="307"/>
      <c r="BG338" s="445">
        <f t="shared" si="137"/>
        <v>0</v>
      </c>
      <c r="BH338" s="442"/>
      <c r="BI338" s="443"/>
      <c r="BJ338" s="444">
        <f t="shared" si="138"/>
        <v>0</v>
      </c>
      <c r="BK338" s="307"/>
      <c r="BL338" s="307"/>
      <c r="BM338" s="445">
        <f t="shared" si="139"/>
        <v>0</v>
      </c>
      <c r="BN338" s="442"/>
      <c r="BO338" s="443"/>
      <c r="BP338" s="444">
        <f t="shared" si="140"/>
        <v>0</v>
      </c>
      <c r="BQ338" s="307"/>
      <c r="BR338" s="307"/>
      <c r="BS338" s="445">
        <f t="shared" si="141"/>
        <v>0</v>
      </c>
      <c r="BT338" s="442"/>
      <c r="BU338" s="443"/>
      <c r="BV338" s="444">
        <f t="shared" si="142"/>
        <v>0</v>
      </c>
      <c r="BW338" s="307"/>
      <c r="BX338" s="307"/>
      <c r="BY338" s="449">
        <f t="shared" si="143"/>
        <v>0</v>
      </c>
    </row>
    <row r="339" spans="1:77" s="308" customFormat="1" ht="12.75" customHeight="1">
      <c r="A339" s="348" t="s">
        <v>342</v>
      </c>
      <c r="B339" s="349" t="s">
        <v>220</v>
      </c>
      <c r="C339" s="349"/>
      <c r="D339" s="350">
        <v>199926</v>
      </c>
      <c r="E339" s="458">
        <v>9</v>
      </c>
      <c r="F339" s="453"/>
      <c r="G339" s="454"/>
      <c r="H339" s="439">
        <f t="shared" si="120"/>
        <v>0</v>
      </c>
      <c r="I339" s="311"/>
      <c r="J339" s="311"/>
      <c r="K339" s="441">
        <f t="shared" si="121"/>
        <v>0</v>
      </c>
      <c r="L339" s="442"/>
      <c r="M339" s="443"/>
      <c r="N339" s="444">
        <f t="shared" si="122"/>
        <v>0</v>
      </c>
      <c r="O339" s="307"/>
      <c r="P339" s="307"/>
      <c r="Q339" s="445">
        <f t="shared" si="123"/>
        <v>0</v>
      </c>
      <c r="R339" s="442"/>
      <c r="S339" s="443"/>
      <c r="T339" s="444">
        <f t="shared" si="124"/>
        <v>0</v>
      </c>
      <c r="U339" s="307"/>
      <c r="V339" s="307"/>
      <c r="W339" s="441">
        <f t="shared" si="125"/>
        <v>0</v>
      </c>
      <c r="X339" s="442"/>
      <c r="Y339" s="443"/>
      <c r="Z339" s="444">
        <f t="shared" si="126"/>
        <v>0</v>
      </c>
      <c r="AA339" s="307"/>
      <c r="AB339" s="307"/>
      <c r="AC339" s="445">
        <f t="shared" si="127"/>
        <v>0</v>
      </c>
      <c r="AD339" s="442"/>
      <c r="AE339" s="443"/>
      <c r="AF339" s="444">
        <f t="shared" si="128"/>
        <v>0</v>
      </c>
      <c r="AG339" s="307"/>
      <c r="AH339" s="307"/>
      <c r="AI339" s="445">
        <f t="shared" si="129"/>
        <v>0</v>
      </c>
      <c r="AJ339" s="446">
        <v>76</v>
      </c>
      <c r="AK339" s="443">
        <v>46632</v>
      </c>
      <c r="AL339" s="444">
        <f t="shared" si="130"/>
        <v>3544032</v>
      </c>
      <c r="AM339" s="307">
        <v>84</v>
      </c>
      <c r="AN339" s="307">
        <v>47128</v>
      </c>
      <c r="AO339" s="447">
        <f t="shared" si="131"/>
        <v>3958752</v>
      </c>
      <c r="AP339" s="448"/>
      <c r="AQ339" s="443"/>
      <c r="AR339" s="444">
        <f t="shared" si="132"/>
        <v>0</v>
      </c>
      <c r="AS339" s="307"/>
      <c r="AT339" s="307"/>
      <c r="AU339" s="441">
        <f t="shared" si="133"/>
        <v>0</v>
      </c>
      <c r="AV339" s="442"/>
      <c r="AW339" s="443"/>
      <c r="AX339" s="444">
        <f t="shared" si="134"/>
        <v>0</v>
      </c>
      <c r="AY339" s="307"/>
      <c r="AZ339" s="307"/>
      <c r="BA339" s="445">
        <f t="shared" si="135"/>
        <v>0</v>
      </c>
      <c r="BB339" s="442"/>
      <c r="BC339" s="443"/>
      <c r="BD339" s="444">
        <f t="shared" si="136"/>
        <v>0</v>
      </c>
      <c r="BE339" s="307"/>
      <c r="BF339" s="307"/>
      <c r="BG339" s="445">
        <f t="shared" si="137"/>
        <v>0</v>
      </c>
      <c r="BH339" s="442"/>
      <c r="BI339" s="443"/>
      <c r="BJ339" s="444">
        <f t="shared" si="138"/>
        <v>0</v>
      </c>
      <c r="BK339" s="307"/>
      <c r="BL339" s="307"/>
      <c r="BM339" s="445">
        <f t="shared" si="139"/>
        <v>0</v>
      </c>
      <c r="BN339" s="442"/>
      <c r="BO339" s="443"/>
      <c r="BP339" s="444">
        <f t="shared" si="140"/>
        <v>0</v>
      </c>
      <c r="BQ339" s="307"/>
      <c r="BR339" s="307"/>
      <c r="BS339" s="445">
        <f t="shared" si="141"/>
        <v>0</v>
      </c>
      <c r="BT339" s="442"/>
      <c r="BU339" s="443"/>
      <c r="BV339" s="444">
        <f t="shared" si="142"/>
        <v>0</v>
      </c>
      <c r="BW339" s="307"/>
      <c r="BX339" s="307"/>
      <c r="BY339" s="449">
        <f t="shared" si="143"/>
        <v>0</v>
      </c>
    </row>
    <row r="340" spans="1:77" s="308" customFormat="1" ht="12.75" customHeight="1">
      <c r="A340" s="351" t="s">
        <v>342</v>
      </c>
      <c r="B340" s="349" t="s">
        <v>187</v>
      </c>
      <c r="C340" s="349"/>
      <c r="D340" s="350">
        <v>197966</v>
      </c>
      <c r="E340" s="458">
        <v>10</v>
      </c>
      <c r="F340" s="453"/>
      <c r="G340" s="454"/>
      <c r="H340" s="439">
        <f t="shared" si="120"/>
        <v>0</v>
      </c>
      <c r="I340" s="311"/>
      <c r="J340" s="311"/>
      <c r="K340" s="441">
        <f t="shared" si="121"/>
        <v>0</v>
      </c>
      <c r="L340" s="442"/>
      <c r="M340" s="443"/>
      <c r="N340" s="444">
        <f t="shared" si="122"/>
        <v>0</v>
      </c>
      <c r="O340" s="307"/>
      <c r="P340" s="307"/>
      <c r="Q340" s="445">
        <f t="shared" si="123"/>
        <v>0</v>
      </c>
      <c r="R340" s="442"/>
      <c r="S340" s="443"/>
      <c r="T340" s="444">
        <f t="shared" si="124"/>
        <v>0</v>
      </c>
      <c r="U340" s="307"/>
      <c r="V340" s="307"/>
      <c r="W340" s="441">
        <f t="shared" si="125"/>
        <v>0</v>
      </c>
      <c r="X340" s="442"/>
      <c r="Y340" s="443"/>
      <c r="Z340" s="444">
        <f t="shared" si="126"/>
        <v>0</v>
      </c>
      <c r="AA340" s="307"/>
      <c r="AB340" s="307"/>
      <c r="AC340" s="445">
        <f t="shared" si="127"/>
        <v>0</v>
      </c>
      <c r="AD340" s="442"/>
      <c r="AE340" s="443"/>
      <c r="AF340" s="444">
        <f t="shared" si="128"/>
        <v>0</v>
      </c>
      <c r="AG340" s="307"/>
      <c r="AH340" s="307"/>
      <c r="AI340" s="445">
        <f t="shared" si="129"/>
        <v>0</v>
      </c>
      <c r="AJ340" s="446">
        <v>59</v>
      </c>
      <c r="AK340" s="443">
        <v>45745</v>
      </c>
      <c r="AL340" s="444">
        <f t="shared" si="130"/>
        <v>2698955</v>
      </c>
      <c r="AM340" s="307">
        <v>64</v>
      </c>
      <c r="AN340" s="307">
        <v>45007</v>
      </c>
      <c r="AO340" s="447">
        <f t="shared" si="131"/>
        <v>2880448</v>
      </c>
      <c r="AP340" s="448"/>
      <c r="AQ340" s="443"/>
      <c r="AR340" s="444">
        <f t="shared" si="132"/>
        <v>0</v>
      </c>
      <c r="AS340" s="307"/>
      <c r="AT340" s="307"/>
      <c r="AU340" s="441">
        <f t="shared" si="133"/>
        <v>0</v>
      </c>
      <c r="AV340" s="442"/>
      <c r="AW340" s="443"/>
      <c r="AX340" s="444">
        <f t="shared" si="134"/>
        <v>0</v>
      </c>
      <c r="AY340" s="307"/>
      <c r="AZ340" s="307"/>
      <c r="BA340" s="445">
        <f t="shared" si="135"/>
        <v>0</v>
      </c>
      <c r="BB340" s="442"/>
      <c r="BC340" s="443"/>
      <c r="BD340" s="444">
        <f t="shared" si="136"/>
        <v>0</v>
      </c>
      <c r="BE340" s="307"/>
      <c r="BF340" s="307"/>
      <c r="BG340" s="445">
        <f t="shared" si="137"/>
        <v>0</v>
      </c>
      <c r="BH340" s="442"/>
      <c r="BI340" s="443"/>
      <c r="BJ340" s="444">
        <f t="shared" si="138"/>
        <v>0</v>
      </c>
      <c r="BK340" s="307"/>
      <c r="BL340" s="307"/>
      <c r="BM340" s="445">
        <f t="shared" si="139"/>
        <v>0</v>
      </c>
      <c r="BN340" s="442"/>
      <c r="BO340" s="443"/>
      <c r="BP340" s="444">
        <f t="shared" si="140"/>
        <v>0</v>
      </c>
      <c r="BQ340" s="307"/>
      <c r="BR340" s="307"/>
      <c r="BS340" s="445">
        <f t="shared" si="141"/>
        <v>0</v>
      </c>
      <c r="BT340" s="442"/>
      <c r="BU340" s="443"/>
      <c r="BV340" s="444">
        <f t="shared" si="142"/>
        <v>0</v>
      </c>
      <c r="BW340" s="307"/>
      <c r="BX340" s="307"/>
      <c r="BY340" s="449">
        <f t="shared" si="143"/>
        <v>0</v>
      </c>
    </row>
    <row r="341" spans="1:77" s="308" customFormat="1" ht="12.75" customHeight="1">
      <c r="A341" s="348" t="s">
        <v>342</v>
      </c>
      <c r="B341" s="349" t="s">
        <v>222</v>
      </c>
      <c r="C341" s="349"/>
      <c r="D341" s="350">
        <v>198011</v>
      </c>
      <c r="E341" s="458">
        <v>10</v>
      </c>
      <c r="F341" s="453"/>
      <c r="G341" s="454"/>
      <c r="H341" s="439">
        <f t="shared" si="120"/>
        <v>0</v>
      </c>
      <c r="I341" s="311"/>
      <c r="J341" s="311"/>
      <c r="K341" s="441">
        <f t="shared" si="121"/>
        <v>0</v>
      </c>
      <c r="L341" s="442"/>
      <c r="M341" s="443"/>
      <c r="N341" s="444">
        <f t="shared" si="122"/>
        <v>0</v>
      </c>
      <c r="O341" s="307"/>
      <c r="P341" s="307"/>
      <c r="Q341" s="445">
        <f t="shared" si="123"/>
        <v>0</v>
      </c>
      <c r="R341" s="442"/>
      <c r="S341" s="443"/>
      <c r="T341" s="444">
        <f t="shared" si="124"/>
        <v>0</v>
      </c>
      <c r="U341" s="307"/>
      <c r="V341" s="307"/>
      <c r="W341" s="441">
        <f t="shared" si="125"/>
        <v>0</v>
      </c>
      <c r="X341" s="442"/>
      <c r="Y341" s="443"/>
      <c r="Z341" s="444">
        <f t="shared" si="126"/>
        <v>0</v>
      </c>
      <c r="AA341" s="307"/>
      <c r="AB341" s="307"/>
      <c r="AC341" s="445">
        <f t="shared" si="127"/>
        <v>0</v>
      </c>
      <c r="AD341" s="442"/>
      <c r="AE341" s="443"/>
      <c r="AF341" s="444">
        <f t="shared" si="128"/>
        <v>0</v>
      </c>
      <c r="AG341" s="307"/>
      <c r="AH341" s="307"/>
      <c r="AI341" s="445">
        <f t="shared" si="129"/>
        <v>0</v>
      </c>
      <c r="AJ341" s="446">
        <v>43</v>
      </c>
      <c r="AK341" s="443">
        <v>48259</v>
      </c>
      <c r="AL341" s="444">
        <f t="shared" si="130"/>
        <v>2075137</v>
      </c>
      <c r="AM341" s="307">
        <v>46</v>
      </c>
      <c r="AN341" s="307">
        <v>60218</v>
      </c>
      <c r="AO341" s="447">
        <f t="shared" si="131"/>
        <v>2770028</v>
      </c>
      <c r="AP341" s="448"/>
      <c r="AQ341" s="443"/>
      <c r="AR341" s="444">
        <f t="shared" si="132"/>
        <v>0</v>
      </c>
      <c r="AS341" s="307"/>
      <c r="AT341" s="307"/>
      <c r="AU341" s="441">
        <f t="shared" si="133"/>
        <v>0</v>
      </c>
      <c r="AV341" s="442"/>
      <c r="AW341" s="443"/>
      <c r="AX341" s="444">
        <f t="shared" si="134"/>
        <v>0</v>
      </c>
      <c r="AY341" s="307"/>
      <c r="AZ341" s="307"/>
      <c r="BA341" s="445">
        <f t="shared" si="135"/>
        <v>0</v>
      </c>
      <c r="BB341" s="442"/>
      <c r="BC341" s="443"/>
      <c r="BD341" s="444">
        <f t="shared" si="136"/>
        <v>0</v>
      </c>
      <c r="BE341" s="307"/>
      <c r="BF341" s="307"/>
      <c r="BG341" s="445">
        <f t="shared" si="137"/>
        <v>0</v>
      </c>
      <c r="BH341" s="442"/>
      <c r="BI341" s="443"/>
      <c r="BJ341" s="444">
        <f t="shared" si="138"/>
        <v>0</v>
      </c>
      <c r="BK341" s="307"/>
      <c r="BL341" s="307"/>
      <c r="BM341" s="445">
        <f t="shared" si="139"/>
        <v>0</v>
      </c>
      <c r="BN341" s="442"/>
      <c r="BO341" s="443"/>
      <c r="BP341" s="444">
        <f t="shared" si="140"/>
        <v>0</v>
      </c>
      <c r="BQ341" s="307"/>
      <c r="BR341" s="307"/>
      <c r="BS341" s="445">
        <f t="shared" si="141"/>
        <v>0</v>
      </c>
      <c r="BT341" s="442"/>
      <c r="BU341" s="443"/>
      <c r="BV341" s="444">
        <f t="shared" si="142"/>
        <v>0</v>
      </c>
      <c r="BW341" s="307"/>
      <c r="BX341" s="307"/>
      <c r="BY341" s="449">
        <f t="shared" si="143"/>
        <v>0</v>
      </c>
    </row>
    <row r="342" spans="1:77" s="308" customFormat="1" ht="12.75" customHeight="1">
      <c r="A342" s="348" t="s">
        <v>342</v>
      </c>
      <c r="B342" s="408" t="s">
        <v>188</v>
      </c>
      <c r="C342" s="537" t="s">
        <v>1122</v>
      </c>
      <c r="D342" s="350">
        <v>198039</v>
      </c>
      <c r="E342" s="538">
        <v>10</v>
      </c>
      <c r="F342" s="453"/>
      <c r="G342" s="454"/>
      <c r="H342" s="439">
        <f t="shared" si="120"/>
        <v>0</v>
      </c>
      <c r="I342" s="311"/>
      <c r="J342" s="311"/>
      <c r="K342" s="441">
        <f t="shared" si="121"/>
        <v>0</v>
      </c>
      <c r="L342" s="442"/>
      <c r="M342" s="443"/>
      <c r="N342" s="444">
        <f t="shared" si="122"/>
        <v>0</v>
      </c>
      <c r="O342" s="307"/>
      <c r="P342" s="307"/>
      <c r="Q342" s="445">
        <f t="shared" si="123"/>
        <v>0</v>
      </c>
      <c r="R342" s="442"/>
      <c r="S342" s="443"/>
      <c r="T342" s="444">
        <f t="shared" si="124"/>
        <v>0</v>
      </c>
      <c r="U342" s="307"/>
      <c r="V342" s="307"/>
      <c r="W342" s="441">
        <f t="shared" si="125"/>
        <v>0</v>
      </c>
      <c r="X342" s="442"/>
      <c r="Y342" s="443"/>
      <c r="Z342" s="444">
        <f t="shared" si="126"/>
        <v>0</v>
      </c>
      <c r="AA342" s="307"/>
      <c r="AB342" s="307"/>
      <c r="AC342" s="445">
        <f t="shared" si="127"/>
        <v>0</v>
      </c>
      <c r="AD342" s="442"/>
      <c r="AE342" s="443"/>
      <c r="AF342" s="444">
        <f t="shared" si="128"/>
        <v>0</v>
      </c>
      <c r="AG342" s="307"/>
      <c r="AH342" s="307"/>
      <c r="AI342" s="445">
        <f t="shared" si="129"/>
        <v>0</v>
      </c>
      <c r="AJ342" s="446">
        <v>70</v>
      </c>
      <c r="AK342" s="443">
        <v>51515</v>
      </c>
      <c r="AL342" s="444">
        <f t="shared" si="130"/>
        <v>3606050</v>
      </c>
      <c r="AM342" s="307">
        <v>72</v>
      </c>
      <c r="AN342" s="307">
        <v>41806</v>
      </c>
      <c r="AO342" s="447">
        <f t="shared" si="131"/>
        <v>3010032</v>
      </c>
      <c r="AP342" s="448"/>
      <c r="AQ342" s="443"/>
      <c r="AR342" s="444">
        <f t="shared" si="132"/>
        <v>0</v>
      </c>
      <c r="AS342" s="307"/>
      <c r="AT342" s="307"/>
      <c r="AU342" s="441">
        <f t="shared" si="133"/>
        <v>0</v>
      </c>
      <c r="AV342" s="442"/>
      <c r="AW342" s="443"/>
      <c r="AX342" s="444">
        <f t="shared" si="134"/>
        <v>0</v>
      </c>
      <c r="AY342" s="307"/>
      <c r="AZ342" s="307"/>
      <c r="BA342" s="445">
        <f t="shared" si="135"/>
        <v>0</v>
      </c>
      <c r="BB342" s="442"/>
      <c r="BC342" s="443"/>
      <c r="BD342" s="444">
        <f t="shared" si="136"/>
        <v>0</v>
      </c>
      <c r="BE342" s="307"/>
      <c r="BF342" s="307"/>
      <c r="BG342" s="445">
        <f t="shared" si="137"/>
        <v>0</v>
      </c>
      <c r="BH342" s="442"/>
      <c r="BI342" s="443"/>
      <c r="BJ342" s="444">
        <f t="shared" si="138"/>
        <v>0</v>
      </c>
      <c r="BK342" s="307"/>
      <c r="BL342" s="307"/>
      <c r="BM342" s="445">
        <f t="shared" si="139"/>
        <v>0</v>
      </c>
      <c r="BN342" s="442"/>
      <c r="BO342" s="443"/>
      <c r="BP342" s="444">
        <f t="shared" si="140"/>
        <v>0</v>
      </c>
      <c r="BQ342" s="307"/>
      <c r="BR342" s="307"/>
      <c r="BS342" s="445">
        <f t="shared" si="141"/>
        <v>0</v>
      </c>
      <c r="BT342" s="442"/>
      <c r="BU342" s="443"/>
      <c r="BV342" s="444">
        <f t="shared" si="142"/>
        <v>0</v>
      </c>
      <c r="BW342" s="307"/>
      <c r="BX342" s="307"/>
      <c r="BY342" s="449">
        <f t="shared" si="143"/>
        <v>0</v>
      </c>
    </row>
    <row r="343" spans="1:77" s="308" customFormat="1" ht="12.75" customHeight="1">
      <c r="A343" s="348" t="s">
        <v>342</v>
      </c>
      <c r="B343" s="349" t="s">
        <v>223</v>
      </c>
      <c r="C343" s="349"/>
      <c r="D343" s="350">
        <v>198084</v>
      </c>
      <c r="E343" s="458">
        <v>10</v>
      </c>
      <c r="F343" s="453"/>
      <c r="G343" s="454"/>
      <c r="H343" s="439">
        <f t="shared" si="120"/>
        <v>0</v>
      </c>
      <c r="I343" s="311"/>
      <c r="J343" s="311"/>
      <c r="K343" s="441">
        <f t="shared" si="121"/>
        <v>0</v>
      </c>
      <c r="L343" s="442"/>
      <c r="M343" s="443"/>
      <c r="N343" s="444">
        <f t="shared" si="122"/>
        <v>0</v>
      </c>
      <c r="O343" s="307"/>
      <c r="P343" s="307"/>
      <c r="Q343" s="445">
        <f t="shared" si="123"/>
        <v>0</v>
      </c>
      <c r="R343" s="442"/>
      <c r="S343" s="443"/>
      <c r="T343" s="444">
        <f t="shared" si="124"/>
        <v>0</v>
      </c>
      <c r="U343" s="307"/>
      <c r="V343" s="307"/>
      <c r="W343" s="441">
        <f t="shared" si="125"/>
        <v>0</v>
      </c>
      <c r="X343" s="442"/>
      <c r="Y343" s="443"/>
      <c r="Z343" s="444">
        <f t="shared" si="126"/>
        <v>0</v>
      </c>
      <c r="AA343" s="307"/>
      <c r="AB343" s="307"/>
      <c r="AC343" s="445">
        <f t="shared" si="127"/>
        <v>0</v>
      </c>
      <c r="AD343" s="442"/>
      <c r="AE343" s="443"/>
      <c r="AF343" s="444">
        <f t="shared" si="128"/>
        <v>0</v>
      </c>
      <c r="AG343" s="307"/>
      <c r="AH343" s="307"/>
      <c r="AI343" s="445">
        <f t="shared" si="129"/>
        <v>0</v>
      </c>
      <c r="AJ343" s="446">
        <v>49</v>
      </c>
      <c r="AK343" s="443">
        <v>35983</v>
      </c>
      <c r="AL343" s="444">
        <f t="shared" si="130"/>
        <v>1763167</v>
      </c>
      <c r="AM343" s="307">
        <v>53</v>
      </c>
      <c r="AN343" s="307">
        <v>35325</v>
      </c>
      <c r="AO343" s="447">
        <f t="shared" si="131"/>
        <v>1872225</v>
      </c>
      <c r="AP343" s="448"/>
      <c r="AQ343" s="443"/>
      <c r="AR343" s="444">
        <f t="shared" si="132"/>
        <v>0</v>
      </c>
      <c r="AS343" s="307"/>
      <c r="AT343" s="307"/>
      <c r="AU343" s="441">
        <f t="shared" si="133"/>
        <v>0</v>
      </c>
      <c r="AV343" s="442"/>
      <c r="AW343" s="443"/>
      <c r="AX343" s="444">
        <f t="shared" si="134"/>
        <v>0</v>
      </c>
      <c r="AY343" s="307"/>
      <c r="AZ343" s="307"/>
      <c r="BA343" s="445">
        <f t="shared" si="135"/>
        <v>0</v>
      </c>
      <c r="BB343" s="442"/>
      <c r="BC343" s="443"/>
      <c r="BD343" s="444">
        <f t="shared" si="136"/>
        <v>0</v>
      </c>
      <c r="BE343" s="307"/>
      <c r="BF343" s="307"/>
      <c r="BG343" s="445">
        <f t="shared" si="137"/>
        <v>0</v>
      </c>
      <c r="BH343" s="442"/>
      <c r="BI343" s="443"/>
      <c r="BJ343" s="444">
        <f t="shared" si="138"/>
        <v>0</v>
      </c>
      <c r="BK343" s="307"/>
      <c r="BL343" s="307"/>
      <c r="BM343" s="445">
        <f t="shared" si="139"/>
        <v>0</v>
      </c>
      <c r="BN343" s="442"/>
      <c r="BO343" s="443"/>
      <c r="BP343" s="444">
        <f t="shared" si="140"/>
        <v>0</v>
      </c>
      <c r="BQ343" s="307"/>
      <c r="BR343" s="307"/>
      <c r="BS343" s="445">
        <f t="shared" si="141"/>
        <v>0</v>
      </c>
      <c r="BT343" s="442"/>
      <c r="BU343" s="443"/>
      <c r="BV343" s="444">
        <f t="shared" si="142"/>
        <v>0</v>
      </c>
      <c r="BW343" s="307"/>
      <c r="BX343" s="307"/>
      <c r="BY343" s="449">
        <f t="shared" si="143"/>
        <v>0</v>
      </c>
    </row>
    <row r="344" spans="1:77" s="308" customFormat="1" ht="12.75" customHeight="1">
      <c r="A344" s="348" t="s">
        <v>342</v>
      </c>
      <c r="B344" s="349" t="s">
        <v>224</v>
      </c>
      <c r="C344" s="349"/>
      <c r="D344" s="350">
        <v>198206</v>
      </c>
      <c r="E344" s="458">
        <v>10</v>
      </c>
      <c r="F344" s="453"/>
      <c r="G344" s="454"/>
      <c r="H344" s="439">
        <f t="shared" si="120"/>
        <v>0</v>
      </c>
      <c r="I344" s="311"/>
      <c r="J344" s="311"/>
      <c r="K344" s="441">
        <f t="shared" si="121"/>
        <v>0</v>
      </c>
      <c r="L344" s="442"/>
      <c r="M344" s="443"/>
      <c r="N344" s="444">
        <f t="shared" si="122"/>
        <v>0</v>
      </c>
      <c r="O344" s="307"/>
      <c r="P344" s="307"/>
      <c r="Q344" s="445">
        <f t="shared" si="123"/>
        <v>0</v>
      </c>
      <c r="R344" s="442"/>
      <c r="S344" s="443"/>
      <c r="T344" s="444">
        <f t="shared" si="124"/>
        <v>0</v>
      </c>
      <c r="U344" s="307"/>
      <c r="V344" s="307"/>
      <c r="W344" s="441">
        <f t="shared" si="125"/>
        <v>0</v>
      </c>
      <c r="X344" s="442"/>
      <c r="Y344" s="443"/>
      <c r="Z344" s="444">
        <f t="shared" si="126"/>
        <v>0</v>
      </c>
      <c r="AA344" s="307"/>
      <c r="AB344" s="307"/>
      <c r="AC344" s="445">
        <f t="shared" si="127"/>
        <v>0</v>
      </c>
      <c r="AD344" s="442"/>
      <c r="AE344" s="443"/>
      <c r="AF344" s="444">
        <f t="shared" si="128"/>
        <v>0</v>
      </c>
      <c r="AG344" s="307"/>
      <c r="AH344" s="307"/>
      <c r="AI344" s="445">
        <f t="shared" si="129"/>
        <v>0</v>
      </c>
      <c r="AJ344" s="446">
        <v>66</v>
      </c>
      <c r="AK344" s="443">
        <v>44964</v>
      </c>
      <c r="AL344" s="444">
        <f t="shared" si="130"/>
        <v>2967624</v>
      </c>
      <c r="AM344" s="307">
        <v>60</v>
      </c>
      <c r="AN344" s="307">
        <v>44773</v>
      </c>
      <c r="AO344" s="447">
        <f t="shared" si="131"/>
        <v>2686380</v>
      </c>
      <c r="AP344" s="448"/>
      <c r="AQ344" s="443"/>
      <c r="AR344" s="444">
        <f t="shared" si="132"/>
        <v>0</v>
      </c>
      <c r="AS344" s="307"/>
      <c r="AT344" s="307"/>
      <c r="AU344" s="441">
        <f t="shared" si="133"/>
        <v>0</v>
      </c>
      <c r="AV344" s="442"/>
      <c r="AW344" s="443"/>
      <c r="AX344" s="444">
        <f t="shared" si="134"/>
        <v>0</v>
      </c>
      <c r="AY344" s="307"/>
      <c r="AZ344" s="307"/>
      <c r="BA344" s="445">
        <f t="shared" si="135"/>
        <v>0</v>
      </c>
      <c r="BB344" s="442"/>
      <c r="BC344" s="443"/>
      <c r="BD344" s="444">
        <f t="shared" si="136"/>
        <v>0</v>
      </c>
      <c r="BE344" s="307"/>
      <c r="BF344" s="307"/>
      <c r="BG344" s="445">
        <f t="shared" si="137"/>
        <v>0</v>
      </c>
      <c r="BH344" s="442"/>
      <c r="BI344" s="443"/>
      <c r="BJ344" s="444">
        <f t="shared" si="138"/>
        <v>0</v>
      </c>
      <c r="BK344" s="307"/>
      <c r="BL344" s="307"/>
      <c r="BM344" s="445">
        <f t="shared" si="139"/>
        <v>0</v>
      </c>
      <c r="BN344" s="442"/>
      <c r="BO344" s="443"/>
      <c r="BP344" s="444">
        <f t="shared" si="140"/>
        <v>0</v>
      </c>
      <c r="BQ344" s="307"/>
      <c r="BR344" s="307"/>
      <c r="BS344" s="445">
        <f t="shared" si="141"/>
        <v>0</v>
      </c>
      <c r="BT344" s="442"/>
      <c r="BU344" s="443"/>
      <c r="BV344" s="444">
        <f t="shared" si="142"/>
        <v>0</v>
      </c>
      <c r="BW344" s="307"/>
      <c r="BX344" s="307"/>
      <c r="BY344" s="449">
        <f t="shared" si="143"/>
        <v>0</v>
      </c>
    </row>
    <row r="345" spans="1:77" s="308" customFormat="1" ht="12.75" customHeight="1">
      <c r="A345" s="348" t="s">
        <v>342</v>
      </c>
      <c r="B345" s="408" t="s">
        <v>192</v>
      </c>
      <c r="C345" s="537" t="s">
        <v>1122</v>
      </c>
      <c r="D345" s="350">
        <v>197814</v>
      </c>
      <c r="E345" s="538">
        <v>10</v>
      </c>
      <c r="F345" s="453"/>
      <c r="G345" s="454"/>
      <c r="H345" s="439">
        <f t="shared" si="120"/>
        <v>0</v>
      </c>
      <c r="I345" s="311"/>
      <c r="J345" s="311"/>
      <c r="K345" s="441">
        <f t="shared" si="121"/>
        <v>0</v>
      </c>
      <c r="L345" s="442"/>
      <c r="M345" s="443"/>
      <c r="N345" s="444">
        <f t="shared" si="122"/>
        <v>0</v>
      </c>
      <c r="O345" s="307"/>
      <c r="P345" s="307"/>
      <c r="Q345" s="445">
        <f t="shared" si="123"/>
        <v>0</v>
      </c>
      <c r="R345" s="442"/>
      <c r="S345" s="443"/>
      <c r="T345" s="444">
        <f t="shared" si="124"/>
        <v>0</v>
      </c>
      <c r="U345" s="307"/>
      <c r="V345" s="307"/>
      <c r="W345" s="441">
        <f t="shared" si="125"/>
        <v>0</v>
      </c>
      <c r="X345" s="442"/>
      <c r="Y345" s="443"/>
      <c r="Z345" s="444">
        <f t="shared" si="126"/>
        <v>0</v>
      </c>
      <c r="AA345" s="307"/>
      <c r="AB345" s="307"/>
      <c r="AC345" s="445">
        <f t="shared" si="127"/>
        <v>0</v>
      </c>
      <c r="AD345" s="442"/>
      <c r="AE345" s="443"/>
      <c r="AF345" s="444">
        <f t="shared" si="128"/>
        <v>0</v>
      </c>
      <c r="AG345" s="307"/>
      <c r="AH345" s="307"/>
      <c r="AI345" s="445">
        <f t="shared" si="129"/>
        <v>0</v>
      </c>
      <c r="AJ345" s="446">
        <v>84</v>
      </c>
      <c r="AK345" s="443">
        <v>41976</v>
      </c>
      <c r="AL345" s="444">
        <f t="shared" si="130"/>
        <v>3525984</v>
      </c>
      <c r="AM345" s="307">
        <v>84</v>
      </c>
      <c r="AN345" s="307">
        <v>42517</v>
      </c>
      <c r="AO345" s="447">
        <f t="shared" si="131"/>
        <v>3571428</v>
      </c>
      <c r="AP345" s="448"/>
      <c r="AQ345" s="443"/>
      <c r="AR345" s="444">
        <f t="shared" si="132"/>
        <v>0</v>
      </c>
      <c r="AS345" s="307"/>
      <c r="AT345" s="307"/>
      <c r="AU345" s="441">
        <f t="shared" si="133"/>
        <v>0</v>
      </c>
      <c r="AV345" s="442"/>
      <c r="AW345" s="443"/>
      <c r="AX345" s="444">
        <f t="shared" si="134"/>
        <v>0</v>
      </c>
      <c r="AY345" s="307"/>
      <c r="AZ345" s="307"/>
      <c r="BA345" s="445">
        <f t="shared" si="135"/>
        <v>0</v>
      </c>
      <c r="BB345" s="442"/>
      <c r="BC345" s="443"/>
      <c r="BD345" s="444">
        <f t="shared" si="136"/>
        <v>0</v>
      </c>
      <c r="BE345" s="307"/>
      <c r="BF345" s="307"/>
      <c r="BG345" s="445">
        <f t="shared" si="137"/>
        <v>0</v>
      </c>
      <c r="BH345" s="442"/>
      <c r="BI345" s="443"/>
      <c r="BJ345" s="444">
        <f t="shared" si="138"/>
        <v>0</v>
      </c>
      <c r="BK345" s="307"/>
      <c r="BL345" s="307"/>
      <c r="BM345" s="445">
        <f t="shared" si="139"/>
        <v>0</v>
      </c>
      <c r="BN345" s="442"/>
      <c r="BO345" s="443"/>
      <c r="BP345" s="444">
        <f t="shared" si="140"/>
        <v>0</v>
      </c>
      <c r="BQ345" s="307"/>
      <c r="BR345" s="307"/>
      <c r="BS345" s="445">
        <f t="shared" si="141"/>
        <v>0</v>
      </c>
      <c r="BT345" s="442"/>
      <c r="BU345" s="443"/>
      <c r="BV345" s="444">
        <f t="shared" si="142"/>
        <v>0</v>
      </c>
      <c r="BW345" s="307"/>
      <c r="BX345" s="307"/>
      <c r="BY345" s="449">
        <f t="shared" si="143"/>
        <v>0</v>
      </c>
    </row>
    <row r="346" spans="1:77" s="308" customFormat="1" ht="12.75" customHeight="1">
      <c r="A346" s="348" t="s">
        <v>342</v>
      </c>
      <c r="B346" s="349" t="s">
        <v>225</v>
      </c>
      <c r="C346" s="349"/>
      <c r="D346" s="350">
        <v>198640</v>
      </c>
      <c r="E346" s="458">
        <v>10</v>
      </c>
      <c r="F346" s="453"/>
      <c r="G346" s="454"/>
      <c r="H346" s="439">
        <f t="shared" si="120"/>
        <v>0</v>
      </c>
      <c r="I346" s="311"/>
      <c r="J346" s="311"/>
      <c r="K346" s="441">
        <f t="shared" si="121"/>
        <v>0</v>
      </c>
      <c r="L346" s="442"/>
      <c r="M346" s="443"/>
      <c r="N346" s="444">
        <f t="shared" si="122"/>
        <v>0</v>
      </c>
      <c r="O346" s="307"/>
      <c r="P346" s="307"/>
      <c r="Q346" s="445">
        <f t="shared" si="123"/>
        <v>0</v>
      </c>
      <c r="R346" s="442"/>
      <c r="S346" s="443"/>
      <c r="T346" s="444">
        <f t="shared" si="124"/>
        <v>0</v>
      </c>
      <c r="U346" s="307"/>
      <c r="V346" s="307"/>
      <c r="W346" s="441">
        <f t="shared" si="125"/>
        <v>0</v>
      </c>
      <c r="X346" s="442"/>
      <c r="Y346" s="443"/>
      <c r="Z346" s="444">
        <f t="shared" si="126"/>
        <v>0</v>
      </c>
      <c r="AA346" s="307"/>
      <c r="AB346" s="307"/>
      <c r="AC346" s="445">
        <f t="shared" si="127"/>
        <v>0</v>
      </c>
      <c r="AD346" s="442"/>
      <c r="AE346" s="443"/>
      <c r="AF346" s="444">
        <f t="shared" si="128"/>
        <v>0</v>
      </c>
      <c r="AG346" s="307"/>
      <c r="AH346" s="307"/>
      <c r="AI346" s="445">
        <f t="shared" si="129"/>
        <v>0</v>
      </c>
      <c r="AJ346" s="446">
        <v>66</v>
      </c>
      <c r="AK346" s="443">
        <v>44425</v>
      </c>
      <c r="AL346" s="444">
        <f t="shared" si="130"/>
        <v>2932050</v>
      </c>
      <c r="AM346" s="307">
        <v>64</v>
      </c>
      <c r="AN346" s="307">
        <v>44620</v>
      </c>
      <c r="AO346" s="447">
        <f t="shared" si="131"/>
        <v>2855680</v>
      </c>
      <c r="AP346" s="448"/>
      <c r="AQ346" s="443"/>
      <c r="AR346" s="444">
        <f t="shared" si="132"/>
        <v>0</v>
      </c>
      <c r="AS346" s="307"/>
      <c r="AT346" s="307"/>
      <c r="AU346" s="441">
        <f t="shared" si="133"/>
        <v>0</v>
      </c>
      <c r="AV346" s="442"/>
      <c r="AW346" s="443"/>
      <c r="AX346" s="444">
        <f t="shared" si="134"/>
        <v>0</v>
      </c>
      <c r="AY346" s="307"/>
      <c r="AZ346" s="307"/>
      <c r="BA346" s="445">
        <f t="shared" si="135"/>
        <v>0</v>
      </c>
      <c r="BB346" s="442"/>
      <c r="BC346" s="443"/>
      <c r="BD346" s="444">
        <f t="shared" si="136"/>
        <v>0</v>
      </c>
      <c r="BE346" s="307"/>
      <c r="BF346" s="307"/>
      <c r="BG346" s="445">
        <f t="shared" si="137"/>
        <v>0</v>
      </c>
      <c r="BH346" s="442"/>
      <c r="BI346" s="443"/>
      <c r="BJ346" s="444">
        <f t="shared" si="138"/>
        <v>0</v>
      </c>
      <c r="BK346" s="307"/>
      <c r="BL346" s="307"/>
      <c r="BM346" s="445">
        <f t="shared" si="139"/>
        <v>0</v>
      </c>
      <c r="BN346" s="442"/>
      <c r="BO346" s="443"/>
      <c r="BP346" s="444">
        <f t="shared" si="140"/>
        <v>0</v>
      </c>
      <c r="BQ346" s="307"/>
      <c r="BR346" s="307"/>
      <c r="BS346" s="445">
        <f t="shared" si="141"/>
        <v>0</v>
      </c>
      <c r="BT346" s="442"/>
      <c r="BU346" s="443"/>
      <c r="BV346" s="444">
        <f t="shared" si="142"/>
        <v>0</v>
      </c>
      <c r="BW346" s="307"/>
      <c r="BX346" s="307"/>
      <c r="BY346" s="449">
        <f t="shared" si="143"/>
        <v>0</v>
      </c>
    </row>
    <row r="347" spans="1:77" s="308" customFormat="1" ht="12.75" customHeight="1">
      <c r="A347" s="348" t="s">
        <v>342</v>
      </c>
      <c r="B347" s="349" t="s">
        <v>226</v>
      </c>
      <c r="C347" s="349"/>
      <c r="D347" s="350">
        <v>198729</v>
      </c>
      <c r="E347" s="458">
        <v>10</v>
      </c>
      <c r="F347" s="453"/>
      <c r="G347" s="454"/>
      <c r="H347" s="439">
        <f t="shared" si="120"/>
        <v>0</v>
      </c>
      <c r="I347" s="311"/>
      <c r="J347" s="311"/>
      <c r="K347" s="441">
        <f t="shared" si="121"/>
        <v>0</v>
      </c>
      <c r="L347" s="442"/>
      <c r="M347" s="443"/>
      <c r="N347" s="444">
        <f t="shared" si="122"/>
        <v>0</v>
      </c>
      <c r="O347" s="307"/>
      <c r="P347" s="307"/>
      <c r="Q347" s="445">
        <f t="shared" si="123"/>
        <v>0</v>
      </c>
      <c r="R347" s="442"/>
      <c r="S347" s="443"/>
      <c r="T347" s="444">
        <f t="shared" si="124"/>
        <v>0</v>
      </c>
      <c r="U347" s="307"/>
      <c r="V347" s="307"/>
      <c r="W347" s="441">
        <f t="shared" si="125"/>
        <v>0</v>
      </c>
      <c r="X347" s="442"/>
      <c r="Y347" s="443"/>
      <c r="Z347" s="444">
        <f t="shared" si="126"/>
        <v>0</v>
      </c>
      <c r="AA347" s="307"/>
      <c r="AB347" s="307"/>
      <c r="AC347" s="445">
        <f t="shared" si="127"/>
        <v>0</v>
      </c>
      <c r="AD347" s="442"/>
      <c r="AE347" s="443"/>
      <c r="AF347" s="444">
        <f t="shared" si="128"/>
        <v>0</v>
      </c>
      <c r="AG347" s="307"/>
      <c r="AH347" s="307"/>
      <c r="AI347" s="445">
        <f t="shared" si="129"/>
        <v>0</v>
      </c>
      <c r="AJ347" s="446">
        <v>58</v>
      </c>
      <c r="AK347" s="443">
        <v>42858</v>
      </c>
      <c r="AL347" s="444">
        <f t="shared" si="130"/>
        <v>2485764</v>
      </c>
      <c r="AM347" s="307">
        <v>58</v>
      </c>
      <c r="AN347" s="307">
        <v>41645</v>
      </c>
      <c r="AO347" s="447">
        <f t="shared" si="131"/>
        <v>2415410</v>
      </c>
      <c r="AP347" s="448"/>
      <c r="AQ347" s="443"/>
      <c r="AR347" s="444">
        <f t="shared" si="132"/>
        <v>0</v>
      </c>
      <c r="AS347" s="307"/>
      <c r="AT347" s="307"/>
      <c r="AU347" s="441">
        <f t="shared" si="133"/>
        <v>0</v>
      </c>
      <c r="AV347" s="442"/>
      <c r="AW347" s="443"/>
      <c r="AX347" s="444">
        <f t="shared" si="134"/>
        <v>0</v>
      </c>
      <c r="AY347" s="307"/>
      <c r="AZ347" s="307"/>
      <c r="BA347" s="445">
        <f t="shared" si="135"/>
        <v>0</v>
      </c>
      <c r="BB347" s="442"/>
      <c r="BC347" s="443"/>
      <c r="BD347" s="444">
        <f t="shared" si="136"/>
        <v>0</v>
      </c>
      <c r="BE347" s="307"/>
      <c r="BF347" s="307"/>
      <c r="BG347" s="445">
        <f t="shared" si="137"/>
        <v>0</v>
      </c>
      <c r="BH347" s="442"/>
      <c r="BI347" s="443"/>
      <c r="BJ347" s="444">
        <f t="shared" si="138"/>
        <v>0</v>
      </c>
      <c r="BK347" s="307"/>
      <c r="BL347" s="307"/>
      <c r="BM347" s="445">
        <f t="shared" si="139"/>
        <v>0</v>
      </c>
      <c r="BN347" s="442"/>
      <c r="BO347" s="443"/>
      <c r="BP347" s="444">
        <f t="shared" si="140"/>
        <v>0</v>
      </c>
      <c r="BQ347" s="307"/>
      <c r="BR347" s="307"/>
      <c r="BS347" s="445">
        <f t="shared" si="141"/>
        <v>0</v>
      </c>
      <c r="BT347" s="442"/>
      <c r="BU347" s="443"/>
      <c r="BV347" s="444">
        <f t="shared" si="142"/>
        <v>0</v>
      </c>
      <c r="BW347" s="307"/>
      <c r="BX347" s="307"/>
      <c r="BY347" s="449">
        <f t="shared" si="143"/>
        <v>0</v>
      </c>
    </row>
    <row r="348" spans="1:77" s="308" customFormat="1" ht="12.75" customHeight="1">
      <c r="A348" s="348" t="s">
        <v>342</v>
      </c>
      <c r="B348" s="349" t="s">
        <v>227</v>
      </c>
      <c r="C348" s="349"/>
      <c r="D348" s="350">
        <v>198905</v>
      </c>
      <c r="E348" s="458">
        <v>10</v>
      </c>
      <c r="F348" s="453"/>
      <c r="G348" s="454"/>
      <c r="H348" s="439">
        <f t="shared" si="120"/>
        <v>0</v>
      </c>
      <c r="I348" s="311"/>
      <c r="J348" s="311"/>
      <c r="K348" s="441">
        <f t="shared" si="121"/>
        <v>0</v>
      </c>
      <c r="L348" s="442"/>
      <c r="M348" s="443"/>
      <c r="N348" s="444">
        <f t="shared" si="122"/>
        <v>0</v>
      </c>
      <c r="O348" s="307"/>
      <c r="P348" s="307"/>
      <c r="Q348" s="445">
        <f t="shared" si="123"/>
        <v>0</v>
      </c>
      <c r="R348" s="442"/>
      <c r="S348" s="443"/>
      <c r="T348" s="444">
        <f t="shared" si="124"/>
        <v>0</v>
      </c>
      <c r="U348" s="307"/>
      <c r="V348" s="307"/>
      <c r="W348" s="441">
        <f t="shared" si="125"/>
        <v>0</v>
      </c>
      <c r="X348" s="442"/>
      <c r="Y348" s="443"/>
      <c r="Z348" s="444">
        <f t="shared" si="126"/>
        <v>0</v>
      </c>
      <c r="AA348" s="307"/>
      <c r="AB348" s="307"/>
      <c r="AC348" s="445">
        <f t="shared" si="127"/>
        <v>0</v>
      </c>
      <c r="AD348" s="442"/>
      <c r="AE348" s="443"/>
      <c r="AF348" s="444">
        <f t="shared" si="128"/>
        <v>0</v>
      </c>
      <c r="AG348" s="307"/>
      <c r="AH348" s="307"/>
      <c r="AI348" s="445">
        <f t="shared" si="129"/>
        <v>0</v>
      </c>
      <c r="AJ348" s="446">
        <v>27</v>
      </c>
      <c r="AK348" s="443">
        <v>41728</v>
      </c>
      <c r="AL348" s="444">
        <f t="shared" si="130"/>
        <v>1126656</v>
      </c>
      <c r="AM348" s="307">
        <v>23</v>
      </c>
      <c r="AN348" s="307">
        <v>42865</v>
      </c>
      <c r="AO348" s="447">
        <f t="shared" si="131"/>
        <v>985895</v>
      </c>
      <c r="AP348" s="448"/>
      <c r="AQ348" s="443"/>
      <c r="AR348" s="444">
        <f t="shared" si="132"/>
        <v>0</v>
      </c>
      <c r="AS348" s="307"/>
      <c r="AT348" s="307"/>
      <c r="AU348" s="441">
        <f t="shared" si="133"/>
        <v>0</v>
      </c>
      <c r="AV348" s="442"/>
      <c r="AW348" s="443"/>
      <c r="AX348" s="444">
        <f t="shared" si="134"/>
        <v>0</v>
      </c>
      <c r="AY348" s="307"/>
      <c r="AZ348" s="307"/>
      <c r="BA348" s="445">
        <f t="shared" si="135"/>
        <v>0</v>
      </c>
      <c r="BB348" s="442"/>
      <c r="BC348" s="443"/>
      <c r="BD348" s="444">
        <f t="shared" si="136"/>
        <v>0</v>
      </c>
      <c r="BE348" s="307"/>
      <c r="BF348" s="307"/>
      <c r="BG348" s="445">
        <f t="shared" si="137"/>
        <v>0</v>
      </c>
      <c r="BH348" s="442"/>
      <c r="BI348" s="443"/>
      <c r="BJ348" s="444">
        <f t="shared" si="138"/>
        <v>0</v>
      </c>
      <c r="BK348" s="307"/>
      <c r="BL348" s="307"/>
      <c r="BM348" s="445">
        <f t="shared" si="139"/>
        <v>0</v>
      </c>
      <c r="BN348" s="442"/>
      <c r="BO348" s="443"/>
      <c r="BP348" s="444">
        <f t="shared" si="140"/>
        <v>0</v>
      </c>
      <c r="BQ348" s="307"/>
      <c r="BR348" s="307"/>
      <c r="BS348" s="445">
        <f t="shared" si="141"/>
        <v>0</v>
      </c>
      <c r="BT348" s="442"/>
      <c r="BU348" s="443"/>
      <c r="BV348" s="444">
        <f t="shared" si="142"/>
        <v>0</v>
      </c>
      <c r="BW348" s="307"/>
      <c r="BX348" s="307"/>
      <c r="BY348" s="449">
        <f t="shared" si="143"/>
        <v>0</v>
      </c>
    </row>
    <row r="349" spans="1:77" s="308" customFormat="1" ht="12.75" customHeight="1">
      <c r="A349" s="351" t="s">
        <v>342</v>
      </c>
      <c r="B349" s="408" t="s">
        <v>228</v>
      </c>
      <c r="C349" s="537" t="s">
        <v>1122</v>
      </c>
      <c r="D349" s="350">
        <v>198914</v>
      </c>
      <c r="E349" s="538">
        <v>10</v>
      </c>
      <c r="F349" s="453"/>
      <c r="G349" s="454"/>
      <c r="H349" s="439">
        <f t="shared" si="120"/>
        <v>0</v>
      </c>
      <c r="I349" s="311"/>
      <c r="J349" s="311"/>
      <c r="K349" s="441">
        <f t="shared" si="121"/>
        <v>0</v>
      </c>
      <c r="L349" s="442"/>
      <c r="M349" s="443"/>
      <c r="N349" s="444">
        <f t="shared" si="122"/>
        <v>0</v>
      </c>
      <c r="O349" s="307"/>
      <c r="P349" s="307"/>
      <c r="Q349" s="445">
        <f t="shared" si="123"/>
        <v>0</v>
      </c>
      <c r="R349" s="442"/>
      <c r="S349" s="443"/>
      <c r="T349" s="444">
        <f t="shared" si="124"/>
        <v>0</v>
      </c>
      <c r="U349" s="307"/>
      <c r="V349" s="307"/>
      <c r="W349" s="441">
        <f t="shared" si="125"/>
        <v>0</v>
      </c>
      <c r="X349" s="442"/>
      <c r="Y349" s="443"/>
      <c r="Z349" s="444">
        <f t="shared" si="126"/>
        <v>0</v>
      </c>
      <c r="AA349" s="307"/>
      <c r="AB349" s="307"/>
      <c r="AC349" s="445">
        <f t="shared" si="127"/>
        <v>0</v>
      </c>
      <c r="AD349" s="442"/>
      <c r="AE349" s="443"/>
      <c r="AF349" s="444">
        <f t="shared" si="128"/>
        <v>0</v>
      </c>
      <c r="AG349" s="307"/>
      <c r="AH349" s="307"/>
      <c r="AI349" s="445">
        <f t="shared" si="129"/>
        <v>0</v>
      </c>
      <c r="AJ349" s="446">
        <v>56</v>
      </c>
      <c r="AK349" s="443">
        <v>41166</v>
      </c>
      <c r="AL349" s="444">
        <f t="shared" si="130"/>
        <v>2305296</v>
      </c>
      <c r="AM349" s="307">
        <v>49</v>
      </c>
      <c r="AN349" s="307">
        <v>50828</v>
      </c>
      <c r="AO349" s="447">
        <f t="shared" si="131"/>
        <v>2490572</v>
      </c>
      <c r="AP349" s="448"/>
      <c r="AQ349" s="443"/>
      <c r="AR349" s="444">
        <f t="shared" si="132"/>
        <v>0</v>
      </c>
      <c r="AS349" s="307"/>
      <c r="AT349" s="307"/>
      <c r="AU349" s="441">
        <f t="shared" si="133"/>
        <v>0</v>
      </c>
      <c r="AV349" s="442"/>
      <c r="AW349" s="443"/>
      <c r="AX349" s="444">
        <f t="shared" si="134"/>
        <v>0</v>
      </c>
      <c r="AY349" s="307"/>
      <c r="AZ349" s="307"/>
      <c r="BA349" s="445">
        <f t="shared" si="135"/>
        <v>0</v>
      </c>
      <c r="BB349" s="442"/>
      <c r="BC349" s="443"/>
      <c r="BD349" s="444">
        <f t="shared" si="136"/>
        <v>0</v>
      </c>
      <c r="BE349" s="307"/>
      <c r="BF349" s="307"/>
      <c r="BG349" s="445">
        <f t="shared" si="137"/>
        <v>0</v>
      </c>
      <c r="BH349" s="442"/>
      <c r="BI349" s="443"/>
      <c r="BJ349" s="444">
        <f t="shared" si="138"/>
        <v>0</v>
      </c>
      <c r="BK349" s="307"/>
      <c r="BL349" s="307"/>
      <c r="BM349" s="445">
        <f t="shared" si="139"/>
        <v>0</v>
      </c>
      <c r="BN349" s="442"/>
      <c r="BO349" s="443"/>
      <c r="BP349" s="444">
        <f t="shared" si="140"/>
        <v>0</v>
      </c>
      <c r="BQ349" s="307"/>
      <c r="BR349" s="307"/>
      <c r="BS349" s="445">
        <f t="shared" si="141"/>
        <v>0</v>
      </c>
      <c r="BT349" s="442"/>
      <c r="BU349" s="443"/>
      <c r="BV349" s="444">
        <f t="shared" si="142"/>
        <v>0</v>
      </c>
      <c r="BW349" s="307"/>
      <c r="BX349" s="307"/>
      <c r="BY349" s="449">
        <f t="shared" si="143"/>
        <v>0</v>
      </c>
    </row>
    <row r="350" spans="1:77" s="308" customFormat="1" ht="12.75" customHeight="1">
      <c r="A350" s="348" t="s">
        <v>342</v>
      </c>
      <c r="B350" s="349" t="s">
        <v>229</v>
      </c>
      <c r="C350" s="349"/>
      <c r="D350" s="350">
        <v>198923</v>
      </c>
      <c r="E350" s="458">
        <v>10</v>
      </c>
      <c r="F350" s="453"/>
      <c r="G350" s="454"/>
      <c r="H350" s="439">
        <f t="shared" si="120"/>
        <v>0</v>
      </c>
      <c r="I350" s="311"/>
      <c r="J350" s="311"/>
      <c r="K350" s="441">
        <f t="shared" si="121"/>
        <v>0</v>
      </c>
      <c r="L350" s="442"/>
      <c r="M350" s="443"/>
      <c r="N350" s="444">
        <f t="shared" si="122"/>
        <v>0</v>
      </c>
      <c r="O350" s="307"/>
      <c r="P350" s="307"/>
      <c r="Q350" s="445">
        <f t="shared" si="123"/>
        <v>0</v>
      </c>
      <c r="R350" s="442"/>
      <c r="S350" s="443"/>
      <c r="T350" s="444">
        <f t="shared" si="124"/>
        <v>0</v>
      </c>
      <c r="U350" s="307"/>
      <c r="V350" s="307"/>
      <c r="W350" s="441">
        <f t="shared" si="125"/>
        <v>0</v>
      </c>
      <c r="X350" s="442"/>
      <c r="Y350" s="443"/>
      <c r="Z350" s="444">
        <f t="shared" si="126"/>
        <v>0</v>
      </c>
      <c r="AA350" s="307"/>
      <c r="AB350" s="307"/>
      <c r="AC350" s="445">
        <f t="shared" si="127"/>
        <v>0</v>
      </c>
      <c r="AD350" s="442"/>
      <c r="AE350" s="443"/>
      <c r="AF350" s="444">
        <f t="shared" si="128"/>
        <v>0</v>
      </c>
      <c r="AG350" s="307"/>
      <c r="AH350" s="307"/>
      <c r="AI350" s="445">
        <f t="shared" si="129"/>
        <v>0</v>
      </c>
      <c r="AJ350" s="446">
        <v>49</v>
      </c>
      <c r="AK350" s="443">
        <v>40936</v>
      </c>
      <c r="AL350" s="444">
        <f t="shared" si="130"/>
        <v>2005864</v>
      </c>
      <c r="AM350" s="307">
        <v>49</v>
      </c>
      <c r="AN350" s="307">
        <v>43210</v>
      </c>
      <c r="AO350" s="447">
        <f t="shared" si="131"/>
        <v>2117290</v>
      </c>
      <c r="AP350" s="448"/>
      <c r="AQ350" s="443"/>
      <c r="AR350" s="444">
        <f t="shared" si="132"/>
        <v>0</v>
      </c>
      <c r="AS350" s="307"/>
      <c r="AT350" s="307"/>
      <c r="AU350" s="441">
        <f t="shared" si="133"/>
        <v>0</v>
      </c>
      <c r="AV350" s="442"/>
      <c r="AW350" s="443"/>
      <c r="AX350" s="444">
        <f t="shared" si="134"/>
        <v>0</v>
      </c>
      <c r="AY350" s="307"/>
      <c r="AZ350" s="307"/>
      <c r="BA350" s="445">
        <f t="shared" si="135"/>
        <v>0</v>
      </c>
      <c r="BB350" s="442"/>
      <c r="BC350" s="443"/>
      <c r="BD350" s="444">
        <f t="shared" si="136"/>
        <v>0</v>
      </c>
      <c r="BE350" s="307"/>
      <c r="BF350" s="307"/>
      <c r="BG350" s="445">
        <f t="shared" si="137"/>
        <v>0</v>
      </c>
      <c r="BH350" s="442"/>
      <c r="BI350" s="443"/>
      <c r="BJ350" s="444">
        <f t="shared" si="138"/>
        <v>0</v>
      </c>
      <c r="BK350" s="307"/>
      <c r="BL350" s="307"/>
      <c r="BM350" s="445">
        <f t="shared" si="139"/>
        <v>0</v>
      </c>
      <c r="BN350" s="442"/>
      <c r="BO350" s="443"/>
      <c r="BP350" s="444">
        <f t="shared" si="140"/>
        <v>0</v>
      </c>
      <c r="BQ350" s="307"/>
      <c r="BR350" s="307"/>
      <c r="BS350" s="445">
        <f t="shared" si="141"/>
        <v>0</v>
      </c>
      <c r="BT350" s="442"/>
      <c r="BU350" s="443"/>
      <c r="BV350" s="444">
        <f t="shared" si="142"/>
        <v>0</v>
      </c>
      <c r="BW350" s="307"/>
      <c r="BX350" s="307"/>
      <c r="BY350" s="449">
        <f t="shared" si="143"/>
        <v>0</v>
      </c>
    </row>
    <row r="351" spans="1:77" s="308" customFormat="1" ht="12.75" customHeight="1">
      <c r="A351" s="348" t="s">
        <v>342</v>
      </c>
      <c r="B351" s="349" t="s">
        <v>230</v>
      </c>
      <c r="C351" s="349"/>
      <c r="D351" s="350">
        <v>199023</v>
      </c>
      <c r="E351" s="458">
        <v>10</v>
      </c>
      <c r="F351" s="453"/>
      <c r="G351" s="454"/>
      <c r="H351" s="439">
        <f t="shared" si="120"/>
        <v>0</v>
      </c>
      <c r="I351" s="311"/>
      <c r="J351" s="311"/>
      <c r="K351" s="441">
        <f t="shared" si="121"/>
        <v>0</v>
      </c>
      <c r="L351" s="442"/>
      <c r="M351" s="443"/>
      <c r="N351" s="444">
        <f t="shared" si="122"/>
        <v>0</v>
      </c>
      <c r="O351" s="307"/>
      <c r="P351" s="307"/>
      <c r="Q351" s="445">
        <f t="shared" si="123"/>
        <v>0</v>
      </c>
      <c r="R351" s="442"/>
      <c r="S351" s="443"/>
      <c r="T351" s="444">
        <f t="shared" si="124"/>
        <v>0</v>
      </c>
      <c r="U351" s="307"/>
      <c r="V351" s="307"/>
      <c r="W351" s="441">
        <f t="shared" si="125"/>
        <v>0</v>
      </c>
      <c r="X351" s="442"/>
      <c r="Y351" s="443"/>
      <c r="Z351" s="444">
        <f t="shared" si="126"/>
        <v>0</v>
      </c>
      <c r="AA351" s="307"/>
      <c r="AB351" s="307"/>
      <c r="AC351" s="445">
        <f t="shared" si="127"/>
        <v>0</v>
      </c>
      <c r="AD351" s="442"/>
      <c r="AE351" s="443"/>
      <c r="AF351" s="444">
        <f t="shared" si="128"/>
        <v>0</v>
      </c>
      <c r="AG351" s="307"/>
      <c r="AH351" s="307"/>
      <c r="AI351" s="445">
        <f t="shared" si="129"/>
        <v>0</v>
      </c>
      <c r="AJ351" s="446">
        <v>40</v>
      </c>
      <c r="AK351" s="443">
        <v>42110</v>
      </c>
      <c r="AL351" s="444">
        <f t="shared" si="130"/>
        <v>1684400</v>
      </c>
      <c r="AM351" s="307">
        <v>41</v>
      </c>
      <c r="AN351" s="307">
        <v>42373</v>
      </c>
      <c r="AO351" s="447">
        <f t="shared" si="131"/>
        <v>1737293</v>
      </c>
      <c r="AP351" s="448"/>
      <c r="AQ351" s="443"/>
      <c r="AR351" s="444">
        <f t="shared" si="132"/>
        <v>0</v>
      </c>
      <c r="AS351" s="307"/>
      <c r="AT351" s="307"/>
      <c r="AU351" s="441">
        <f t="shared" si="133"/>
        <v>0</v>
      </c>
      <c r="AV351" s="442"/>
      <c r="AW351" s="443"/>
      <c r="AX351" s="444">
        <f t="shared" si="134"/>
        <v>0</v>
      </c>
      <c r="AY351" s="307"/>
      <c r="AZ351" s="307"/>
      <c r="BA351" s="445">
        <f t="shared" si="135"/>
        <v>0</v>
      </c>
      <c r="BB351" s="442"/>
      <c r="BC351" s="443"/>
      <c r="BD351" s="444">
        <f t="shared" si="136"/>
        <v>0</v>
      </c>
      <c r="BE351" s="307"/>
      <c r="BF351" s="307"/>
      <c r="BG351" s="445">
        <f t="shared" si="137"/>
        <v>0</v>
      </c>
      <c r="BH351" s="442"/>
      <c r="BI351" s="443"/>
      <c r="BJ351" s="444">
        <f t="shared" si="138"/>
        <v>0</v>
      </c>
      <c r="BK351" s="307"/>
      <c r="BL351" s="307"/>
      <c r="BM351" s="445">
        <f t="shared" si="139"/>
        <v>0</v>
      </c>
      <c r="BN351" s="442"/>
      <c r="BO351" s="443"/>
      <c r="BP351" s="444">
        <f t="shared" si="140"/>
        <v>0</v>
      </c>
      <c r="BQ351" s="307"/>
      <c r="BR351" s="307"/>
      <c r="BS351" s="445">
        <f t="shared" si="141"/>
        <v>0</v>
      </c>
      <c r="BT351" s="442"/>
      <c r="BU351" s="443"/>
      <c r="BV351" s="444">
        <f t="shared" si="142"/>
        <v>0</v>
      </c>
      <c r="BW351" s="307"/>
      <c r="BX351" s="307"/>
      <c r="BY351" s="449">
        <f t="shared" si="143"/>
        <v>0</v>
      </c>
    </row>
    <row r="352" spans="1:77" s="308" customFormat="1" ht="12.75" customHeight="1">
      <c r="A352" s="348" t="s">
        <v>342</v>
      </c>
      <c r="B352" s="349" t="s">
        <v>231</v>
      </c>
      <c r="C352" s="349"/>
      <c r="D352" s="350">
        <v>199263</v>
      </c>
      <c r="E352" s="458">
        <v>10</v>
      </c>
      <c r="F352" s="453"/>
      <c r="G352" s="454"/>
      <c r="H352" s="439">
        <f t="shared" si="120"/>
        <v>0</v>
      </c>
      <c r="I352" s="311"/>
      <c r="J352" s="311"/>
      <c r="K352" s="441">
        <f t="shared" si="121"/>
        <v>0</v>
      </c>
      <c r="L352" s="442"/>
      <c r="M352" s="443"/>
      <c r="N352" s="444">
        <f t="shared" si="122"/>
        <v>0</v>
      </c>
      <c r="O352" s="307"/>
      <c r="P352" s="307"/>
      <c r="Q352" s="445">
        <f t="shared" si="123"/>
        <v>0</v>
      </c>
      <c r="R352" s="442"/>
      <c r="S352" s="443"/>
      <c r="T352" s="444">
        <f t="shared" si="124"/>
        <v>0</v>
      </c>
      <c r="U352" s="307"/>
      <c r="V352" s="307"/>
      <c r="W352" s="441">
        <f t="shared" si="125"/>
        <v>0</v>
      </c>
      <c r="X352" s="442"/>
      <c r="Y352" s="443"/>
      <c r="Z352" s="444">
        <f t="shared" si="126"/>
        <v>0</v>
      </c>
      <c r="AA352" s="307"/>
      <c r="AB352" s="307"/>
      <c r="AC352" s="445">
        <f t="shared" si="127"/>
        <v>0</v>
      </c>
      <c r="AD352" s="442"/>
      <c r="AE352" s="443"/>
      <c r="AF352" s="444">
        <f t="shared" si="128"/>
        <v>0</v>
      </c>
      <c r="AG352" s="307"/>
      <c r="AH352" s="307"/>
      <c r="AI352" s="445">
        <f t="shared" si="129"/>
        <v>0</v>
      </c>
      <c r="AJ352" s="446">
        <v>28</v>
      </c>
      <c r="AK352" s="443">
        <v>43505</v>
      </c>
      <c r="AL352" s="444">
        <f t="shared" si="130"/>
        <v>1218140</v>
      </c>
      <c r="AM352" s="307">
        <v>28</v>
      </c>
      <c r="AN352" s="307">
        <v>45879</v>
      </c>
      <c r="AO352" s="447">
        <f t="shared" si="131"/>
        <v>1284612</v>
      </c>
      <c r="AP352" s="448"/>
      <c r="AQ352" s="443"/>
      <c r="AR352" s="444">
        <f t="shared" si="132"/>
        <v>0</v>
      </c>
      <c r="AS352" s="307"/>
      <c r="AT352" s="307"/>
      <c r="AU352" s="441">
        <f t="shared" si="133"/>
        <v>0</v>
      </c>
      <c r="AV352" s="442"/>
      <c r="AW352" s="443"/>
      <c r="AX352" s="444">
        <f t="shared" si="134"/>
        <v>0</v>
      </c>
      <c r="AY352" s="307"/>
      <c r="AZ352" s="307"/>
      <c r="BA352" s="445">
        <f t="shared" si="135"/>
        <v>0</v>
      </c>
      <c r="BB352" s="442"/>
      <c r="BC352" s="443"/>
      <c r="BD352" s="444">
        <f t="shared" si="136"/>
        <v>0</v>
      </c>
      <c r="BE352" s="307"/>
      <c r="BF352" s="307"/>
      <c r="BG352" s="445">
        <f t="shared" si="137"/>
        <v>0</v>
      </c>
      <c r="BH352" s="442"/>
      <c r="BI352" s="443"/>
      <c r="BJ352" s="444">
        <f t="shared" si="138"/>
        <v>0</v>
      </c>
      <c r="BK352" s="307"/>
      <c r="BL352" s="307"/>
      <c r="BM352" s="445">
        <f t="shared" si="139"/>
        <v>0</v>
      </c>
      <c r="BN352" s="442"/>
      <c r="BO352" s="443"/>
      <c r="BP352" s="444">
        <f t="shared" si="140"/>
        <v>0</v>
      </c>
      <c r="BQ352" s="307"/>
      <c r="BR352" s="307"/>
      <c r="BS352" s="445">
        <f t="shared" si="141"/>
        <v>0</v>
      </c>
      <c r="BT352" s="442"/>
      <c r="BU352" s="443"/>
      <c r="BV352" s="444">
        <f t="shared" si="142"/>
        <v>0</v>
      </c>
      <c r="BW352" s="307"/>
      <c r="BX352" s="307"/>
      <c r="BY352" s="449">
        <f t="shared" si="143"/>
        <v>0</v>
      </c>
    </row>
    <row r="353" spans="1:77" s="308" customFormat="1" ht="12.75" customHeight="1">
      <c r="A353" s="348" t="s">
        <v>342</v>
      </c>
      <c r="B353" s="408" t="s">
        <v>204</v>
      </c>
      <c r="C353" s="537" t="s">
        <v>1122</v>
      </c>
      <c r="D353" s="350">
        <v>199324</v>
      </c>
      <c r="E353" s="538">
        <v>10</v>
      </c>
      <c r="F353" s="453"/>
      <c r="G353" s="454"/>
      <c r="H353" s="439">
        <f t="shared" si="120"/>
        <v>0</v>
      </c>
      <c r="I353" s="311"/>
      <c r="J353" s="311"/>
      <c r="K353" s="441">
        <f t="shared" si="121"/>
        <v>0</v>
      </c>
      <c r="L353" s="442"/>
      <c r="M353" s="443"/>
      <c r="N353" s="444">
        <f t="shared" si="122"/>
        <v>0</v>
      </c>
      <c r="O353" s="307"/>
      <c r="P353" s="307"/>
      <c r="Q353" s="445">
        <f t="shared" si="123"/>
        <v>0</v>
      </c>
      <c r="R353" s="442"/>
      <c r="S353" s="443"/>
      <c r="T353" s="444">
        <f t="shared" si="124"/>
        <v>0</v>
      </c>
      <c r="U353" s="307"/>
      <c r="V353" s="307"/>
      <c r="W353" s="441">
        <f t="shared" si="125"/>
        <v>0</v>
      </c>
      <c r="X353" s="442"/>
      <c r="Y353" s="443"/>
      <c r="Z353" s="444">
        <f t="shared" si="126"/>
        <v>0</v>
      </c>
      <c r="AA353" s="307"/>
      <c r="AB353" s="307"/>
      <c r="AC353" s="445">
        <f t="shared" si="127"/>
        <v>0</v>
      </c>
      <c r="AD353" s="442"/>
      <c r="AE353" s="443"/>
      <c r="AF353" s="444">
        <f t="shared" si="128"/>
        <v>0</v>
      </c>
      <c r="AG353" s="307"/>
      <c r="AH353" s="307"/>
      <c r="AI353" s="445">
        <f t="shared" si="129"/>
        <v>0</v>
      </c>
      <c r="AJ353" s="446">
        <v>94</v>
      </c>
      <c r="AK353" s="443">
        <v>44337</v>
      </c>
      <c r="AL353" s="444">
        <f t="shared" si="130"/>
        <v>4167678</v>
      </c>
      <c r="AM353" s="307">
        <v>93</v>
      </c>
      <c r="AN353" s="307">
        <v>51521</v>
      </c>
      <c r="AO353" s="447">
        <f t="shared" si="131"/>
        <v>4791453</v>
      </c>
      <c r="AP353" s="448"/>
      <c r="AQ353" s="443"/>
      <c r="AR353" s="444">
        <f t="shared" si="132"/>
        <v>0</v>
      </c>
      <c r="AS353" s="307"/>
      <c r="AT353" s="307"/>
      <c r="AU353" s="441">
        <f t="shared" si="133"/>
        <v>0</v>
      </c>
      <c r="AV353" s="442"/>
      <c r="AW353" s="443"/>
      <c r="AX353" s="444">
        <f t="shared" si="134"/>
        <v>0</v>
      </c>
      <c r="AY353" s="307"/>
      <c r="AZ353" s="307"/>
      <c r="BA353" s="445">
        <f t="shared" si="135"/>
        <v>0</v>
      </c>
      <c r="BB353" s="442"/>
      <c r="BC353" s="443"/>
      <c r="BD353" s="444">
        <f t="shared" si="136"/>
        <v>0</v>
      </c>
      <c r="BE353" s="307"/>
      <c r="BF353" s="307"/>
      <c r="BG353" s="445">
        <f t="shared" si="137"/>
        <v>0</v>
      </c>
      <c r="BH353" s="442"/>
      <c r="BI353" s="443"/>
      <c r="BJ353" s="444">
        <f t="shared" si="138"/>
        <v>0</v>
      </c>
      <c r="BK353" s="307"/>
      <c r="BL353" s="307"/>
      <c r="BM353" s="445">
        <f t="shared" si="139"/>
        <v>0</v>
      </c>
      <c r="BN353" s="442"/>
      <c r="BO353" s="443"/>
      <c r="BP353" s="444">
        <f t="shared" si="140"/>
        <v>0</v>
      </c>
      <c r="BQ353" s="307"/>
      <c r="BR353" s="307"/>
      <c r="BS353" s="445">
        <f t="shared" si="141"/>
        <v>0</v>
      </c>
      <c r="BT353" s="442"/>
      <c r="BU353" s="443"/>
      <c r="BV353" s="444">
        <f t="shared" si="142"/>
        <v>0</v>
      </c>
      <c r="BW353" s="307"/>
      <c r="BX353" s="307"/>
      <c r="BY353" s="449">
        <f t="shared" si="143"/>
        <v>0</v>
      </c>
    </row>
    <row r="354" spans="1:77" s="308" customFormat="1" ht="12.75" customHeight="1">
      <c r="A354" s="348" t="s">
        <v>342</v>
      </c>
      <c r="B354" s="408" t="s">
        <v>206</v>
      </c>
      <c r="C354" s="537" t="s">
        <v>1122</v>
      </c>
      <c r="D354" s="350">
        <v>199449</v>
      </c>
      <c r="E354" s="538">
        <v>10</v>
      </c>
      <c r="F354" s="453"/>
      <c r="G354" s="454"/>
      <c r="H354" s="439">
        <f t="shared" si="120"/>
        <v>0</v>
      </c>
      <c r="I354" s="311"/>
      <c r="J354" s="311"/>
      <c r="K354" s="441">
        <f t="shared" si="121"/>
        <v>0</v>
      </c>
      <c r="L354" s="442"/>
      <c r="M354" s="443"/>
      <c r="N354" s="444">
        <f t="shared" si="122"/>
        <v>0</v>
      </c>
      <c r="O354" s="307"/>
      <c r="P354" s="307"/>
      <c r="Q354" s="445">
        <f t="shared" si="123"/>
        <v>0</v>
      </c>
      <c r="R354" s="442"/>
      <c r="S354" s="443"/>
      <c r="T354" s="444">
        <f t="shared" si="124"/>
        <v>0</v>
      </c>
      <c r="U354" s="307"/>
      <c r="V354" s="307"/>
      <c r="W354" s="441">
        <f t="shared" si="125"/>
        <v>0</v>
      </c>
      <c r="X354" s="442"/>
      <c r="Y354" s="443"/>
      <c r="Z354" s="444">
        <f t="shared" si="126"/>
        <v>0</v>
      </c>
      <c r="AA354" s="307"/>
      <c r="AB354" s="307"/>
      <c r="AC354" s="445">
        <f t="shared" si="127"/>
        <v>0</v>
      </c>
      <c r="AD354" s="442"/>
      <c r="AE354" s="443"/>
      <c r="AF354" s="444">
        <f t="shared" si="128"/>
        <v>0</v>
      </c>
      <c r="AG354" s="307"/>
      <c r="AH354" s="307"/>
      <c r="AI354" s="445">
        <f t="shared" si="129"/>
        <v>0</v>
      </c>
      <c r="AJ354" s="446">
        <v>52</v>
      </c>
      <c r="AK354" s="443">
        <v>54752</v>
      </c>
      <c r="AL354" s="444">
        <f t="shared" si="130"/>
        <v>2847104</v>
      </c>
      <c r="AM354" s="307">
        <v>63</v>
      </c>
      <c r="AN354" s="307">
        <v>56569</v>
      </c>
      <c r="AO354" s="447">
        <f t="shared" si="131"/>
        <v>3563847</v>
      </c>
      <c r="AP354" s="448"/>
      <c r="AQ354" s="443"/>
      <c r="AR354" s="444">
        <f t="shared" si="132"/>
        <v>0</v>
      </c>
      <c r="AS354" s="307"/>
      <c r="AT354" s="307"/>
      <c r="AU354" s="441">
        <f t="shared" si="133"/>
        <v>0</v>
      </c>
      <c r="AV354" s="442"/>
      <c r="AW354" s="443"/>
      <c r="AX354" s="444">
        <f t="shared" si="134"/>
        <v>0</v>
      </c>
      <c r="AY354" s="307"/>
      <c r="AZ354" s="307"/>
      <c r="BA354" s="445">
        <f t="shared" si="135"/>
        <v>0</v>
      </c>
      <c r="BB354" s="442"/>
      <c r="BC354" s="443"/>
      <c r="BD354" s="444">
        <f t="shared" si="136"/>
        <v>0</v>
      </c>
      <c r="BE354" s="307"/>
      <c r="BF354" s="307"/>
      <c r="BG354" s="445">
        <f t="shared" si="137"/>
        <v>0</v>
      </c>
      <c r="BH354" s="442"/>
      <c r="BI354" s="443"/>
      <c r="BJ354" s="444">
        <f t="shared" si="138"/>
        <v>0</v>
      </c>
      <c r="BK354" s="307"/>
      <c r="BL354" s="307"/>
      <c r="BM354" s="445">
        <f t="shared" si="139"/>
        <v>0</v>
      </c>
      <c r="BN354" s="442"/>
      <c r="BO354" s="443"/>
      <c r="BP354" s="444">
        <f t="shared" si="140"/>
        <v>0</v>
      </c>
      <c r="BQ354" s="307"/>
      <c r="BR354" s="307"/>
      <c r="BS354" s="445">
        <f t="shared" si="141"/>
        <v>0</v>
      </c>
      <c r="BT354" s="442"/>
      <c r="BU354" s="443"/>
      <c r="BV354" s="444">
        <f t="shared" si="142"/>
        <v>0</v>
      </c>
      <c r="BW354" s="307"/>
      <c r="BX354" s="307"/>
      <c r="BY354" s="449">
        <f t="shared" si="143"/>
        <v>0</v>
      </c>
    </row>
    <row r="355" spans="1:77" s="308" customFormat="1" ht="12.75" customHeight="1">
      <c r="A355" s="348" t="s">
        <v>342</v>
      </c>
      <c r="B355" s="349" t="s">
        <v>232</v>
      </c>
      <c r="C355" s="349"/>
      <c r="D355" s="350">
        <v>199467</v>
      </c>
      <c r="E355" s="458">
        <v>10</v>
      </c>
      <c r="F355" s="453"/>
      <c r="G355" s="454"/>
      <c r="H355" s="439">
        <f t="shared" si="120"/>
        <v>0</v>
      </c>
      <c r="I355" s="311"/>
      <c r="J355" s="311"/>
      <c r="K355" s="441">
        <f t="shared" si="121"/>
        <v>0</v>
      </c>
      <c r="L355" s="442"/>
      <c r="M355" s="443"/>
      <c r="N355" s="444">
        <f t="shared" si="122"/>
        <v>0</v>
      </c>
      <c r="O355" s="307"/>
      <c r="P355" s="307"/>
      <c r="Q355" s="445">
        <f t="shared" si="123"/>
        <v>0</v>
      </c>
      <c r="R355" s="442"/>
      <c r="S355" s="443"/>
      <c r="T355" s="444">
        <f t="shared" si="124"/>
        <v>0</v>
      </c>
      <c r="U355" s="307"/>
      <c r="V355" s="307"/>
      <c r="W355" s="441">
        <f t="shared" si="125"/>
        <v>0</v>
      </c>
      <c r="X355" s="442"/>
      <c r="Y355" s="443"/>
      <c r="Z355" s="444">
        <f t="shared" si="126"/>
        <v>0</v>
      </c>
      <c r="AA355" s="307"/>
      <c r="AB355" s="307"/>
      <c r="AC355" s="445">
        <f t="shared" si="127"/>
        <v>0</v>
      </c>
      <c r="AD355" s="442"/>
      <c r="AE355" s="443"/>
      <c r="AF355" s="444">
        <f t="shared" si="128"/>
        <v>0</v>
      </c>
      <c r="AG355" s="307"/>
      <c r="AH355" s="307"/>
      <c r="AI355" s="445">
        <f t="shared" si="129"/>
        <v>0</v>
      </c>
      <c r="AJ355" s="446">
        <v>41</v>
      </c>
      <c r="AK355" s="443">
        <v>48867</v>
      </c>
      <c r="AL355" s="444">
        <f t="shared" si="130"/>
        <v>2003547</v>
      </c>
      <c r="AM355" s="307">
        <v>36</v>
      </c>
      <c r="AN355" s="307">
        <v>50003</v>
      </c>
      <c r="AO355" s="447">
        <f t="shared" si="131"/>
        <v>1800108</v>
      </c>
      <c r="AP355" s="448"/>
      <c r="AQ355" s="443"/>
      <c r="AR355" s="444">
        <f t="shared" si="132"/>
        <v>0</v>
      </c>
      <c r="AS355" s="307"/>
      <c r="AT355" s="307"/>
      <c r="AU355" s="441">
        <f t="shared" si="133"/>
        <v>0</v>
      </c>
      <c r="AV355" s="442"/>
      <c r="AW355" s="443"/>
      <c r="AX355" s="444">
        <f t="shared" si="134"/>
        <v>0</v>
      </c>
      <c r="AY355" s="307"/>
      <c r="AZ355" s="307"/>
      <c r="BA355" s="445">
        <f t="shared" si="135"/>
        <v>0</v>
      </c>
      <c r="BB355" s="442"/>
      <c r="BC355" s="443"/>
      <c r="BD355" s="444">
        <f t="shared" si="136"/>
        <v>0</v>
      </c>
      <c r="BE355" s="307"/>
      <c r="BF355" s="307"/>
      <c r="BG355" s="445">
        <f t="shared" si="137"/>
        <v>0</v>
      </c>
      <c r="BH355" s="442"/>
      <c r="BI355" s="443"/>
      <c r="BJ355" s="444">
        <f t="shared" si="138"/>
        <v>0</v>
      </c>
      <c r="BK355" s="307"/>
      <c r="BL355" s="307"/>
      <c r="BM355" s="445">
        <f t="shared" si="139"/>
        <v>0</v>
      </c>
      <c r="BN355" s="442"/>
      <c r="BO355" s="443"/>
      <c r="BP355" s="444">
        <f t="shared" si="140"/>
        <v>0</v>
      </c>
      <c r="BQ355" s="307"/>
      <c r="BR355" s="307"/>
      <c r="BS355" s="445">
        <f t="shared" si="141"/>
        <v>0</v>
      </c>
      <c r="BT355" s="442"/>
      <c r="BU355" s="443"/>
      <c r="BV355" s="444">
        <f t="shared" si="142"/>
        <v>0</v>
      </c>
      <c r="BW355" s="307"/>
      <c r="BX355" s="307"/>
      <c r="BY355" s="449">
        <f t="shared" si="143"/>
        <v>0</v>
      </c>
    </row>
    <row r="356" spans="1:77" s="308" customFormat="1" ht="12.75" customHeight="1">
      <c r="A356" s="348" t="s">
        <v>342</v>
      </c>
      <c r="B356" s="408" t="s">
        <v>208</v>
      </c>
      <c r="C356" s="537" t="s">
        <v>1122</v>
      </c>
      <c r="D356" s="350">
        <v>199485</v>
      </c>
      <c r="E356" s="538">
        <v>10</v>
      </c>
      <c r="F356" s="453"/>
      <c r="G356" s="454"/>
      <c r="H356" s="439">
        <f t="shared" si="120"/>
        <v>0</v>
      </c>
      <c r="I356" s="311"/>
      <c r="J356" s="311"/>
      <c r="K356" s="441">
        <f t="shared" si="121"/>
        <v>0</v>
      </c>
      <c r="L356" s="442"/>
      <c r="M356" s="443"/>
      <c r="N356" s="444">
        <f t="shared" si="122"/>
        <v>0</v>
      </c>
      <c r="O356" s="307"/>
      <c r="P356" s="307"/>
      <c r="Q356" s="445">
        <f t="shared" si="123"/>
        <v>0</v>
      </c>
      <c r="R356" s="442"/>
      <c r="S356" s="443"/>
      <c r="T356" s="444">
        <f t="shared" si="124"/>
        <v>0</v>
      </c>
      <c r="U356" s="307"/>
      <c r="V356" s="307"/>
      <c r="W356" s="441">
        <f t="shared" si="125"/>
        <v>0</v>
      </c>
      <c r="X356" s="442"/>
      <c r="Y356" s="443"/>
      <c r="Z356" s="444">
        <f t="shared" si="126"/>
        <v>0</v>
      </c>
      <c r="AA356" s="307"/>
      <c r="AB356" s="307"/>
      <c r="AC356" s="445">
        <f t="shared" si="127"/>
        <v>0</v>
      </c>
      <c r="AD356" s="442"/>
      <c r="AE356" s="443"/>
      <c r="AF356" s="444">
        <f t="shared" si="128"/>
        <v>0</v>
      </c>
      <c r="AG356" s="307"/>
      <c r="AH356" s="307"/>
      <c r="AI356" s="445">
        <f t="shared" si="129"/>
        <v>0</v>
      </c>
      <c r="AJ356" s="446">
        <v>62</v>
      </c>
      <c r="AK356" s="443">
        <v>46652</v>
      </c>
      <c r="AL356" s="444">
        <f t="shared" si="130"/>
        <v>2892424</v>
      </c>
      <c r="AM356" s="307">
        <v>62</v>
      </c>
      <c r="AN356" s="307">
        <v>45895</v>
      </c>
      <c r="AO356" s="447">
        <f t="shared" si="131"/>
        <v>2845490</v>
      </c>
      <c r="AP356" s="448"/>
      <c r="AQ356" s="443"/>
      <c r="AR356" s="444">
        <f t="shared" si="132"/>
        <v>0</v>
      </c>
      <c r="AS356" s="307"/>
      <c r="AT356" s="307"/>
      <c r="AU356" s="441">
        <f t="shared" si="133"/>
        <v>0</v>
      </c>
      <c r="AV356" s="442"/>
      <c r="AW356" s="443"/>
      <c r="AX356" s="444">
        <f t="shared" si="134"/>
        <v>0</v>
      </c>
      <c r="AY356" s="307"/>
      <c r="AZ356" s="307"/>
      <c r="BA356" s="445">
        <f t="shared" si="135"/>
        <v>0</v>
      </c>
      <c r="BB356" s="442"/>
      <c r="BC356" s="443"/>
      <c r="BD356" s="444">
        <f t="shared" si="136"/>
        <v>0</v>
      </c>
      <c r="BE356" s="307"/>
      <c r="BF356" s="307"/>
      <c r="BG356" s="445">
        <f t="shared" si="137"/>
        <v>0</v>
      </c>
      <c r="BH356" s="442"/>
      <c r="BI356" s="443"/>
      <c r="BJ356" s="444">
        <f t="shared" si="138"/>
        <v>0</v>
      </c>
      <c r="BK356" s="307"/>
      <c r="BL356" s="307"/>
      <c r="BM356" s="445">
        <f t="shared" si="139"/>
        <v>0</v>
      </c>
      <c r="BN356" s="442"/>
      <c r="BO356" s="443"/>
      <c r="BP356" s="444">
        <f t="shared" si="140"/>
        <v>0</v>
      </c>
      <c r="BQ356" s="307"/>
      <c r="BR356" s="307"/>
      <c r="BS356" s="445">
        <f t="shared" si="141"/>
        <v>0</v>
      </c>
      <c r="BT356" s="442"/>
      <c r="BU356" s="443"/>
      <c r="BV356" s="444">
        <f t="shared" si="142"/>
        <v>0</v>
      </c>
      <c r="BW356" s="307"/>
      <c r="BX356" s="307"/>
      <c r="BY356" s="449">
        <f t="shared" si="143"/>
        <v>0</v>
      </c>
    </row>
    <row r="357" spans="1:77" s="308" customFormat="1" ht="12.75" customHeight="1">
      <c r="A357" s="348" t="s">
        <v>342</v>
      </c>
      <c r="B357" s="349" t="s">
        <v>233</v>
      </c>
      <c r="C357" s="349"/>
      <c r="D357" s="350">
        <v>199625</v>
      </c>
      <c r="E357" s="458">
        <v>10</v>
      </c>
      <c r="F357" s="453"/>
      <c r="G357" s="454"/>
      <c r="H357" s="439">
        <f t="shared" si="120"/>
        <v>0</v>
      </c>
      <c r="I357" s="311"/>
      <c r="J357" s="311"/>
      <c r="K357" s="441">
        <f t="shared" si="121"/>
        <v>0</v>
      </c>
      <c r="L357" s="442"/>
      <c r="M357" s="443"/>
      <c r="N357" s="444">
        <f t="shared" si="122"/>
        <v>0</v>
      </c>
      <c r="O357" s="307"/>
      <c r="P357" s="307"/>
      <c r="Q357" s="445">
        <f t="shared" si="123"/>
        <v>0</v>
      </c>
      <c r="R357" s="442"/>
      <c r="S357" s="443"/>
      <c r="T357" s="444">
        <f t="shared" si="124"/>
        <v>0</v>
      </c>
      <c r="U357" s="307"/>
      <c r="V357" s="307"/>
      <c r="W357" s="441">
        <f t="shared" si="125"/>
        <v>0</v>
      </c>
      <c r="X357" s="442"/>
      <c r="Y357" s="443"/>
      <c r="Z357" s="444">
        <f t="shared" si="126"/>
        <v>0</v>
      </c>
      <c r="AA357" s="307"/>
      <c r="AB357" s="307"/>
      <c r="AC357" s="445">
        <f t="shared" si="127"/>
        <v>0</v>
      </c>
      <c r="AD357" s="442"/>
      <c r="AE357" s="443"/>
      <c r="AF357" s="444">
        <f t="shared" si="128"/>
        <v>0</v>
      </c>
      <c r="AG357" s="307"/>
      <c r="AH357" s="307"/>
      <c r="AI357" s="445">
        <f t="shared" si="129"/>
        <v>0</v>
      </c>
      <c r="AJ357" s="446">
        <v>59</v>
      </c>
      <c r="AK357" s="443">
        <v>44185</v>
      </c>
      <c r="AL357" s="444">
        <f t="shared" si="130"/>
        <v>2606915</v>
      </c>
      <c r="AM357" s="307">
        <v>65</v>
      </c>
      <c r="AN357" s="307">
        <v>44722</v>
      </c>
      <c r="AO357" s="447">
        <f t="shared" si="131"/>
        <v>2906930</v>
      </c>
      <c r="AP357" s="448"/>
      <c r="AQ357" s="443"/>
      <c r="AR357" s="444">
        <f t="shared" si="132"/>
        <v>0</v>
      </c>
      <c r="AS357" s="307"/>
      <c r="AT357" s="307"/>
      <c r="AU357" s="441">
        <f t="shared" si="133"/>
        <v>0</v>
      </c>
      <c r="AV357" s="442"/>
      <c r="AW357" s="443"/>
      <c r="AX357" s="444">
        <f t="shared" si="134"/>
        <v>0</v>
      </c>
      <c r="AY357" s="307"/>
      <c r="AZ357" s="307"/>
      <c r="BA357" s="445">
        <f t="shared" si="135"/>
        <v>0</v>
      </c>
      <c r="BB357" s="442"/>
      <c r="BC357" s="443"/>
      <c r="BD357" s="444">
        <f t="shared" si="136"/>
        <v>0</v>
      </c>
      <c r="BE357" s="307"/>
      <c r="BF357" s="307"/>
      <c r="BG357" s="445">
        <f t="shared" si="137"/>
        <v>0</v>
      </c>
      <c r="BH357" s="442"/>
      <c r="BI357" s="443"/>
      <c r="BJ357" s="444">
        <f t="shared" si="138"/>
        <v>0</v>
      </c>
      <c r="BK357" s="307"/>
      <c r="BL357" s="307"/>
      <c r="BM357" s="445">
        <f t="shared" si="139"/>
        <v>0</v>
      </c>
      <c r="BN357" s="442"/>
      <c r="BO357" s="443"/>
      <c r="BP357" s="444">
        <f t="shared" si="140"/>
        <v>0</v>
      </c>
      <c r="BQ357" s="307"/>
      <c r="BR357" s="307"/>
      <c r="BS357" s="445">
        <f t="shared" si="141"/>
        <v>0</v>
      </c>
      <c r="BT357" s="442"/>
      <c r="BU357" s="443"/>
      <c r="BV357" s="444">
        <f t="shared" si="142"/>
        <v>0</v>
      </c>
      <c r="BW357" s="307"/>
      <c r="BX357" s="307"/>
      <c r="BY357" s="449">
        <f t="shared" si="143"/>
        <v>0</v>
      </c>
    </row>
    <row r="358" spans="1:77" s="308" customFormat="1" ht="12.75" customHeight="1">
      <c r="A358" s="348" t="s">
        <v>342</v>
      </c>
      <c r="B358" s="408" t="s">
        <v>211</v>
      </c>
      <c r="C358" s="537" t="s">
        <v>1122</v>
      </c>
      <c r="D358" s="350">
        <v>197850</v>
      </c>
      <c r="E358" s="538">
        <v>10</v>
      </c>
      <c r="F358" s="453"/>
      <c r="G358" s="454"/>
      <c r="H358" s="439">
        <f t="shared" si="120"/>
        <v>0</v>
      </c>
      <c r="I358" s="311"/>
      <c r="J358" s="311"/>
      <c r="K358" s="441">
        <f t="shared" si="121"/>
        <v>0</v>
      </c>
      <c r="L358" s="442"/>
      <c r="M358" s="443"/>
      <c r="N358" s="444">
        <f t="shared" si="122"/>
        <v>0</v>
      </c>
      <c r="O358" s="307"/>
      <c r="P358" s="307"/>
      <c r="Q358" s="445">
        <f t="shared" si="123"/>
        <v>0</v>
      </c>
      <c r="R358" s="442"/>
      <c r="S358" s="443"/>
      <c r="T358" s="444">
        <f t="shared" si="124"/>
        <v>0</v>
      </c>
      <c r="U358" s="307"/>
      <c r="V358" s="307"/>
      <c r="W358" s="441">
        <f t="shared" si="125"/>
        <v>0</v>
      </c>
      <c r="X358" s="442"/>
      <c r="Y358" s="443"/>
      <c r="Z358" s="444">
        <f t="shared" si="126"/>
        <v>0</v>
      </c>
      <c r="AA358" s="307"/>
      <c r="AB358" s="307"/>
      <c r="AC358" s="445">
        <f t="shared" si="127"/>
        <v>0</v>
      </c>
      <c r="AD358" s="442"/>
      <c r="AE358" s="443"/>
      <c r="AF358" s="444">
        <f t="shared" si="128"/>
        <v>0</v>
      </c>
      <c r="AG358" s="307"/>
      <c r="AH358" s="307"/>
      <c r="AI358" s="445">
        <f t="shared" si="129"/>
        <v>0</v>
      </c>
      <c r="AJ358" s="446">
        <v>83</v>
      </c>
      <c r="AK358" s="443">
        <v>46098</v>
      </c>
      <c r="AL358" s="444">
        <f t="shared" si="130"/>
        <v>3826134</v>
      </c>
      <c r="AM358" s="307">
        <v>86</v>
      </c>
      <c r="AN358" s="307">
        <v>45691</v>
      </c>
      <c r="AO358" s="447">
        <f t="shared" si="131"/>
        <v>3929426</v>
      </c>
      <c r="AP358" s="448"/>
      <c r="AQ358" s="443"/>
      <c r="AR358" s="444">
        <f t="shared" si="132"/>
        <v>0</v>
      </c>
      <c r="AS358" s="307"/>
      <c r="AT358" s="307"/>
      <c r="AU358" s="441">
        <f t="shared" si="133"/>
        <v>0</v>
      </c>
      <c r="AV358" s="442"/>
      <c r="AW358" s="443"/>
      <c r="AX358" s="444">
        <f t="shared" si="134"/>
        <v>0</v>
      </c>
      <c r="AY358" s="307"/>
      <c r="AZ358" s="307"/>
      <c r="BA358" s="445">
        <f t="shared" si="135"/>
        <v>0</v>
      </c>
      <c r="BB358" s="442"/>
      <c r="BC358" s="443"/>
      <c r="BD358" s="444">
        <f t="shared" si="136"/>
        <v>0</v>
      </c>
      <c r="BE358" s="307"/>
      <c r="BF358" s="307"/>
      <c r="BG358" s="445">
        <f t="shared" si="137"/>
        <v>0</v>
      </c>
      <c r="BH358" s="442"/>
      <c r="BI358" s="443"/>
      <c r="BJ358" s="444">
        <f t="shared" si="138"/>
        <v>0</v>
      </c>
      <c r="BK358" s="307"/>
      <c r="BL358" s="307"/>
      <c r="BM358" s="445">
        <f t="shared" si="139"/>
        <v>0</v>
      </c>
      <c r="BN358" s="442"/>
      <c r="BO358" s="443"/>
      <c r="BP358" s="444">
        <f t="shared" si="140"/>
        <v>0</v>
      </c>
      <c r="BQ358" s="307"/>
      <c r="BR358" s="307"/>
      <c r="BS358" s="445">
        <f t="shared" si="141"/>
        <v>0</v>
      </c>
      <c r="BT358" s="442"/>
      <c r="BU358" s="443"/>
      <c r="BV358" s="444">
        <f t="shared" si="142"/>
        <v>0</v>
      </c>
      <c r="BW358" s="307"/>
      <c r="BX358" s="307"/>
      <c r="BY358" s="449">
        <f t="shared" si="143"/>
        <v>0</v>
      </c>
    </row>
    <row r="359" spans="1:77" s="308" customFormat="1" ht="12.75" customHeight="1">
      <c r="A359" s="348" t="s">
        <v>342</v>
      </c>
      <c r="B359" s="408" t="s">
        <v>213</v>
      </c>
      <c r="C359" s="537" t="s">
        <v>1122</v>
      </c>
      <c r="D359" s="350">
        <v>199722</v>
      </c>
      <c r="E359" s="538">
        <v>10</v>
      </c>
      <c r="F359" s="453"/>
      <c r="G359" s="454"/>
      <c r="H359" s="439">
        <f t="shared" si="120"/>
        <v>0</v>
      </c>
      <c r="I359" s="311"/>
      <c r="J359" s="311"/>
      <c r="K359" s="441">
        <f t="shared" si="121"/>
        <v>0</v>
      </c>
      <c r="L359" s="442"/>
      <c r="M359" s="443"/>
      <c r="N359" s="444">
        <f t="shared" si="122"/>
        <v>0</v>
      </c>
      <c r="O359" s="307"/>
      <c r="P359" s="307"/>
      <c r="Q359" s="445">
        <f t="shared" si="123"/>
        <v>0</v>
      </c>
      <c r="R359" s="442"/>
      <c r="S359" s="443"/>
      <c r="T359" s="444">
        <f t="shared" si="124"/>
        <v>0</v>
      </c>
      <c r="U359" s="307"/>
      <c r="V359" s="307"/>
      <c r="W359" s="441">
        <f t="shared" si="125"/>
        <v>0</v>
      </c>
      <c r="X359" s="442"/>
      <c r="Y359" s="443"/>
      <c r="Z359" s="444">
        <f t="shared" si="126"/>
        <v>0</v>
      </c>
      <c r="AA359" s="307"/>
      <c r="AB359" s="307"/>
      <c r="AC359" s="445">
        <f t="shared" si="127"/>
        <v>0</v>
      </c>
      <c r="AD359" s="442"/>
      <c r="AE359" s="443"/>
      <c r="AF359" s="444">
        <f t="shared" si="128"/>
        <v>0</v>
      </c>
      <c r="AG359" s="307"/>
      <c r="AH359" s="307"/>
      <c r="AI359" s="445">
        <f t="shared" si="129"/>
        <v>0</v>
      </c>
      <c r="AJ359" s="446">
        <v>76</v>
      </c>
      <c r="AK359" s="443">
        <v>49678</v>
      </c>
      <c r="AL359" s="444">
        <f t="shared" si="130"/>
        <v>3775528</v>
      </c>
      <c r="AM359" s="307">
        <v>80</v>
      </c>
      <c r="AN359" s="307">
        <v>46112</v>
      </c>
      <c r="AO359" s="447">
        <f t="shared" si="131"/>
        <v>3688960</v>
      </c>
      <c r="AP359" s="448"/>
      <c r="AQ359" s="443"/>
      <c r="AR359" s="444">
        <f t="shared" si="132"/>
        <v>0</v>
      </c>
      <c r="AS359" s="307"/>
      <c r="AT359" s="307"/>
      <c r="AU359" s="441">
        <f t="shared" si="133"/>
        <v>0</v>
      </c>
      <c r="AV359" s="442"/>
      <c r="AW359" s="443"/>
      <c r="AX359" s="444">
        <f t="shared" si="134"/>
        <v>0</v>
      </c>
      <c r="AY359" s="307"/>
      <c r="AZ359" s="307"/>
      <c r="BA359" s="445">
        <f t="shared" si="135"/>
        <v>0</v>
      </c>
      <c r="BB359" s="442"/>
      <c r="BC359" s="443"/>
      <c r="BD359" s="444">
        <f t="shared" si="136"/>
        <v>0</v>
      </c>
      <c r="BE359" s="307"/>
      <c r="BF359" s="307"/>
      <c r="BG359" s="445">
        <f t="shared" si="137"/>
        <v>0</v>
      </c>
      <c r="BH359" s="442"/>
      <c r="BI359" s="443"/>
      <c r="BJ359" s="444">
        <f t="shared" si="138"/>
        <v>0</v>
      </c>
      <c r="BK359" s="307"/>
      <c r="BL359" s="307"/>
      <c r="BM359" s="445">
        <f t="shared" si="139"/>
        <v>0</v>
      </c>
      <c r="BN359" s="442"/>
      <c r="BO359" s="443"/>
      <c r="BP359" s="444">
        <f t="shared" si="140"/>
        <v>0</v>
      </c>
      <c r="BQ359" s="307"/>
      <c r="BR359" s="307"/>
      <c r="BS359" s="445">
        <f t="shared" si="141"/>
        <v>0</v>
      </c>
      <c r="BT359" s="442"/>
      <c r="BU359" s="443"/>
      <c r="BV359" s="444">
        <f t="shared" si="142"/>
        <v>0</v>
      </c>
      <c r="BW359" s="307"/>
      <c r="BX359" s="307"/>
      <c r="BY359" s="449">
        <f t="shared" si="143"/>
        <v>0</v>
      </c>
    </row>
    <row r="360" spans="1:77" s="308" customFormat="1" ht="12.75" customHeight="1">
      <c r="A360" s="348" t="s">
        <v>342</v>
      </c>
      <c r="B360" s="408" t="s">
        <v>214</v>
      </c>
      <c r="C360" s="537" t="s">
        <v>1122</v>
      </c>
      <c r="D360" s="350">
        <v>199731</v>
      </c>
      <c r="E360" s="538">
        <v>10</v>
      </c>
      <c r="F360" s="453"/>
      <c r="G360" s="454"/>
      <c r="H360" s="439">
        <f t="shared" si="120"/>
        <v>0</v>
      </c>
      <c r="I360" s="311"/>
      <c r="J360" s="311"/>
      <c r="K360" s="441">
        <f t="shared" si="121"/>
        <v>0</v>
      </c>
      <c r="L360" s="442"/>
      <c r="M360" s="443"/>
      <c r="N360" s="444">
        <f t="shared" si="122"/>
        <v>0</v>
      </c>
      <c r="O360" s="307"/>
      <c r="P360" s="307"/>
      <c r="Q360" s="445">
        <f t="shared" si="123"/>
        <v>0</v>
      </c>
      <c r="R360" s="442"/>
      <c r="S360" s="443"/>
      <c r="T360" s="444">
        <f t="shared" si="124"/>
        <v>0</v>
      </c>
      <c r="U360" s="307"/>
      <c r="V360" s="307"/>
      <c r="W360" s="441">
        <f t="shared" si="125"/>
        <v>0</v>
      </c>
      <c r="X360" s="442"/>
      <c r="Y360" s="443"/>
      <c r="Z360" s="444">
        <f t="shared" si="126"/>
        <v>0</v>
      </c>
      <c r="AA360" s="307"/>
      <c r="AB360" s="307"/>
      <c r="AC360" s="445">
        <f t="shared" si="127"/>
        <v>0</v>
      </c>
      <c r="AD360" s="442"/>
      <c r="AE360" s="443"/>
      <c r="AF360" s="444">
        <f t="shared" si="128"/>
        <v>0</v>
      </c>
      <c r="AG360" s="307"/>
      <c r="AH360" s="307"/>
      <c r="AI360" s="445">
        <f t="shared" si="129"/>
        <v>0</v>
      </c>
      <c r="AJ360" s="446">
        <v>83</v>
      </c>
      <c r="AK360" s="443">
        <v>45330</v>
      </c>
      <c r="AL360" s="444">
        <f t="shared" si="130"/>
        <v>3762390</v>
      </c>
      <c r="AM360" s="307">
        <v>83</v>
      </c>
      <c r="AN360" s="307">
        <v>44670</v>
      </c>
      <c r="AO360" s="447">
        <f t="shared" si="131"/>
        <v>3707610</v>
      </c>
      <c r="AP360" s="448"/>
      <c r="AQ360" s="443"/>
      <c r="AR360" s="444">
        <f t="shared" si="132"/>
        <v>0</v>
      </c>
      <c r="AS360" s="307"/>
      <c r="AT360" s="307"/>
      <c r="AU360" s="441">
        <f t="shared" si="133"/>
        <v>0</v>
      </c>
      <c r="AV360" s="442"/>
      <c r="AW360" s="443"/>
      <c r="AX360" s="444">
        <f t="shared" si="134"/>
        <v>0</v>
      </c>
      <c r="AY360" s="307"/>
      <c r="AZ360" s="307"/>
      <c r="BA360" s="445">
        <f t="shared" si="135"/>
        <v>0</v>
      </c>
      <c r="BB360" s="442"/>
      <c r="BC360" s="443"/>
      <c r="BD360" s="444">
        <f t="shared" si="136"/>
        <v>0</v>
      </c>
      <c r="BE360" s="307"/>
      <c r="BF360" s="307"/>
      <c r="BG360" s="445">
        <f t="shared" si="137"/>
        <v>0</v>
      </c>
      <c r="BH360" s="442"/>
      <c r="BI360" s="443"/>
      <c r="BJ360" s="444">
        <f t="shared" si="138"/>
        <v>0</v>
      </c>
      <c r="BK360" s="307"/>
      <c r="BL360" s="307"/>
      <c r="BM360" s="445">
        <f t="shared" si="139"/>
        <v>0</v>
      </c>
      <c r="BN360" s="442"/>
      <c r="BO360" s="443"/>
      <c r="BP360" s="444">
        <f t="shared" si="140"/>
        <v>0</v>
      </c>
      <c r="BQ360" s="307"/>
      <c r="BR360" s="307"/>
      <c r="BS360" s="445">
        <f t="shared" si="141"/>
        <v>0</v>
      </c>
      <c r="BT360" s="442"/>
      <c r="BU360" s="443"/>
      <c r="BV360" s="444">
        <f t="shared" si="142"/>
        <v>0</v>
      </c>
      <c r="BW360" s="307"/>
      <c r="BX360" s="307"/>
      <c r="BY360" s="449">
        <f t="shared" si="143"/>
        <v>0</v>
      </c>
    </row>
    <row r="361" spans="1:77" s="308" customFormat="1" ht="12.75" customHeight="1">
      <c r="A361" s="348" t="s">
        <v>342</v>
      </c>
      <c r="B361" s="349" t="s">
        <v>234</v>
      </c>
      <c r="C361" s="349"/>
      <c r="D361" s="350">
        <v>199795</v>
      </c>
      <c r="E361" s="458">
        <v>10</v>
      </c>
      <c r="F361" s="453"/>
      <c r="G361" s="454"/>
      <c r="H361" s="439">
        <f t="shared" si="120"/>
        <v>0</v>
      </c>
      <c r="I361" s="311"/>
      <c r="J361" s="311"/>
      <c r="K361" s="441">
        <f t="shared" si="121"/>
        <v>0</v>
      </c>
      <c r="L361" s="442"/>
      <c r="M361" s="443"/>
      <c r="N361" s="444">
        <f t="shared" si="122"/>
        <v>0</v>
      </c>
      <c r="O361" s="307"/>
      <c r="P361" s="307"/>
      <c r="Q361" s="445">
        <f t="shared" si="123"/>
        <v>0</v>
      </c>
      <c r="R361" s="442"/>
      <c r="S361" s="443"/>
      <c r="T361" s="444">
        <f t="shared" si="124"/>
        <v>0</v>
      </c>
      <c r="U361" s="307"/>
      <c r="V361" s="307"/>
      <c r="W361" s="441">
        <f t="shared" si="125"/>
        <v>0</v>
      </c>
      <c r="X361" s="442"/>
      <c r="Y361" s="443"/>
      <c r="Z361" s="444">
        <f t="shared" si="126"/>
        <v>0</v>
      </c>
      <c r="AA361" s="307"/>
      <c r="AB361" s="307"/>
      <c r="AC361" s="445">
        <f t="shared" si="127"/>
        <v>0</v>
      </c>
      <c r="AD361" s="442"/>
      <c r="AE361" s="443"/>
      <c r="AF361" s="444">
        <f t="shared" si="128"/>
        <v>0</v>
      </c>
      <c r="AG361" s="307"/>
      <c r="AH361" s="307"/>
      <c r="AI361" s="445">
        <f t="shared" si="129"/>
        <v>0</v>
      </c>
      <c r="AJ361" s="446">
        <v>35</v>
      </c>
      <c r="AK361" s="443">
        <v>44958</v>
      </c>
      <c r="AL361" s="444">
        <f t="shared" si="130"/>
        <v>1573530</v>
      </c>
      <c r="AM361" s="307">
        <v>34</v>
      </c>
      <c r="AN361" s="307">
        <v>44505</v>
      </c>
      <c r="AO361" s="447">
        <f t="shared" si="131"/>
        <v>1513170</v>
      </c>
      <c r="AP361" s="448"/>
      <c r="AQ361" s="443"/>
      <c r="AR361" s="444">
        <f t="shared" si="132"/>
        <v>0</v>
      </c>
      <c r="AS361" s="307"/>
      <c r="AT361" s="307"/>
      <c r="AU361" s="441">
        <f t="shared" si="133"/>
        <v>0</v>
      </c>
      <c r="AV361" s="442"/>
      <c r="AW361" s="443"/>
      <c r="AX361" s="444">
        <f t="shared" si="134"/>
        <v>0</v>
      </c>
      <c r="AY361" s="307"/>
      <c r="AZ361" s="307"/>
      <c r="BA361" s="445">
        <f t="shared" si="135"/>
        <v>0</v>
      </c>
      <c r="BB361" s="442"/>
      <c r="BC361" s="443"/>
      <c r="BD361" s="444">
        <f t="shared" si="136"/>
        <v>0</v>
      </c>
      <c r="BE361" s="307"/>
      <c r="BF361" s="307"/>
      <c r="BG361" s="445">
        <f t="shared" si="137"/>
        <v>0</v>
      </c>
      <c r="BH361" s="442"/>
      <c r="BI361" s="443"/>
      <c r="BJ361" s="444">
        <f t="shared" si="138"/>
        <v>0</v>
      </c>
      <c r="BK361" s="307"/>
      <c r="BL361" s="307"/>
      <c r="BM361" s="445">
        <f t="shared" si="139"/>
        <v>0</v>
      </c>
      <c r="BN361" s="442"/>
      <c r="BO361" s="443"/>
      <c r="BP361" s="444">
        <f t="shared" si="140"/>
        <v>0</v>
      </c>
      <c r="BQ361" s="307"/>
      <c r="BR361" s="307"/>
      <c r="BS361" s="445">
        <f t="shared" si="141"/>
        <v>0</v>
      </c>
      <c r="BT361" s="442"/>
      <c r="BU361" s="443"/>
      <c r="BV361" s="444">
        <f t="shared" si="142"/>
        <v>0</v>
      </c>
      <c r="BW361" s="307"/>
      <c r="BX361" s="307"/>
      <c r="BY361" s="449">
        <f t="shared" si="143"/>
        <v>0</v>
      </c>
    </row>
    <row r="362" spans="1:77" s="308" customFormat="1" ht="12.75" customHeight="1">
      <c r="A362" s="348" t="s">
        <v>342</v>
      </c>
      <c r="B362" s="408" t="s">
        <v>221</v>
      </c>
      <c r="C362" s="537" t="s">
        <v>1122</v>
      </c>
      <c r="D362" s="350">
        <v>199953</v>
      </c>
      <c r="E362" s="538">
        <v>10</v>
      </c>
      <c r="F362" s="453"/>
      <c r="G362" s="454"/>
      <c r="H362" s="439">
        <f t="shared" si="120"/>
        <v>0</v>
      </c>
      <c r="I362" s="311"/>
      <c r="J362" s="311"/>
      <c r="K362" s="441">
        <f t="shared" si="121"/>
        <v>0</v>
      </c>
      <c r="L362" s="442"/>
      <c r="M362" s="443"/>
      <c r="N362" s="444">
        <f t="shared" si="122"/>
        <v>0</v>
      </c>
      <c r="O362" s="307"/>
      <c r="P362" s="307"/>
      <c r="Q362" s="445">
        <f t="shared" si="123"/>
        <v>0</v>
      </c>
      <c r="R362" s="442"/>
      <c r="S362" s="443"/>
      <c r="T362" s="444">
        <f t="shared" si="124"/>
        <v>0</v>
      </c>
      <c r="U362" s="307"/>
      <c r="V362" s="307"/>
      <c r="W362" s="441">
        <f t="shared" si="125"/>
        <v>0</v>
      </c>
      <c r="X362" s="442"/>
      <c r="Y362" s="443"/>
      <c r="Z362" s="444">
        <f t="shared" si="126"/>
        <v>0</v>
      </c>
      <c r="AA362" s="307"/>
      <c r="AB362" s="307"/>
      <c r="AC362" s="445">
        <f t="shared" si="127"/>
        <v>0</v>
      </c>
      <c r="AD362" s="442"/>
      <c r="AE362" s="443"/>
      <c r="AF362" s="444">
        <f t="shared" si="128"/>
        <v>0</v>
      </c>
      <c r="AG362" s="307"/>
      <c r="AH362" s="307"/>
      <c r="AI362" s="445">
        <f t="shared" si="129"/>
        <v>0</v>
      </c>
      <c r="AJ362" s="446">
        <v>52</v>
      </c>
      <c r="AK362" s="443">
        <v>48150</v>
      </c>
      <c r="AL362" s="444">
        <f t="shared" si="130"/>
        <v>2503800</v>
      </c>
      <c r="AM362" s="307">
        <v>54</v>
      </c>
      <c r="AN362" s="307">
        <v>46670</v>
      </c>
      <c r="AO362" s="447">
        <f t="shared" si="131"/>
        <v>2520180</v>
      </c>
      <c r="AP362" s="448"/>
      <c r="AQ362" s="443"/>
      <c r="AR362" s="444">
        <f t="shared" si="132"/>
        <v>0</v>
      </c>
      <c r="AS362" s="307"/>
      <c r="AT362" s="307"/>
      <c r="AU362" s="441">
        <f t="shared" si="133"/>
        <v>0</v>
      </c>
      <c r="AV362" s="442"/>
      <c r="AW362" s="443"/>
      <c r="AX362" s="444">
        <f t="shared" si="134"/>
        <v>0</v>
      </c>
      <c r="AY362" s="307"/>
      <c r="AZ362" s="307"/>
      <c r="BA362" s="445">
        <f t="shared" si="135"/>
        <v>0</v>
      </c>
      <c r="BB362" s="442"/>
      <c r="BC362" s="443"/>
      <c r="BD362" s="444">
        <f t="shared" si="136"/>
        <v>0</v>
      </c>
      <c r="BE362" s="307"/>
      <c r="BF362" s="307"/>
      <c r="BG362" s="445">
        <f t="shared" si="137"/>
        <v>0</v>
      </c>
      <c r="BH362" s="442"/>
      <c r="BI362" s="443"/>
      <c r="BJ362" s="444">
        <f t="shared" si="138"/>
        <v>0</v>
      </c>
      <c r="BK362" s="307"/>
      <c r="BL362" s="307"/>
      <c r="BM362" s="445">
        <f t="shared" si="139"/>
        <v>0</v>
      </c>
      <c r="BN362" s="442"/>
      <c r="BO362" s="443"/>
      <c r="BP362" s="444">
        <f t="shared" si="140"/>
        <v>0</v>
      </c>
      <c r="BQ362" s="307"/>
      <c r="BR362" s="307"/>
      <c r="BS362" s="445">
        <f t="shared" si="141"/>
        <v>0</v>
      </c>
      <c r="BT362" s="442"/>
      <c r="BU362" s="443"/>
      <c r="BV362" s="444">
        <f t="shared" si="142"/>
        <v>0</v>
      </c>
      <c r="BW362" s="307"/>
      <c r="BX362" s="307"/>
      <c r="BY362" s="449">
        <f t="shared" si="143"/>
        <v>0</v>
      </c>
    </row>
    <row r="363" spans="1:77" s="308" customFormat="1" ht="12.75" customHeight="1">
      <c r="A363" s="428" t="s">
        <v>311</v>
      </c>
      <c r="B363" s="429" t="s">
        <v>1011</v>
      </c>
      <c r="C363" s="429"/>
      <c r="D363" s="430">
        <v>207388</v>
      </c>
      <c r="E363" s="305">
        <v>1</v>
      </c>
      <c r="F363" s="453">
        <v>220</v>
      </c>
      <c r="G363" s="454">
        <v>105365</v>
      </c>
      <c r="H363" s="439">
        <f t="shared" si="120"/>
        <v>23180300</v>
      </c>
      <c r="I363" s="311">
        <v>222</v>
      </c>
      <c r="J363" s="311">
        <v>108659</v>
      </c>
      <c r="K363" s="441">
        <f t="shared" si="121"/>
        <v>24122298</v>
      </c>
      <c r="L363" s="442">
        <v>237</v>
      </c>
      <c r="M363" s="443">
        <v>73935</v>
      </c>
      <c r="N363" s="444">
        <f t="shared" si="122"/>
        <v>17522595</v>
      </c>
      <c r="O363" s="307">
        <v>238</v>
      </c>
      <c r="P363" s="307">
        <v>73407</v>
      </c>
      <c r="Q363" s="445">
        <f t="shared" si="123"/>
        <v>17470866</v>
      </c>
      <c r="R363" s="442">
        <v>232</v>
      </c>
      <c r="S363" s="443">
        <v>64879</v>
      </c>
      <c r="T363" s="444">
        <f t="shared" si="124"/>
        <v>15051928</v>
      </c>
      <c r="U363" s="307">
        <v>220</v>
      </c>
      <c r="V363" s="307">
        <v>65302</v>
      </c>
      <c r="W363" s="441">
        <f t="shared" si="125"/>
        <v>14366440</v>
      </c>
      <c r="X363" s="442">
        <v>64</v>
      </c>
      <c r="Y363" s="443">
        <v>45191</v>
      </c>
      <c r="Z363" s="444">
        <f t="shared" si="126"/>
        <v>2892224</v>
      </c>
      <c r="AA363" s="307">
        <v>67</v>
      </c>
      <c r="AB363" s="307">
        <v>45032</v>
      </c>
      <c r="AC363" s="445">
        <f t="shared" si="127"/>
        <v>3017144</v>
      </c>
      <c r="AD363" s="442"/>
      <c r="AE363" s="443"/>
      <c r="AF363" s="444">
        <f t="shared" si="128"/>
        <v>0</v>
      </c>
      <c r="AG363" s="307"/>
      <c r="AH363" s="307"/>
      <c r="AI363" s="445">
        <f t="shared" si="129"/>
        <v>0</v>
      </c>
      <c r="AJ363" s="446"/>
      <c r="AK363" s="443"/>
      <c r="AL363" s="444">
        <f t="shared" si="130"/>
        <v>0</v>
      </c>
      <c r="AM363" s="307"/>
      <c r="AN363" s="307"/>
      <c r="AO363" s="447">
        <f t="shared" si="131"/>
        <v>0</v>
      </c>
      <c r="AP363" s="448">
        <v>62</v>
      </c>
      <c r="AQ363" s="443">
        <v>124861</v>
      </c>
      <c r="AR363" s="444">
        <f t="shared" si="132"/>
        <v>6333998.7524000006</v>
      </c>
      <c r="AS363" s="307">
        <v>60</v>
      </c>
      <c r="AT363" s="307">
        <v>140832</v>
      </c>
      <c r="AU363" s="441">
        <f t="shared" si="133"/>
        <v>6913724.5440000007</v>
      </c>
      <c r="AV363" s="442">
        <v>32</v>
      </c>
      <c r="AW363" s="443">
        <v>81373</v>
      </c>
      <c r="AX363" s="444">
        <f t="shared" si="134"/>
        <v>2130540.4352000002</v>
      </c>
      <c r="AY363" s="307">
        <v>32</v>
      </c>
      <c r="AZ363" s="307">
        <v>79641</v>
      </c>
      <c r="BA363" s="445">
        <f t="shared" si="135"/>
        <v>2085192.5184000002</v>
      </c>
      <c r="BB363" s="442">
        <v>29</v>
      </c>
      <c r="BC363" s="443">
        <v>59360</v>
      </c>
      <c r="BD363" s="444">
        <f t="shared" si="136"/>
        <v>1408482.2080000001</v>
      </c>
      <c r="BE363" s="307">
        <v>27</v>
      </c>
      <c r="BF363" s="307">
        <v>56422</v>
      </c>
      <c r="BG363" s="445">
        <f t="shared" si="137"/>
        <v>1246440.9708</v>
      </c>
      <c r="BH363" s="442">
        <v>52</v>
      </c>
      <c r="BI363" s="443">
        <v>47405</v>
      </c>
      <c r="BJ363" s="444">
        <f t="shared" si="138"/>
        <v>2016912.0920000002</v>
      </c>
      <c r="BK363" s="307">
        <v>64</v>
      </c>
      <c r="BL363" s="307">
        <v>47822</v>
      </c>
      <c r="BM363" s="445">
        <f t="shared" si="139"/>
        <v>2504189.4656000002</v>
      </c>
      <c r="BN363" s="371"/>
      <c r="BO363" s="372"/>
      <c r="BP363" s="444">
        <f t="shared" si="140"/>
        <v>0</v>
      </c>
      <c r="BQ363" s="307"/>
      <c r="BR363" s="307"/>
      <c r="BS363" s="445">
        <f t="shared" si="141"/>
        <v>0</v>
      </c>
      <c r="BT363" s="371"/>
      <c r="BU363" s="372"/>
      <c r="BV363" s="444">
        <f t="shared" si="142"/>
        <v>0</v>
      </c>
      <c r="BW363" s="307"/>
      <c r="BX363" s="307"/>
      <c r="BY363" s="449">
        <f t="shared" si="143"/>
        <v>0</v>
      </c>
    </row>
    <row r="364" spans="1:77" s="308" customFormat="1" ht="12.75" customHeight="1">
      <c r="A364" s="428" t="s">
        <v>311</v>
      </c>
      <c r="B364" s="429" t="s">
        <v>1012</v>
      </c>
      <c r="C364" s="429"/>
      <c r="D364" s="430">
        <v>207500</v>
      </c>
      <c r="E364" s="305">
        <v>1</v>
      </c>
      <c r="F364" s="453">
        <v>337</v>
      </c>
      <c r="G364" s="454">
        <v>105418</v>
      </c>
      <c r="H364" s="439">
        <f t="shared" si="120"/>
        <v>35525866</v>
      </c>
      <c r="I364" s="311">
        <v>331</v>
      </c>
      <c r="J364" s="311">
        <v>105912</v>
      </c>
      <c r="K364" s="441">
        <f t="shared" si="121"/>
        <v>35056872</v>
      </c>
      <c r="L364" s="442">
        <v>252</v>
      </c>
      <c r="M364" s="443">
        <v>70440</v>
      </c>
      <c r="N364" s="444">
        <f t="shared" si="122"/>
        <v>17750880</v>
      </c>
      <c r="O364" s="307">
        <v>256</v>
      </c>
      <c r="P364" s="307">
        <v>69834</v>
      </c>
      <c r="Q364" s="445">
        <f t="shared" si="123"/>
        <v>17877504</v>
      </c>
      <c r="R364" s="442">
        <v>254</v>
      </c>
      <c r="S364" s="443">
        <v>62569</v>
      </c>
      <c r="T364" s="444">
        <f t="shared" si="124"/>
        <v>15892526</v>
      </c>
      <c r="U364" s="307">
        <v>238</v>
      </c>
      <c r="V364" s="307">
        <v>62796</v>
      </c>
      <c r="W364" s="441">
        <f t="shared" si="125"/>
        <v>14945448</v>
      </c>
      <c r="X364" s="442">
        <v>157</v>
      </c>
      <c r="Y364" s="443">
        <v>39164</v>
      </c>
      <c r="Z364" s="444">
        <f t="shared" si="126"/>
        <v>6148748</v>
      </c>
      <c r="AA364" s="307">
        <v>157</v>
      </c>
      <c r="AB364" s="307">
        <v>41155</v>
      </c>
      <c r="AC364" s="445">
        <f t="shared" si="127"/>
        <v>6461335</v>
      </c>
      <c r="AD364" s="442"/>
      <c r="AE364" s="443"/>
      <c r="AF364" s="444">
        <f t="shared" si="128"/>
        <v>0</v>
      </c>
      <c r="AG364" s="307"/>
      <c r="AH364" s="307"/>
      <c r="AI364" s="445">
        <f t="shared" si="129"/>
        <v>0</v>
      </c>
      <c r="AJ364" s="446"/>
      <c r="AK364" s="443"/>
      <c r="AL364" s="444">
        <f t="shared" si="130"/>
        <v>0</v>
      </c>
      <c r="AM364" s="307"/>
      <c r="AN364" s="307"/>
      <c r="AO364" s="447">
        <f t="shared" si="131"/>
        <v>0</v>
      </c>
      <c r="AP364" s="448">
        <v>80</v>
      </c>
      <c r="AQ364" s="443">
        <v>142494</v>
      </c>
      <c r="AR364" s="444">
        <f t="shared" si="132"/>
        <v>9327087.2640000004</v>
      </c>
      <c r="AS364" s="307">
        <v>84</v>
      </c>
      <c r="AT364" s="307">
        <v>143744</v>
      </c>
      <c r="AU364" s="441">
        <f t="shared" si="133"/>
        <v>9879352.6272</v>
      </c>
      <c r="AV364" s="442">
        <v>30</v>
      </c>
      <c r="AW364" s="443">
        <v>97355</v>
      </c>
      <c r="AX364" s="444">
        <f t="shared" si="134"/>
        <v>2389675.83</v>
      </c>
      <c r="AY364" s="307">
        <v>31</v>
      </c>
      <c r="AZ364" s="307">
        <v>95632</v>
      </c>
      <c r="BA364" s="445">
        <f t="shared" si="135"/>
        <v>2425629.1743999999</v>
      </c>
      <c r="BB364" s="442">
        <v>12</v>
      </c>
      <c r="BC364" s="443">
        <v>77110</v>
      </c>
      <c r="BD364" s="444">
        <f t="shared" si="136"/>
        <v>757096.82400000002</v>
      </c>
      <c r="BE364" s="307">
        <v>17</v>
      </c>
      <c r="BF364" s="307">
        <v>78420</v>
      </c>
      <c r="BG364" s="445">
        <f t="shared" si="137"/>
        <v>1090775.148</v>
      </c>
      <c r="BH364" s="442">
        <v>2</v>
      </c>
      <c r="BI364" s="443">
        <v>59410</v>
      </c>
      <c r="BJ364" s="444">
        <f t="shared" si="138"/>
        <v>97218.524000000005</v>
      </c>
      <c r="BK364" s="307">
        <v>7</v>
      </c>
      <c r="BL364" s="307">
        <v>56282</v>
      </c>
      <c r="BM364" s="445">
        <f t="shared" si="139"/>
        <v>322349.52679999999</v>
      </c>
      <c r="BN364" s="371"/>
      <c r="BO364" s="372"/>
      <c r="BP364" s="444">
        <f t="shared" si="140"/>
        <v>0</v>
      </c>
      <c r="BQ364" s="307"/>
      <c r="BR364" s="307"/>
      <c r="BS364" s="445">
        <f t="shared" si="141"/>
        <v>0</v>
      </c>
      <c r="BT364" s="371"/>
      <c r="BU364" s="372"/>
      <c r="BV364" s="444">
        <f t="shared" si="142"/>
        <v>0</v>
      </c>
      <c r="BW364" s="307"/>
      <c r="BX364" s="307"/>
      <c r="BY364" s="449">
        <f t="shared" si="143"/>
        <v>0</v>
      </c>
    </row>
    <row r="365" spans="1:77" s="308" customFormat="1" ht="12.75" customHeight="1">
      <c r="A365" s="428" t="s">
        <v>311</v>
      </c>
      <c r="B365" s="429" t="s">
        <v>1013</v>
      </c>
      <c r="C365" s="429"/>
      <c r="D365" s="430">
        <v>207263</v>
      </c>
      <c r="E365" s="305">
        <v>3</v>
      </c>
      <c r="F365" s="453">
        <v>53</v>
      </c>
      <c r="G365" s="454">
        <v>69328</v>
      </c>
      <c r="H365" s="439">
        <f t="shared" si="120"/>
        <v>3674384</v>
      </c>
      <c r="I365" s="311">
        <v>52</v>
      </c>
      <c r="J365" s="311">
        <v>69908</v>
      </c>
      <c r="K365" s="441">
        <f t="shared" si="121"/>
        <v>3635216</v>
      </c>
      <c r="L365" s="442">
        <v>72</v>
      </c>
      <c r="M365" s="443">
        <v>57791</v>
      </c>
      <c r="N365" s="444">
        <f t="shared" si="122"/>
        <v>4160952</v>
      </c>
      <c r="O365" s="307">
        <v>74</v>
      </c>
      <c r="P365" s="307">
        <v>56178</v>
      </c>
      <c r="Q365" s="445">
        <f t="shared" si="123"/>
        <v>4157172</v>
      </c>
      <c r="R365" s="442">
        <v>86</v>
      </c>
      <c r="S365" s="443">
        <v>48748</v>
      </c>
      <c r="T365" s="444">
        <f t="shared" si="124"/>
        <v>4192328</v>
      </c>
      <c r="U365" s="307">
        <v>88</v>
      </c>
      <c r="V365" s="307">
        <v>48233</v>
      </c>
      <c r="W365" s="441">
        <f t="shared" si="125"/>
        <v>4244504</v>
      </c>
      <c r="X365" s="442">
        <v>77</v>
      </c>
      <c r="Y365" s="443">
        <v>38088</v>
      </c>
      <c r="Z365" s="444">
        <f t="shared" si="126"/>
        <v>2932776</v>
      </c>
      <c r="AA365" s="307">
        <v>82</v>
      </c>
      <c r="AB365" s="307">
        <v>38143</v>
      </c>
      <c r="AC365" s="445">
        <f t="shared" si="127"/>
        <v>3127726</v>
      </c>
      <c r="AD365" s="442"/>
      <c r="AE365" s="443"/>
      <c r="AF365" s="444">
        <f t="shared" si="128"/>
        <v>0</v>
      </c>
      <c r="AG365" s="307"/>
      <c r="AH365" s="307"/>
      <c r="AI365" s="445">
        <f t="shared" si="129"/>
        <v>0</v>
      </c>
      <c r="AJ365" s="446"/>
      <c r="AK365" s="443"/>
      <c r="AL365" s="444">
        <f t="shared" si="130"/>
        <v>0</v>
      </c>
      <c r="AM365" s="307"/>
      <c r="AN365" s="307"/>
      <c r="AO365" s="447">
        <f t="shared" si="131"/>
        <v>0</v>
      </c>
      <c r="AP365" s="448">
        <v>10</v>
      </c>
      <c r="AQ365" s="443">
        <v>102322</v>
      </c>
      <c r="AR365" s="444">
        <f t="shared" si="132"/>
        <v>837198.60400000005</v>
      </c>
      <c r="AS365" s="307">
        <v>10</v>
      </c>
      <c r="AT365" s="307">
        <v>100119</v>
      </c>
      <c r="AU365" s="441">
        <f t="shared" si="133"/>
        <v>819173.65800000005</v>
      </c>
      <c r="AV365" s="442">
        <v>6</v>
      </c>
      <c r="AW365" s="443">
        <v>78604</v>
      </c>
      <c r="AX365" s="444">
        <f t="shared" si="134"/>
        <v>385882.75680000003</v>
      </c>
      <c r="AY365" s="307">
        <v>8</v>
      </c>
      <c r="AZ365" s="307">
        <v>82117</v>
      </c>
      <c r="BA365" s="445">
        <f t="shared" si="135"/>
        <v>537505.03520000004</v>
      </c>
      <c r="BB365" s="442">
        <v>9</v>
      </c>
      <c r="BC365" s="443">
        <v>77271</v>
      </c>
      <c r="BD365" s="444">
        <f t="shared" si="136"/>
        <v>569008.18980000005</v>
      </c>
      <c r="BE365" s="307">
        <v>11</v>
      </c>
      <c r="BF365" s="307">
        <v>77327</v>
      </c>
      <c r="BG365" s="445">
        <f t="shared" si="137"/>
        <v>695958.46539999999</v>
      </c>
      <c r="BH365" s="442">
        <v>9</v>
      </c>
      <c r="BI365" s="443">
        <v>48642</v>
      </c>
      <c r="BJ365" s="444">
        <f t="shared" si="138"/>
        <v>358189.9596</v>
      </c>
      <c r="BK365" s="307">
        <v>8</v>
      </c>
      <c r="BL365" s="307">
        <v>48765</v>
      </c>
      <c r="BM365" s="445">
        <f t="shared" si="139"/>
        <v>319196.18400000001</v>
      </c>
      <c r="BN365" s="371"/>
      <c r="BO365" s="372"/>
      <c r="BP365" s="444">
        <f t="shared" si="140"/>
        <v>0</v>
      </c>
      <c r="BQ365" s="307"/>
      <c r="BR365" s="307"/>
      <c r="BS365" s="445">
        <f t="shared" si="141"/>
        <v>0</v>
      </c>
      <c r="BT365" s="371"/>
      <c r="BU365" s="372"/>
      <c r="BV365" s="444">
        <f t="shared" si="142"/>
        <v>0</v>
      </c>
      <c r="BW365" s="307"/>
      <c r="BX365" s="307"/>
      <c r="BY365" s="449">
        <f t="shared" si="143"/>
        <v>0</v>
      </c>
    </row>
    <row r="366" spans="1:77" s="308" customFormat="1" ht="12.75" customHeight="1">
      <c r="A366" s="428" t="s">
        <v>311</v>
      </c>
      <c r="B366" s="429" t="s">
        <v>1014</v>
      </c>
      <c r="C366" s="429"/>
      <c r="D366" s="430">
        <v>206941</v>
      </c>
      <c r="E366" s="305">
        <v>3</v>
      </c>
      <c r="F366" s="453">
        <v>168</v>
      </c>
      <c r="G366" s="454">
        <v>77761</v>
      </c>
      <c r="H366" s="439">
        <f t="shared" si="120"/>
        <v>13063848</v>
      </c>
      <c r="I366" s="311">
        <v>170</v>
      </c>
      <c r="J366" s="311">
        <v>77722</v>
      </c>
      <c r="K366" s="441">
        <f t="shared" si="121"/>
        <v>13212740</v>
      </c>
      <c r="L366" s="442">
        <v>60</v>
      </c>
      <c r="M366" s="443">
        <v>64390</v>
      </c>
      <c r="N366" s="444">
        <f t="shared" si="122"/>
        <v>3863400</v>
      </c>
      <c r="O366" s="307">
        <v>70</v>
      </c>
      <c r="P366" s="307">
        <v>63374</v>
      </c>
      <c r="Q366" s="445">
        <f t="shared" si="123"/>
        <v>4436180</v>
      </c>
      <c r="R366" s="442">
        <v>126</v>
      </c>
      <c r="S366" s="443">
        <v>59055</v>
      </c>
      <c r="T366" s="444">
        <f t="shared" si="124"/>
        <v>7440930</v>
      </c>
      <c r="U366" s="307">
        <v>116</v>
      </c>
      <c r="V366" s="307">
        <v>59200</v>
      </c>
      <c r="W366" s="441">
        <f t="shared" si="125"/>
        <v>6867200</v>
      </c>
      <c r="X366" s="442">
        <v>91</v>
      </c>
      <c r="Y366" s="443">
        <v>40925</v>
      </c>
      <c r="Z366" s="444">
        <f t="shared" si="126"/>
        <v>3724175</v>
      </c>
      <c r="AA366" s="307">
        <v>92</v>
      </c>
      <c r="AB366" s="307">
        <v>40887</v>
      </c>
      <c r="AC366" s="445">
        <f t="shared" si="127"/>
        <v>3761604</v>
      </c>
      <c r="AD366" s="442"/>
      <c r="AE366" s="443"/>
      <c r="AF366" s="444">
        <f t="shared" si="128"/>
        <v>0</v>
      </c>
      <c r="AG366" s="307"/>
      <c r="AH366" s="307"/>
      <c r="AI366" s="445">
        <f t="shared" si="129"/>
        <v>0</v>
      </c>
      <c r="AJ366" s="446"/>
      <c r="AK366" s="443"/>
      <c r="AL366" s="444">
        <f t="shared" si="130"/>
        <v>0</v>
      </c>
      <c r="AM366" s="307"/>
      <c r="AN366" s="307"/>
      <c r="AO366" s="447">
        <f t="shared" si="131"/>
        <v>0</v>
      </c>
      <c r="AP366" s="448"/>
      <c r="AQ366" s="443"/>
      <c r="AR366" s="444">
        <f t="shared" si="132"/>
        <v>0</v>
      </c>
      <c r="AS366" s="307"/>
      <c r="AT366" s="307"/>
      <c r="AU366" s="441">
        <f t="shared" si="133"/>
        <v>0</v>
      </c>
      <c r="AV366" s="442"/>
      <c r="AW366" s="443"/>
      <c r="AX366" s="444">
        <f t="shared" si="134"/>
        <v>0</v>
      </c>
      <c r="AY366" s="307"/>
      <c r="AZ366" s="307"/>
      <c r="BA366" s="445">
        <f t="shared" si="135"/>
        <v>0</v>
      </c>
      <c r="BB366" s="442"/>
      <c r="BC366" s="443"/>
      <c r="BD366" s="444">
        <f t="shared" si="136"/>
        <v>0</v>
      </c>
      <c r="BE366" s="307"/>
      <c r="BF366" s="307"/>
      <c r="BG366" s="445">
        <f t="shared" si="137"/>
        <v>0</v>
      </c>
      <c r="BH366" s="442"/>
      <c r="BI366" s="443"/>
      <c r="BJ366" s="444">
        <f t="shared" si="138"/>
        <v>0</v>
      </c>
      <c r="BK366" s="307"/>
      <c r="BL366" s="307"/>
      <c r="BM366" s="445">
        <f t="shared" si="139"/>
        <v>0</v>
      </c>
      <c r="BN366" s="371"/>
      <c r="BO366" s="372"/>
      <c r="BP366" s="444">
        <f t="shared" si="140"/>
        <v>0</v>
      </c>
      <c r="BQ366" s="307"/>
      <c r="BR366" s="307"/>
      <c r="BS366" s="445">
        <f t="shared" si="141"/>
        <v>0</v>
      </c>
      <c r="BT366" s="371"/>
      <c r="BU366" s="372"/>
      <c r="BV366" s="444">
        <f t="shared" si="142"/>
        <v>0</v>
      </c>
      <c r="BW366" s="307"/>
      <c r="BX366" s="307"/>
      <c r="BY366" s="449">
        <f t="shared" si="143"/>
        <v>0</v>
      </c>
    </row>
    <row r="367" spans="1:77" s="308" customFormat="1" ht="12.75" customHeight="1">
      <c r="A367" s="428" t="s">
        <v>311</v>
      </c>
      <c r="B367" s="429" t="s">
        <v>1015</v>
      </c>
      <c r="C367" s="429"/>
      <c r="D367" s="430">
        <v>206914</v>
      </c>
      <c r="E367" s="305">
        <v>5</v>
      </c>
      <c r="F367" s="453">
        <v>34</v>
      </c>
      <c r="G367" s="454">
        <v>63373</v>
      </c>
      <c r="H367" s="439">
        <f t="shared" si="120"/>
        <v>2154682</v>
      </c>
      <c r="I367" s="311">
        <v>32</v>
      </c>
      <c r="J367" s="311">
        <v>65202</v>
      </c>
      <c r="K367" s="441">
        <f t="shared" si="121"/>
        <v>2086464</v>
      </c>
      <c r="L367" s="442">
        <v>40</v>
      </c>
      <c r="M367" s="443">
        <v>58282</v>
      </c>
      <c r="N367" s="444">
        <f t="shared" si="122"/>
        <v>2331280</v>
      </c>
      <c r="O367" s="307">
        <v>42</v>
      </c>
      <c r="P367" s="307">
        <v>57959</v>
      </c>
      <c r="Q367" s="445">
        <f t="shared" si="123"/>
        <v>2434278</v>
      </c>
      <c r="R367" s="442">
        <v>61</v>
      </c>
      <c r="S367" s="443">
        <v>48631</v>
      </c>
      <c r="T367" s="444">
        <f t="shared" si="124"/>
        <v>2966491</v>
      </c>
      <c r="U367" s="307">
        <v>56</v>
      </c>
      <c r="V367" s="307">
        <v>49512</v>
      </c>
      <c r="W367" s="441">
        <f t="shared" si="125"/>
        <v>2772672</v>
      </c>
      <c r="X367" s="442">
        <v>33</v>
      </c>
      <c r="Y367" s="443">
        <v>36309</v>
      </c>
      <c r="Z367" s="444">
        <f t="shared" si="126"/>
        <v>1198197</v>
      </c>
      <c r="AA367" s="307">
        <v>43</v>
      </c>
      <c r="AB367" s="307">
        <v>38012</v>
      </c>
      <c r="AC367" s="445">
        <f t="shared" si="127"/>
        <v>1634516</v>
      </c>
      <c r="AD367" s="442"/>
      <c r="AE367" s="443"/>
      <c r="AF367" s="444">
        <f t="shared" si="128"/>
        <v>0</v>
      </c>
      <c r="AG367" s="307"/>
      <c r="AH367" s="307"/>
      <c r="AI367" s="445">
        <f t="shared" si="129"/>
        <v>0</v>
      </c>
      <c r="AJ367" s="446"/>
      <c r="AK367" s="443"/>
      <c r="AL367" s="444">
        <f t="shared" si="130"/>
        <v>0</v>
      </c>
      <c r="AM367" s="307"/>
      <c r="AN367" s="307"/>
      <c r="AO367" s="447">
        <f t="shared" si="131"/>
        <v>0</v>
      </c>
      <c r="AP367" s="448"/>
      <c r="AQ367" s="443"/>
      <c r="AR367" s="444">
        <f t="shared" si="132"/>
        <v>0</v>
      </c>
      <c r="AS367" s="307"/>
      <c r="AT367" s="307"/>
      <c r="AU367" s="441">
        <f t="shared" si="133"/>
        <v>0</v>
      </c>
      <c r="AV367" s="442"/>
      <c r="AW367" s="443"/>
      <c r="AX367" s="444">
        <f t="shared" si="134"/>
        <v>0</v>
      </c>
      <c r="AY367" s="307">
        <v>2</v>
      </c>
      <c r="AZ367" s="307">
        <v>51000</v>
      </c>
      <c r="BA367" s="445">
        <f t="shared" si="135"/>
        <v>83456.400000000009</v>
      </c>
      <c r="BB367" s="442"/>
      <c r="BC367" s="443"/>
      <c r="BD367" s="444">
        <f t="shared" si="136"/>
        <v>0</v>
      </c>
      <c r="BE367" s="307">
        <v>1</v>
      </c>
      <c r="BF367" s="307">
        <v>45679</v>
      </c>
      <c r="BG367" s="445">
        <f t="shared" si="137"/>
        <v>37374.557800000002</v>
      </c>
      <c r="BH367" s="442"/>
      <c r="BI367" s="443"/>
      <c r="BJ367" s="444">
        <f t="shared" si="138"/>
        <v>0</v>
      </c>
      <c r="BK367" s="307">
        <v>3</v>
      </c>
      <c r="BL367" s="307">
        <v>41667</v>
      </c>
      <c r="BM367" s="445">
        <f t="shared" si="139"/>
        <v>102275.81820000001</v>
      </c>
      <c r="BN367" s="371"/>
      <c r="BO367" s="372"/>
      <c r="BP367" s="444">
        <f t="shared" si="140"/>
        <v>0</v>
      </c>
      <c r="BQ367" s="307"/>
      <c r="BR367" s="307"/>
      <c r="BS367" s="445">
        <f t="shared" si="141"/>
        <v>0</v>
      </c>
      <c r="BT367" s="371"/>
      <c r="BU367" s="372"/>
      <c r="BV367" s="444">
        <f t="shared" si="142"/>
        <v>0</v>
      </c>
      <c r="BW367" s="307"/>
      <c r="BX367" s="307"/>
      <c r="BY367" s="449">
        <f t="shared" si="143"/>
        <v>0</v>
      </c>
    </row>
    <row r="368" spans="1:77" s="308" customFormat="1" ht="12.75" customHeight="1">
      <c r="A368" s="428" t="s">
        <v>311</v>
      </c>
      <c r="B368" s="429" t="s">
        <v>1016</v>
      </c>
      <c r="C368" s="429"/>
      <c r="D368" s="430">
        <v>207041</v>
      </c>
      <c r="E368" s="305">
        <v>5</v>
      </c>
      <c r="F368" s="453">
        <v>48</v>
      </c>
      <c r="G368" s="454">
        <v>67952</v>
      </c>
      <c r="H368" s="439">
        <f t="shared" si="120"/>
        <v>3261696</v>
      </c>
      <c r="I368" s="311">
        <v>50</v>
      </c>
      <c r="J368" s="311">
        <v>65905</v>
      </c>
      <c r="K368" s="441">
        <f t="shared" si="121"/>
        <v>3295250</v>
      </c>
      <c r="L368" s="442">
        <v>25</v>
      </c>
      <c r="M368" s="443">
        <v>54785</v>
      </c>
      <c r="N368" s="444">
        <f t="shared" si="122"/>
        <v>1369625</v>
      </c>
      <c r="O368" s="307">
        <v>22</v>
      </c>
      <c r="P368" s="307">
        <v>53713</v>
      </c>
      <c r="Q368" s="445">
        <f t="shared" si="123"/>
        <v>1181686</v>
      </c>
      <c r="R368" s="442">
        <v>45</v>
      </c>
      <c r="S368" s="443">
        <v>47943</v>
      </c>
      <c r="T368" s="444">
        <f t="shared" si="124"/>
        <v>2157435</v>
      </c>
      <c r="U368" s="307">
        <v>42</v>
      </c>
      <c r="V368" s="307">
        <v>47879</v>
      </c>
      <c r="W368" s="441">
        <f t="shared" si="125"/>
        <v>2010918</v>
      </c>
      <c r="X368" s="442">
        <v>42</v>
      </c>
      <c r="Y368" s="443">
        <v>41239</v>
      </c>
      <c r="Z368" s="444">
        <f t="shared" si="126"/>
        <v>1732038</v>
      </c>
      <c r="AA368" s="307">
        <v>43</v>
      </c>
      <c r="AB368" s="307">
        <v>41391</v>
      </c>
      <c r="AC368" s="445">
        <f t="shared" si="127"/>
        <v>1779813</v>
      </c>
      <c r="AD368" s="442"/>
      <c r="AE368" s="443"/>
      <c r="AF368" s="444">
        <f t="shared" si="128"/>
        <v>0</v>
      </c>
      <c r="AG368" s="307"/>
      <c r="AH368" s="307"/>
      <c r="AI368" s="445">
        <f t="shared" si="129"/>
        <v>0</v>
      </c>
      <c r="AJ368" s="446"/>
      <c r="AK368" s="443"/>
      <c r="AL368" s="444">
        <f t="shared" si="130"/>
        <v>0</v>
      </c>
      <c r="AM368" s="307"/>
      <c r="AN368" s="307"/>
      <c r="AO368" s="447">
        <f t="shared" si="131"/>
        <v>0</v>
      </c>
      <c r="AP368" s="448">
        <v>2</v>
      </c>
      <c r="AQ368" s="443">
        <v>86440</v>
      </c>
      <c r="AR368" s="444">
        <f t="shared" si="132"/>
        <v>141450.416</v>
      </c>
      <c r="AS368" s="307">
        <v>3</v>
      </c>
      <c r="AT368" s="307">
        <v>82537</v>
      </c>
      <c r="AU368" s="441">
        <f t="shared" si="133"/>
        <v>202595.32020000002</v>
      </c>
      <c r="AV368" s="442">
        <v>1</v>
      </c>
      <c r="AW368" s="443">
        <v>72774</v>
      </c>
      <c r="AX368" s="444">
        <f t="shared" si="134"/>
        <v>59543.686800000003</v>
      </c>
      <c r="AY368" s="307">
        <v>1</v>
      </c>
      <c r="AZ368" s="307">
        <v>72911</v>
      </c>
      <c r="BA368" s="445">
        <f t="shared" si="135"/>
        <v>59655.780200000001</v>
      </c>
      <c r="BB368" s="442">
        <v>0</v>
      </c>
      <c r="BC368" s="443"/>
      <c r="BD368" s="444">
        <f t="shared" si="136"/>
        <v>0</v>
      </c>
      <c r="BE368" s="307"/>
      <c r="BF368" s="307"/>
      <c r="BG368" s="445">
        <f t="shared" si="137"/>
        <v>0</v>
      </c>
      <c r="BH368" s="442">
        <v>5</v>
      </c>
      <c r="BI368" s="443">
        <v>51668</v>
      </c>
      <c r="BJ368" s="444">
        <f t="shared" si="138"/>
        <v>211373.788</v>
      </c>
      <c r="BK368" s="307">
        <v>6</v>
      </c>
      <c r="BL368" s="307">
        <v>52068</v>
      </c>
      <c r="BM368" s="445">
        <f t="shared" si="139"/>
        <v>255612.22560000001</v>
      </c>
      <c r="BN368" s="371"/>
      <c r="BO368" s="372"/>
      <c r="BP368" s="444">
        <f t="shared" si="140"/>
        <v>0</v>
      </c>
      <c r="BQ368" s="307"/>
      <c r="BR368" s="307"/>
      <c r="BS368" s="445">
        <f t="shared" si="141"/>
        <v>0</v>
      </c>
      <c r="BT368" s="371"/>
      <c r="BU368" s="372"/>
      <c r="BV368" s="444">
        <f t="shared" si="142"/>
        <v>0</v>
      </c>
      <c r="BW368" s="307"/>
      <c r="BX368" s="307"/>
      <c r="BY368" s="449">
        <f t="shared" si="143"/>
        <v>0</v>
      </c>
    </row>
    <row r="369" spans="1:77" s="308" customFormat="1" ht="12.75" customHeight="1">
      <c r="A369" s="428" t="s">
        <v>311</v>
      </c>
      <c r="B369" s="429" t="s">
        <v>1017</v>
      </c>
      <c r="C369" s="429"/>
      <c r="D369" s="430">
        <v>207209</v>
      </c>
      <c r="E369" s="305">
        <v>5</v>
      </c>
      <c r="F369" s="453">
        <v>6</v>
      </c>
      <c r="G369" s="454">
        <v>57559</v>
      </c>
      <c r="H369" s="439">
        <f t="shared" si="120"/>
        <v>345354</v>
      </c>
      <c r="I369" s="311">
        <v>4</v>
      </c>
      <c r="J369" s="311">
        <v>56728</v>
      </c>
      <c r="K369" s="441">
        <f t="shared" si="121"/>
        <v>226912</v>
      </c>
      <c r="L369" s="442">
        <v>23</v>
      </c>
      <c r="M369" s="443">
        <v>57157</v>
      </c>
      <c r="N369" s="444">
        <f t="shared" si="122"/>
        <v>1314611</v>
      </c>
      <c r="O369" s="307">
        <v>23</v>
      </c>
      <c r="P369" s="307">
        <v>57163</v>
      </c>
      <c r="Q369" s="445">
        <f t="shared" si="123"/>
        <v>1314749</v>
      </c>
      <c r="R369" s="442">
        <v>38</v>
      </c>
      <c r="S369" s="443">
        <v>46620</v>
      </c>
      <c r="T369" s="444">
        <f t="shared" si="124"/>
        <v>1771560</v>
      </c>
      <c r="U369" s="307">
        <v>35</v>
      </c>
      <c r="V369" s="307">
        <v>49217</v>
      </c>
      <c r="W369" s="441">
        <f t="shared" si="125"/>
        <v>1722595</v>
      </c>
      <c r="X369" s="442">
        <v>29</v>
      </c>
      <c r="Y369" s="443">
        <v>42144</v>
      </c>
      <c r="Z369" s="444">
        <f t="shared" si="126"/>
        <v>1222176</v>
      </c>
      <c r="AA369" s="307">
        <v>27</v>
      </c>
      <c r="AB369" s="307">
        <v>44656</v>
      </c>
      <c r="AC369" s="445">
        <f t="shared" si="127"/>
        <v>1205712</v>
      </c>
      <c r="AD369" s="442"/>
      <c r="AE369" s="443"/>
      <c r="AF369" s="444">
        <f t="shared" si="128"/>
        <v>0</v>
      </c>
      <c r="AG369" s="307"/>
      <c r="AH369" s="307"/>
      <c r="AI369" s="445">
        <f t="shared" si="129"/>
        <v>0</v>
      </c>
      <c r="AJ369" s="446"/>
      <c r="AK369" s="443"/>
      <c r="AL369" s="444">
        <f t="shared" si="130"/>
        <v>0</v>
      </c>
      <c r="AM369" s="307"/>
      <c r="AN369" s="307"/>
      <c r="AO369" s="447">
        <f t="shared" si="131"/>
        <v>0</v>
      </c>
      <c r="AP369" s="448">
        <v>2</v>
      </c>
      <c r="AQ369" s="443">
        <v>93352</v>
      </c>
      <c r="AR369" s="444">
        <f t="shared" si="132"/>
        <v>152761.21280000001</v>
      </c>
      <c r="AS369" s="307">
        <v>2</v>
      </c>
      <c r="AT369" s="307">
        <v>95002</v>
      </c>
      <c r="AU369" s="441">
        <f t="shared" si="133"/>
        <v>155461.27280000001</v>
      </c>
      <c r="AV369" s="442">
        <v>18</v>
      </c>
      <c r="AW369" s="443">
        <v>70678</v>
      </c>
      <c r="AX369" s="444">
        <f t="shared" si="134"/>
        <v>1040917.3128000001</v>
      </c>
      <c r="AY369" s="307">
        <v>17</v>
      </c>
      <c r="AZ369" s="307">
        <v>70242</v>
      </c>
      <c r="BA369" s="445">
        <f t="shared" si="135"/>
        <v>977024.07480000006</v>
      </c>
      <c r="BB369" s="442">
        <v>19</v>
      </c>
      <c r="BC369" s="443">
        <v>60386</v>
      </c>
      <c r="BD369" s="444">
        <f t="shared" si="136"/>
        <v>938748.67879999999</v>
      </c>
      <c r="BE369" s="307">
        <v>17</v>
      </c>
      <c r="BF369" s="307">
        <v>59730</v>
      </c>
      <c r="BG369" s="445">
        <f t="shared" si="137"/>
        <v>830808.46200000006</v>
      </c>
      <c r="BH369" s="442">
        <v>11</v>
      </c>
      <c r="BI369" s="443">
        <v>45995</v>
      </c>
      <c r="BJ369" s="444">
        <f t="shared" si="138"/>
        <v>413964.19900000002</v>
      </c>
      <c r="BK369" s="307">
        <v>11</v>
      </c>
      <c r="BL369" s="307">
        <v>48354</v>
      </c>
      <c r="BM369" s="445">
        <f t="shared" si="139"/>
        <v>435195.67080000002</v>
      </c>
      <c r="BN369" s="371"/>
      <c r="BO369" s="372"/>
      <c r="BP369" s="444">
        <f t="shared" si="140"/>
        <v>0</v>
      </c>
      <c r="BQ369" s="307"/>
      <c r="BR369" s="307"/>
      <c r="BS369" s="445">
        <f t="shared" si="141"/>
        <v>0</v>
      </c>
      <c r="BT369" s="371"/>
      <c r="BU369" s="372"/>
      <c r="BV369" s="444">
        <f t="shared" si="142"/>
        <v>0</v>
      </c>
      <c r="BW369" s="307"/>
      <c r="BX369" s="307"/>
      <c r="BY369" s="449">
        <f t="shared" si="143"/>
        <v>0</v>
      </c>
    </row>
    <row r="370" spans="1:77" s="308" customFormat="1" ht="12.75" customHeight="1">
      <c r="A370" s="428" t="s">
        <v>311</v>
      </c>
      <c r="B370" s="429" t="s">
        <v>1018</v>
      </c>
      <c r="C370" s="429"/>
      <c r="D370" s="430">
        <v>207306</v>
      </c>
      <c r="E370" s="305">
        <v>5</v>
      </c>
      <c r="F370" s="453">
        <v>15</v>
      </c>
      <c r="G370" s="454">
        <v>64407</v>
      </c>
      <c r="H370" s="439">
        <f t="shared" si="120"/>
        <v>966105</v>
      </c>
      <c r="I370" s="311">
        <v>18</v>
      </c>
      <c r="J370" s="311">
        <v>63623</v>
      </c>
      <c r="K370" s="441">
        <f t="shared" si="121"/>
        <v>1145214</v>
      </c>
      <c r="L370" s="442">
        <v>16</v>
      </c>
      <c r="M370" s="443">
        <v>55426</v>
      </c>
      <c r="N370" s="444">
        <f t="shared" si="122"/>
        <v>886816</v>
      </c>
      <c r="O370" s="307">
        <v>14</v>
      </c>
      <c r="P370" s="307">
        <v>55443</v>
      </c>
      <c r="Q370" s="445">
        <f t="shared" si="123"/>
        <v>776202</v>
      </c>
      <c r="R370" s="442">
        <v>13</v>
      </c>
      <c r="S370" s="443">
        <v>47506</v>
      </c>
      <c r="T370" s="444">
        <f t="shared" si="124"/>
        <v>617578</v>
      </c>
      <c r="U370" s="307">
        <v>13</v>
      </c>
      <c r="V370" s="307">
        <v>47978</v>
      </c>
      <c r="W370" s="441">
        <f t="shared" si="125"/>
        <v>623714</v>
      </c>
      <c r="X370" s="442">
        <v>34</v>
      </c>
      <c r="Y370" s="443">
        <v>39776</v>
      </c>
      <c r="Z370" s="444">
        <f t="shared" si="126"/>
        <v>1352384</v>
      </c>
      <c r="AA370" s="307">
        <v>37</v>
      </c>
      <c r="AB370" s="307">
        <v>40126</v>
      </c>
      <c r="AC370" s="445">
        <f t="shared" si="127"/>
        <v>1484662</v>
      </c>
      <c r="AD370" s="442"/>
      <c r="AE370" s="443"/>
      <c r="AF370" s="444">
        <f t="shared" si="128"/>
        <v>0</v>
      </c>
      <c r="AG370" s="307"/>
      <c r="AH370" s="307"/>
      <c r="AI370" s="445">
        <f t="shared" si="129"/>
        <v>0</v>
      </c>
      <c r="AJ370" s="446"/>
      <c r="AK370" s="443"/>
      <c r="AL370" s="444">
        <f t="shared" si="130"/>
        <v>0</v>
      </c>
      <c r="AM370" s="307"/>
      <c r="AN370" s="307"/>
      <c r="AO370" s="447">
        <f t="shared" si="131"/>
        <v>0</v>
      </c>
      <c r="AP370" s="448">
        <v>1</v>
      </c>
      <c r="AQ370" s="443">
        <v>75000</v>
      </c>
      <c r="AR370" s="444">
        <f t="shared" si="132"/>
        <v>61365</v>
      </c>
      <c r="AS370" s="307">
        <v>1</v>
      </c>
      <c r="AT370" s="307">
        <v>75000</v>
      </c>
      <c r="AU370" s="441">
        <f t="shared" si="133"/>
        <v>61365</v>
      </c>
      <c r="AV370" s="442">
        <v>2</v>
      </c>
      <c r="AW370" s="443">
        <v>93850</v>
      </c>
      <c r="AX370" s="444">
        <f t="shared" si="134"/>
        <v>153576.14000000001</v>
      </c>
      <c r="AY370" s="307">
        <v>2</v>
      </c>
      <c r="AZ370" s="307">
        <v>93850</v>
      </c>
      <c r="BA370" s="445">
        <f t="shared" si="135"/>
        <v>153576.14000000001</v>
      </c>
      <c r="BB370" s="442">
        <v>0</v>
      </c>
      <c r="BC370" s="443"/>
      <c r="BD370" s="444">
        <f t="shared" si="136"/>
        <v>0</v>
      </c>
      <c r="BE370" s="307"/>
      <c r="BF370" s="307"/>
      <c r="BG370" s="445">
        <f t="shared" si="137"/>
        <v>0</v>
      </c>
      <c r="BH370" s="442">
        <v>4</v>
      </c>
      <c r="BI370" s="443">
        <v>59404</v>
      </c>
      <c r="BJ370" s="444">
        <f t="shared" si="138"/>
        <v>194417.4112</v>
      </c>
      <c r="BK370" s="307">
        <v>4</v>
      </c>
      <c r="BL370" s="307">
        <v>60000</v>
      </c>
      <c r="BM370" s="445">
        <f t="shared" si="139"/>
        <v>196368</v>
      </c>
      <c r="BN370" s="371"/>
      <c r="BO370" s="372"/>
      <c r="BP370" s="444">
        <f t="shared" si="140"/>
        <v>0</v>
      </c>
      <c r="BQ370" s="307"/>
      <c r="BR370" s="307"/>
      <c r="BS370" s="445">
        <f t="shared" si="141"/>
        <v>0</v>
      </c>
      <c r="BT370" s="371"/>
      <c r="BU370" s="372"/>
      <c r="BV370" s="444">
        <f t="shared" si="142"/>
        <v>0</v>
      </c>
      <c r="BW370" s="307"/>
      <c r="BX370" s="307"/>
      <c r="BY370" s="449">
        <f t="shared" si="143"/>
        <v>0</v>
      </c>
    </row>
    <row r="371" spans="1:77" s="308" customFormat="1" ht="12.75" customHeight="1">
      <c r="A371" s="428" t="s">
        <v>311</v>
      </c>
      <c r="B371" s="339" t="s">
        <v>1019</v>
      </c>
      <c r="C371" s="539" t="s">
        <v>1088</v>
      </c>
      <c r="D371" s="430">
        <v>207847</v>
      </c>
      <c r="E371" s="305">
        <v>5</v>
      </c>
      <c r="F371" s="453">
        <v>44</v>
      </c>
      <c r="G371" s="454">
        <v>68835</v>
      </c>
      <c r="H371" s="439">
        <f t="shared" si="120"/>
        <v>3028740</v>
      </c>
      <c r="I371" s="311">
        <v>43</v>
      </c>
      <c r="J371" s="311">
        <v>69232</v>
      </c>
      <c r="K371" s="441">
        <f t="shared" si="121"/>
        <v>2976976</v>
      </c>
      <c r="L371" s="442">
        <v>31</v>
      </c>
      <c r="M371" s="443">
        <v>61940</v>
      </c>
      <c r="N371" s="444">
        <f t="shared" si="122"/>
        <v>1920140</v>
      </c>
      <c r="O371" s="307">
        <v>31</v>
      </c>
      <c r="P371" s="307">
        <v>61193</v>
      </c>
      <c r="Q371" s="445">
        <f t="shared" si="123"/>
        <v>1896983</v>
      </c>
      <c r="R371" s="442">
        <v>36</v>
      </c>
      <c r="S371" s="443">
        <v>51209</v>
      </c>
      <c r="T371" s="444">
        <f t="shared" si="124"/>
        <v>1843524</v>
      </c>
      <c r="U371" s="307">
        <v>32</v>
      </c>
      <c r="V371" s="307">
        <v>52799</v>
      </c>
      <c r="W371" s="441">
        <f t="shared" si="125"/>
        <v>1689568</v>
      </c>
      <c r="X371" s="442">
        <v>18</v>
      </c>
      <c r="Y371" s="443">
        <v>40004</v>
      </c>
      <c r="Z371" s="444">
        <f t="shared" si="126"/>
        <v>720072</v>
      </c>
      <c r="AA371" s="307">
        <v>22</v>
      </c>
      <c r="AB371" s="307">
        <v>40870</v>
      </c>
      <c r="AC371" s="445">
        <f t="shared" si="127"/>
        <v>899140</v>
      </c>
      <c r="AD371" s="442"/>
      <c r="AE371" s="443"/>
      <c r="AF371" s="444">
        <f t="shared" si="128"/>
        <v>0</v>
      </c>
      <c r="AG371" s="307"/>
      <c r="AH371" s="307"/>
      <c r="AI371" s="445">
        <f t="shared" si="129"/>
        <v>0</v>
      </c>
      <c r="AJ371" s="446"/>
      <c r="AK371" s="443"/>
      <c r="AL371" s="444">
        <f t="shared" si="130"/>
        <v>0</v>
      </c>
      <c r="AM371" s="307"/>
      <c r="AN371" s="307"/>
      <c r="AO371" s="447">
        <f t="shared" si="131"/>
        <v>0</v>
      </c>
      <c r="AP371" s="448">
        <v>6</v>
      </c>
      <c r="AQ371" s="443">
        <v>117430</v>
      </c>
      <c r="AR371" s="444">
        <f t="shared" si="132"/>
        <v>576487.35600000003</v>
      </c>
      <c r="AS371" s="307">
        <v>6</v>
      </c>
      <c r="AT371" s="307">
        <v>110140</v>
      </c>
      <c r="AU371" s="441">
        <f t="shared" si="133"/>
        <v>540699.28800000006</v>
      </c>
      <c r="AV371" s="442"/>
      <c r="AW371" s="443"/>
      <c r="AX371" s="444">
        <f t="shared" si="134"/>
        <v>0</v>
      </c>
      <c r="AY371" s="307">
        <v>1</v>
      </c>
      <c r="AZ371" s="307">
        <v>71792</v>
      </c>
      <c r="BA371" s="445">
        <f t="shared" si="135"/>
        <v>58740.214400000004</v>
      </c>
      <c r="BB371" s="442">
        <v>1</v>
      </c>
      <c r="BC371" s="443">
        <v>71137</v>
      </c>
      <c r="BD371" s="444">
        <f t="shared" si="136"/>
        <v>58204.293400000002</v>
      </c>
      <c r="BE371" s="307">
        <v>5</v>
      </c>
      <c r="BF371" s="307">
        <v>53104</v>
      </c>
      <c r="BG371" s="445">
        <f t="shared" si="137"/>
        <v>217248.46400000001</v>
      </c>
      <c r="BH371" s="442">
        <v>5</v>
      </c>
      <c r="BI371" s="443">
        <v>53688</v>
      </c>
      <c r="BJ371" s="444">
        <f t="shared" si="138"/>
        <v>219637.60800000001</v>
      </c>
      <c r="BK371" s="307"/>
      <c r="BL371" s="307"/>
      <c r="BM371" s="445">
        <f t="shared" si="139"/>
        <v>0</v>
      </c>
      <c r="BN371" s="371"/>
      <c r="BO371" s="372"/>
      <c r="BP371" s="444">
        <f t="shared" si="140"/>
        <v>0</v>
      </c>
      <c r="BQ371" s="307"/>
      <c r="BR371" s="307"/>
      <c r="BS371" s="445">
        <f t="shared" si="141"/>
        <v>0</v>
      </c>
      <c r="BT371" s="371"/>
      <c r="BU371" s="372"/>
      <c r="BV371" s="444">
        <f t="shared" si="142"/>
        <v>0</v>
      </c>
      <c r="BW371" s="307"/>
      <c r="BX371" s="307"/>
      <c r="BY371" s="449">
        <f t="shared" si="143"/>
        <v>0</v>
      </c>
    </row>
    <row r="372" spans="1:77" s="308" customFormat="1" ht="12.75" customHeight="1">
      <c r="A372" s="428" t="s">
        <v>311</v>
      </c>
      <c r="B372" s="429" t="s">
        <v>1020</v>
      </c>
      <c r="C372" s="429"/>
      <c r="D372" s="430">
        <v>207865</v>
      </c>
      <c r="E372" s="305">
        <v>5</v>
      </c>
      <c r="F372" s="453">
        <v>35</v>
      </c>
      <c r="G372" s="454">
        <v>75716</v>
      </c>
      <c r="H372" s="439">
        <f t="shared" si="120"/>
        <v>2650060</v>
      </c>
      <c r="I372" s="311">
        <v>35</v>
      </c>
      <c r="J372" s="311">
        <v>76177</v>
      </c>
      <c r="K372" s="441">
        <f t="shared" si="121"/>
        <v>2666195</v>
      </c>
      <c r="L372" s="442">
        <v>25</v>
      </c>
      <c r="M372" s="443">
        <v>58915</v>
      </c>
      <c r="N372" s="444">
        <f t="shared" si="122"/>
        <v>1472875</v>
      </c>
      <c r="O372" s="307">
        <v>26</v>
      </c>
      <c r="P372" s="307">
        <v>60759</v>
      </c>
      <c r="Q372" s="445">
        <f t="shared" si="123"/>
        <v>1579734</v>
      </c>
      <c r="R372" s="442">
        <v>52</v>
      </c>
      <c r="S372" s="443">
        <v>48674</v>
      </c>
      <c r="T372" s="444">
        <f t="shared" si="124"/>
        <v>2531048</v>
      </c>
      <c r="U372" s="307">
        <v>56</v>
      </c>
      <c r="V372" s="307">
        <v>49054</v>
      </c>
      <c r="W372" s="441">
        <f t="shared" si="125"/>
        <v>2747024</v>
      </c>
      <c r="X372" s="442">
        <v>79</v>
      </c>
      <c r="Y372" s="443">
        <v>44663</v>
      </c>
      <c r="Z372" s="444">
        <f t="shared" si="126"/>
        <v>3528377</v>
      </c>
      <c r="AA372" s="307">
        <v>76</v>
      </c>
      <c r="AB372" s="307">
        <v>45972</v>
      </c>
      <c r="AC372" s="445">
        <f t="shared" si="127"/>
        <v>3493872</v>
      </c>
      <c r="AD372" s="442"/>
      <c r="AE372" s="443"/>
      <c r="AF372" s="444">
        <f t="shared" si="128"/>
        <v>0</v>
      </c>
      <c r="AG372" s="307"/>
      <c r="AH372" s="307"/>
      <c r="AI372" s="445">
        <f t="shared" si="129"/>
        <v>0</v>
      </c>
      <c r="AJ372" s="446"/>
      <c r="AK372" s="443"/>
      <c r="AL372" s="444">
        <f t="shared" si="130"/>
        <v>0</v>
      </c>
      <c r="AM372" s="307"/>
      <c r="AN372" s="307"/>
      <c r="AO372" s="447">
        <f t="shared" si="131"/>
        <v>0</v>
      </c>
      <c r="AP372" s="448">
        <v>3</v>
      </c>
      <c r="AQ372" s="443">
        <v>121100</v>
      </c>
      <c r="AR372" s="444">
        <f t="shared" si="132"/>
        <v>297252.06</v>
      </c>
      <c r="AS372" s="307">
        <v>3</v>
      </c>
      <c r="AT372" s="307">
        <v>111683</v>
      </c>
      <c r="AU372" s="441">
        <f t="shared" si="133"/>
        <v>274137.09179999999</v>
      </c>
      <c r="AV372" s="442">
        <v>9</v>
      </c>
      <c r="AW372" s="443">
        <v>97588</v>
      </c>
      <c r="AX372" s="444">
        <f t="shared" si="134"/>
        <v>718618.51439999999</v>
      </c>
      <c r="AY372" s="307">
        <v>8</v>
      </c>
      <c r="AZ372" s="307">
        <v>98787</v>
      </c>
      <c r="BA372" s="445">
        <f t="shared" si="135"/>
        <v>646620.18720000004</v>
      </c>
      <c r="BB372" s="442">
        <v>4</v>
      </c>
      <c r="BC372" s="443">
        <v>91794</v>
      </c>
      <c r="BD372" s="444">
        <f t="shared" si="136"/>
        <v>300423.4032</v>
      </c>
      <c r="BE372" s="307">
        <v>7</v>
      </c>
      <c r="BF372" s="307">
        <v>91093</v>
      </c>
      <c r="BG372" s="445">
        <f t="shared" si="137"/>
        <v>521726.04820000002</v>
      </c>
      <c r="BH372" s="442">
        <v>3</v>
      </c>
      <c r="BI372" s="443">
        <v>57698</v>
      </c>
      <c r="BJ372" s="444">
        <f t="shared" si="138"/>
        <v>141625.51080000002</v>
      </c>
      <c r="BK372" s="307">
        <v>3</v>
      </c>
      <c r="BL372" s="307">
        <v>50269</v>
      </c>
      <c r="BM372" s="445">
        <f t="shared" si="139"/>
        <v>123390.2874</v>
      </c>
      <c r="BN372" s="371"/>
      <c r="BO372" s="372"/>
      <c r="BP372" s="444">
        <f t="shared" si="140"/>
        <v>0</v>
      </c>
      <c r="BQ372" s="307"/>
      <c r="BR372" s="307"/>
      <c r="BS372" s="445">
        <f t="shared" si="141"/>
        <v>0</v>
      </c>
      <c r="BT372" s="371"/>
      <c r="BU372" s="372"/>
      <c r="BV372" s="444">
        <f t="shared" si="142"/>
        <v>0</v>
      </c>
      <c r="BW372" s="307"/>
      <c r="BX372" s="307"/>
      <c r="BY372" s="449">
        <f t="shared" si="143"/>
        <v>0</v>
      </c>
    </row>
    <row r="373" spans="1:77" s="308" customFormat="1" ht="12.75" customHeight="1">
      <c r="A373" s="428" t="s">
        <v>311</v>
      </c>
      <c r="B373" s="429" t="s">
        <v>1021</v>
      </c>
      <c r="C373" s="429"/>
      <c r="D373" s="430">
        <v>207351</v>
      </c>
      <c r="E373" s="305">
        <v>6</v>
      </c>
      <c r="F373" s="453">
        <v>2</v>
      </c>
      <c r="G373" s="454">
        <v>47658</v>
      </c>
      <c r="H373" s="439">
        <f t="shared" si="120"/>
        <v>95316</v>
      </c>
      <c r="I373" s="311">
        <v>3</v>
      </c>
      <c r="J373" s="311">
        <v>47347</v>
      </c>
      <c r="K373" s="441">
        <f t="shared" si="121"/>
        <v>142041</v>
      </c>
      <c r="L373" s="442">
        <v>9</v>
      </c>
      <c r="M373" s="443">
        <v>48154</v>
      </c>
      <c r="N373" s="444">
        <f t="shared" si="122"/>
        <v>433386</v>
      </c>
      <c r="O373" s="307">
        <v>11</v>
      </c>
      <c r="P373" s="307">
        <v>49967</v>
      </c>
      <c r="Q373" s="445">
        <f t="shared" si="123"/>
        <v>549637</v>
      </c>
      <c r="R373" s="442">
        <v>17</v>
      </c>
      <c r="S373" s="443">
        <v>42040</v>
      </c>
      <c r="T373" s="444">
        <f t="shared" si="124"/>
        <v>714680</v>
      </c>
      <c r="U373" s="307">
        <v>18</v>
      </c>
      <c r="V373" s="307">
        <v>42303</v>
      </c>
      <c r="W373" s="441">
        <f t="shared" si="125"/>
        <v>761454</v>
      </c>
      <c r="X373" s="442">
        <v>17</v>
      </c>
      <c r="Y373" s="443">
        <v>32021</v>
      </c>
      <c r="Z373" s="444">
        <f t="shared" si="126"/>
        <v>544357</v>
      </c>
      <c r="AA373" s="307">
        <v>13</v>
      </c>
      <c r="AB373" s="307">
        <v>30589</v>
      </c>
      <c r="AC373" s="445">
        <f t="shared" si="127"/>
        <v>397657</v>
      </c>
      <c r="AD373" s="442"/>
      <c r="AE373" s="443"/>
      <c r="AF373" s="444">
        <f t="shared" si="128"/>
        <v>0</v>
      </c>
      <c r="AG373" s="307"/>
      <c r="AH373" s="307"/>
      <c r="AI373" s="445">
        <f t="shared" si="129"/>
        <v>0</v>
      </c>
      <c r="AJ373" s="446"/>
      <c r="AK373" s="443"/>
      <c r="AL373" s="444">
        <f t="shared" si="130"/>
        <v>0</v>
      </c>
      <c r="AM373" s="307"/>
      <c r="AN373" s="307"/>
      <c r="AO373" s="447">
        <f t="shared" si="131"/>
        <v>0</v>
      </c>
      <c r="AP373" s="448"/>
      <c r="AQ373" s="443"/>
      <c r="AR373" s="444">
        <f t="shared" si="132"/>
        <v>0</v>
      </c>
      <c r="AS373" s="307"/>
      <c r="AT373" s="307"/>
      <c r="AU373" s="441">
        <f t="shared" si="133"/>
        <v>0</v>
      </c>
      <c r="AV373" s="442"/>
      <c r="AW373" s="443"/>
      <c r="AX373" s="444">
        <f t="shared" si="134"/>
        <v>0</v>
      </c>
      <c r="AY373" s="307">
        <v>1</v>
      </c>
      <c r="AZ373" s="307">
        <v>55230</v>
      </c>
      <c r="BA373" s="445">
        <f t="shared" si="135"/>
        <v>45189.186000000002</v>
      </c>
      <c r="BB373" s="442">
        <v>2</v>
      </c>
      <c r="BC373" s="443">
        <v>56783</v>
      </c>
      <c r="BD373" s="444">
        <f t="shared" si="136"/>
        <v>92919.70120000001</v>
      </c>
      <c r="BE373" s="307">
        <v>3</v>
      </c>
      <c r="BF373" s="307">
        <v>49442</v>
      </c>
      <c r="BG373" s="445">
        <f t="shared" si="137"/>
        <v>121360.33320000001</v>
      </c>
      <c r="BH373" s="442">
        <v>7</v>
      </c>
      <c r="BI373" s="443">
        <v>30216</v>
      </c>
      <c r="BJ373" s="444">
        <f t="shared" si="138"/>
        <v>173059.11840000001</v>
      </c>
      <c r="BK373" s="307">
        <v>5</v>
      </c>
      <c r="BL373" s="307">
        <v>35883</v>
      </c>
      <c r="BM373" s="445">
        <f t="shared" si="139"/>
        <v>146797.353</v>
      </c>
      <c r="BN373" s="371"/>
      <c r="BO373" s="372"/>
      <c r="BP373" s="444">
        <f t="shared" si="140"/>
        <v>0</v>
      </c>
      <c r="BQ373" s="307"/>
      <c r="BR373" s="307"/>
      <c r="BS373" s="445">
        <f t="shared" si="141"/>
        <v>0</v>
      </c>
      <c r="BT373" s="371"/>
      <c r="BU373" s="372"/>
      <c r="BV373" s="444">
        <f t="shared" si="142"/>
        <v>0</v>
      </c>
      <c r="BW373" s="307"/>
      <c r="BX373" s="307"/>
      <c r="BY373" s="449">
        <f t="shared" si="143"/>
        <v>0</v>
      </c>
    </row>
    <row r="374" spans="1:77" s="308" customFormat="1" ht="12.75" customHeight="1">
      <c r="A374" s="343" t="s">
        <v>311</v>
      </c>
      <c r="B374" s="431" t="s">
        <v>1022</v>
      </c>
      <c r="C374" s="431"/>
      <c r="D374" s="432">
        <v>207661</v>
      </c>
      <c r="E374" s="433">
        <v>6</v>
      </c>
      <c r="F374" s="453">
        <v>8</v>
      </c>
      <c r="G374" s="454">
        <v>70504</v>
      </c>
      <c r="H374" s="439">
        <f t="shared" si="120"/>
        <v>564032</v>
      </c>
      <c r="I374" s="311">
        <v>8</v>
      </c>
      <c r="J374" s="311">
        <v>68627</v>
      </c>
      <c r="K374" s="441">
        <f t="shared" si="121"/>
        <v>549016</v>
      </c>
      <c r="L374" s="442">
        <v>25</v>
      </c>
      <c r="M374" s="443">
        <v>55348</v>
      </c>
      <c r="N374" s="444">
        <f t="shared" si="122"/>
        <v>1383700</v>
      </c>
      <c r="O374" s="307">
        <v>30</v>
      </c>
      <c r="P374" s="307">
        <v>58566</v>
      </c>
      <c r="Q374" s="445">
        <f t="shared" si="123"/>
        <v>1756980</v>
      </c>
      <c r="R374" s="442">
        <v>31</v>
      </c>
      <c r="S374" s="443">
        <v>48657</v>
      </c>
      <c r="T374" s="444">
        <f t="shared" si="124"/>
        <v>1508367</v>
      </c>
      <c r="U374" s="307">
        <v>27</v>
      </c>
      <c r="V374" s="307">
        <v>48122</v>
      </c>
      <c r="W374" s="441">
        <f t="shared" si="125"/>
        <v>1299294</v>
      </c>
      <c r="X374" s="442">
        <v>19</v>
      </c>
      <c r="Y374" s="443">
        <v>42789</v>
      </c>
      <c r="Z374" s="444">
        <f t="shared" si="126"/>
        <v>812991</v>
      </c>
      <c r="AA374" s="307">
        <v>27</v>
      </c>
      <c r="AB374" s="307">
        <v>35530</v>
      </c>
      <c r="AC374" s="445">
        <f t="shared" si="127"/>
        <v>959310</v>
      </c>
      <c r="AD374" s="442"/>
      <c r="AE374" s="443"/>
      <c r="AF374" s="444">
        <f t="shared" si="128"/>
        <v>0</v>
      </c>
      <c r="AG374" s="307"/>
      <c r="AH374" s="307"/>
      <c r="AI374" s="445">
        <f t="shared" si="129"/>
        <v>0</v>
      </c>
      <c r="AJ374" s="446"/>
      <c r="AK374" s="443"/>
      <c r="AL374" s="444">
        <f t="shared" si="130"/>
        <v>0</v>
      </c>
      <c r="AM374" s="307"/>
      <c r="AN374" s="307"/>
      <c r="AO374" s="447">
        <f t="shared" si="131"/>
        <v>0</v>
      </c>
      <c r="AP374" s="448">
        <v>3</v>
      </c>
      <c r="AQ374" s="443">
        <v>75340</v>
      </c>
      <c r="AR374" s="444">
        <f t="shared" si="132"/>
        <v>184929.56400000001</v>
      </c>
      <c r="AS374" s="307">
        <v>4</v>
      </c>
      <c r="AT374" s="307">
        <v>75915</v>
      </c>
      <c r="AU374" s="441">
        <f t="shared" si="133"/>
        <v>248454.61200000002</v>
      </c>
      <c r="AV374" s="442">
        <v>5</v>
      </c>
      <c r="AW374" s="443">
        <v>82957</v>
      </c>
      <c r="AX374" s="444">
        <f t="shared" si="134"/>
        <v>339377.087</v>
      </c>
      <c r="AY374" s="307">
        <v>1</v>
      </c>
      <c r="AZ374" s="307">
        <v>48400</v>
      </c>
      <c r="BA374" s="445">
        <f t="shared" si="135"/>
        <v>39600.880000000005</v>
      </c>
      <c r="BB374" s="442">
        <v>2</v>
      </c>
      <c r="BC374" s="443">
        <v>66023</v>
      </c>
      <c r="BD374" s="444">
        <f t="shared" si="136"/>
        <v>108040.03720000001</v>
      </c>
      <c r="BE374" s="307">
        <v>3</v>
      </c>
      <c r="BF374" s="307">
        <v>61315</v>
      </c>
      <c r="BG374" s="445">
        <f t="shared" si="137"/>
        <v>150503.799</v>
      </c>
      <c r="BH374" s="442">
        <v>3</v>
      </c>
      <c r="BI374" s="443">
        <v>38045</v>
      </c>
      <c r="BJ374" s="444">
        <f t="shared" si="138"/>
        <v>93385.256999999998</v>
      </c>
      <c r="BK374" s="307">
        <v>4</v>
      </c>
      <c r="BL374" s="307">
        <v>45908</v>
      </c>
      <c r="BM374" s="445">
        <f t="shared" si="139"/>
        <v>150247.70240000001</v>
      </c>
      <c r="BN374" s="371"/>
      <c r="BO374" s="372"/>
      <c r="BP374" s="444">
        <f t="shared" si="140"/>
        <v>0</v>
      </c>
      <c r="BQ374" s="307"/>
      <c r="BR374" s="307"/>
      <c r="BS374" s="445">
        <f t="shared" si="141"/>
        <v>0</v>
      </c>
      <c r="BT374" s="371"/>
      <c r="BU374" s="372"/>
      <c r="BV374" s="444">
        <f t="shared" si="142"/>
        <v>0</v>
      </c>
      <c r="BW374" s="307"/>
      <c r="BX374" s="307"/>
      <c r="BY374" s="449">
        <f t="shared" si="143"/>
        <v>0</v>
      </c>
    </row>
    <row r="375" spans="1:77" s="308" customFormat="1" ht="12.75" customHeight="1">
      <c r="A375" s="428" t="s">
        <v>311</v>
      </c>
      <c r="B375" s="429" t="s">
        <v>1023</v>
      </c>
      <c r="C375" s="429"/>
      <c r="D375" s="430">
        <v>207722</v>
      </c>
      <c r="E375" s="305">
        <v>6</v>
      </c>
      <c r="F375" s="453">
        <v>15</v>
      </c>
      <c r="G375" s="454">
        <v>62792</v>
      </c>
      <c r="H375" s="439">
        <f t="shared" si="120"/>
        <v>941880</v>
      </c>
      <c r="I375" s="311">
        <v>14</v>
      </c>
      <c r="J375" s="311">
        <v>60589</v>
      </c>
      <c r="K375" s="441">
        <f t="shared" si="121"/>
        <v>848246</v>
      </c>
      <c r="L375" s="442">
        <v>12</v>
      </c>
      <c r="M375" s="443">
        <v>51723</v>
      </c>
      <c r="N375" s="444">
        <f t="shared" si="122"/>
        <v>620676</v>
      </c>
      <c r="O375" s="307">
        <v>11</v>
      </c>
      <c r="P375" s="307">
        <v>50390</v>
      </c>
      <c r="Q375" s="445">
        <f t="shared" si="123"/>
        <v>554290</v>
      </c>
      <c r="R375" s="442">
        <v>13</v>
      </c>
      <c r="S375" s="443">
        <v>45858</v>
      </c>
      <c r="T375" s="444">
        <f t="shared" si="124"/>
        <v>596154</v>
      </c>
      <c r="U375" s="307">
        <v>15</v>
      </c>
      <c r="V375" s="307">
        <v>44982</v>
      </c>
      <c r="W375" s="441">
        <f t="shared" si="125"/>
        <v>674730</v>
      </c>
      <c r="X375" s="442">
        <v>7</v>
      </c>
      <c r="Y375" s="443">
        <v>42146</v>
      </c>
      <c r="Z375" s="444">
        <f t="shared" si="126"/>
        <v>295022</v>
      </c>
      <c r="AA375" s="307">
        <v>7</v>
      </c>
      <c r="AB375" s="307">
        <v>41303</v>
      </c>
      <c r="AC375" s="445">
        <f t="shared" si="127"/>
        <v>289121</v>
      </c>
      <c r="AD375" s="442"/>
      <c r="AE375" s="443"/>
      <c r="AF375" s="444">
        <f t="shared" si="128"/>
        <v>0</v>
      </c>
      <c r="AG375" s="307"/>
      <c r="AH375" s="307"/>
      <c r="AI375" s="445">
        <f t="shared" si="129"/>
        <v>0</v>
      </c>
      <c r="AJ375" s="446"/>
      <c r="AK375" s="443"/>
      <c r="AL375" s="444">
        <f t="shared" si="130"/>
        <v>0</v>
      </c>
      <c r="AM375" s="307"/>
      <c r="AN375" s="307"/>
      <c r="AO375" s="447">
        <f t="shared" si="131"/>
        <v>0</v>
      </c>
      <c r="AP375" s="448">
        <v>4</v>
      </c>
      <c r="AQ375" s="443">
        <v>79588</v>
      </c>
      <c r="AR375" s="444">
        <f t="shared" si="132"/>
        <v>260475.60640000002</v>
      </c>
      <c r="AS375" s="307">
        <v>3</v>
      </c>
      <c r="AT375" s="307">
        <v>78265</v>
      </c>
      <c r="AU375" s="441">
        <f t="shared" si="133"/>
        <v>192109.269</v>
      </c>
      <c r="AV375" s="442">
        <v>2</v>
      </c>
      <c r="AW375" s="443">
        <v>71313</v>
      </c>
      <c r="AX375" s="444">
        <f t="shared" si="134"/>
        <v>116696.5932</v>
      </c>
      <c r="AY375" s="307">
        <v>2</v>
      </c>
      <c r="AZ375" s="307">
        <v>67338</v>
      </c>
      <c r="BA375" s="445">
        <f t="shared" si="135"/>
        <v>110191.9032</v>
      </c>
      <c r="BB375" s="442"/>
      <c r="BC375" s="443"/>
      <c r="BD375" s="444">
        <f t="shared" si="136"/>
        <v>0</v>
      </c>
      <c r="BE375" s="307"/>
      <c r="BF375" s="307"/>
      <c r="BG375" s="445">
        <f t="shared" si="137"/>
        <v>0</v>
      </c>
      <c r="BH375" s="442">
        <v>3</v>
      </c>
      <c r="BI375" s="443">
        <v>61525</v>
      </c>
      <c r="BJ375" s="444">
        <f t="shared" si="138"/>
        <v>151019.26500000001</v>
      </c>
      <c r="BK375" s="307">
        <v>4</v>
      </c>
      <c r="BL375" s="307">
        <v>50751</v>
      </c>
      <c r="BM375" s="445">
        <f t="shared" si="139"/>
        <v>166097.87280000001</v>
      </c>
      <c r="BN375" s="371"/>
      <c r="BO375" s="372"/>
      <c r="BP375" s="444">
        <f t="shared" si="140"/>
        <v>0</v>
      </c>
      <c r="BQ375" s="307"/>
      <c r="BR375" s="307"/>
      <c r="BS375" s="445">
        <f t="shared" si="141"/>
        <v>0</v>
      </c>
      <c r="BT375" s="371"/>
      <c r="BU375" s="372"/>
      <c r="BV375" s="444">
        <f t="shared" si="142"/>
        <v>0</v>
      </c>
      <c r="BW375" s="307"/>
      <c r="BX375" s="307"/>
      <c r="BY375" s="449">
        <f t="shared" si="143"/>
        <v>0</v>
      </c>
    </row>
    <row r="376" spans="1:77" s="308" customFormat="1" ht="12.75" customHeight="1">
      <c r="A376" s="343" t="s">
        <v>311</v>
      </c>
      <c r="B376" s="429" t="s">
        <v>1024</v>
      </c>
      <c r="C376" s="429"/>
      <c r="D376" s="430">
        <v>207564</v>
      </c>
      <c r="E376" s="305">
        <v>7</v>
      </c>
      <c r="F376" s="453"/>
      <c r="G376" s="454"/>
      <c r="H376" s="439">
        <f t="shared" si="120"/>
        <v>0</v>
      </c>
      <c r="I376" s="311"/>
      <c r="J376" s="311"/>
      <c r="K376" s="441">
        <f t="shared" si="121"/>
        <v>0</v>
      </c>
      <c r="L376" s="442"/>
      <c r="M376" s="443"/>
      <c r="N376" s="444">
        <f t="shared" si="122"/>
        <v>0</v>
      </c>
      <c r="O376" s="307"/>
      <c r="P376" s="307"/>
      <c r="Q376" s="445">
        <f t="shared" si="123"/>
        <v>0</v>
      </c>
      <c r="R376" s="442"/>
      <c r="S376" s="443"/>
      <c r="T376" s="444">
        <f t="shared" si="124"/>
        <v>0</v>
      </c>
      <c r="U376" s="307"/>
      <c r="V376" s="307"/>
      <c r="W376" s="441">
        <f t="shared" si="125"/>
        <v>0</v>
      </c>
      <c r="X376" s="442"/>
      <c r="Y376" s="443"/>
      <c r="Z376" s="444">
        <f t="shared" si="126"/>
        <v>0</v>
      </c>
      <c r="AA376" s="307"/>
      <c r="AB376" s="307"/>
      <c r="AC376" s="445">
        <f t="shared" si="127"/>
        <v>0</v>
      </c>
      <c r="AD376" s="442"/>
      <c r="AE376" s="443"/>
      <c r="AF376" s="444">
        <f t="shared" si="128"/>
        <v>0</v>
      </c>
      <c r="AG376" s="307"/>
      <c r="AH376" s="307"/>
      <c r="AI376" s="445">
        <f t="shared" si="129"/>
        <v>0</v>
      </c>
      <c r="AJ376" s="446">
        <v>124</v>
      </c>
      <c r="AK376" s="443">
        <v>53446</v>
      </c>
      <c r="AL376" s="444">
        <f t="shared" si="130"/>
        <v>6627304</v>
      </c>
      <c r="AM376" s="307">
        <v>122</v>
      </c>
      <c r="AN376" s="307">
        <v>52064</v>
      </c>
      <c r="AO376" s="447">
        <f t="shared" si="131"/>
        <v>6351808</v>
      </c>
      <c r="AP376" s="448"/>
      <c r="AQ376" s="443"/>
      <c r="AR376" s="444">
        <f t="shared" si="132"/>
        <v>0</v>
      </c>
      <c r="AS376" s="307"/>
      <c r="AT376" s="307"/>
      <c r="AU376" s="441">
        <f t="shared" si="133"/>
        <v>0</v>
      </c>
      <c r="AV376" s="442"/>
      <c r="AW376" s="443"/>
      <c r="AX376" s="444">
        <f t="shared" si="134"/>
        <v>0</v>
      </c>
      <c r="AY376" s="307"/>
      <c r="AZ376" s="307"/>
      <c r="BA376" s="445">
        <f t="shared" si="135"/>
        <v>0</v>
      </c>
      <c r="BB376" s="442"/>
      <c r="BC376" s="443"/>
      <c r="BD376" s="444">
        <f t="shared" si="136"/>
        <v>0</v>
      </c>
      <c r="BE376" s="307"/>
      <c r="BF376" s="307"/>
      <c r="BG376" s="445">
        <f t="shared" si="137"/>
        <v>0</v>
      </c>
      <c r="BH376" s="442"/>
      <c r="BI376" s="443"/>
      <c r="BJ376" s="444">
        <f t="shared" si="138"/>
        <v>0</v>
      </c>
      <c r="BK376" s="307"/>
      <c r="BL376" s="307"/>
      <c r="BM376" s="445">
        <f t="shared" si="139"/>
        <v>0</v>
      </c>
      <c r="BN376" s="371"/>
      <c r="BO376" s="372"/>
      <c r="BP376" s="444">
        <f t="shared" si="140"/>
        <v>0</v>
      </c>
      <c r="BQ376" s="307"/>
      <c r="BR376" s="307"/>
      <c r="BS376" s="445">
        <f t="shared" si="141"/>
        <v>0</v>
      </c>
      <c r="BT376" s="371"/>
      <c r="BU376" s="372"/>
      <c r="BV376" s="444">
        <f t="shared" si="142"/>
        <v>0</v>
      </c>
      <c r="BW376" s="307"/>
      <c r="BX376" s="307"/>
      <c r="BY376" s="449">
        <f t="shared" si="143"/>
        <v>0</v>
      </c>
    </row>
    <row r="377" spans="1:77" s="308" customFormat="1" ht="12.75" customHeight="1">
      <c r="A377" s="428" t="s">
        <v>311</v>
      </c>
      <c r="B377" s="312" t="s">
        <v>1025</v>
      </c>
      <c r="C377" s="312"/>
      <c r="D377" s="430">
        <v>207449</v>
      </c>
      <c r="E377" s="305">
        <v>8</v>
      </c>
      <c r="F377" s="453"/>
      <c r="G377" s="454"/>
      <c r="H377" s="439">
        <f t="shared" si="120"/>
        <v>0</v>
      </c>
      <c r="I377" s="311"/>
      <c r="J377" s="311"/>
      <c r="K377" s="441">
        <f t="shared" si="121"/>
        <v>0</v>
      </c>
      <c r="L377" s="442"/>
      <c r="M377" s="443"/>
      <c r="N377" s="444">
        <f t="shared" si="122"/>
        <v>0</v>
      </c>
      <c r="O377" s="307"/>
      <c r="P377" s="307"/>
      <c r="Q377" s="445">
        <f t="shared" si="123"/>
        <v>0</v>
      </c>
      <c r="R377" s="442"/>
      <c r="S377" s="443"/>
      <c r="T377" s="444">
        <f t="shared" si="124"/>
        <v>0</v>
      </c>
      <c r="U377" s="307"/>
      <c r="V377" s="307"/>
      <c r="W377" s="441">
        <f t="shared" si="125"/>
        <v>0</v>
      </c>
      <c r="X377" s="442"/>
      <c r="Y377" s="443"/>
      <c r="Z377" s="444">
        <f t="shared" si="126"/>
        <v>0</v>
      </c>
      <c r="AA377" s="307"/>
      <c r="AB377" s="307"/>
      <c r="AC377" s="445">
        <f t="shared" si="127"/>
        <v>0</v>
      </c>
      <c r="AD377" s="442"/>
      <c r="AE377" s="443"/>
      <c r="AF377" s="444">
        <f t="shared" si="128"/>
        <v>0</v>
      </c>
      <c r="AG377" s="307"/>
      <c r="AH377" s="307"/>
      <c r="AI377" s="445">
        <f t="shared" si="129"/>
        <v>0</v>
      </c>
      <c r="AJ377" s="446">
        <v>144</v>
      </c>
      <c r="AK377" s="443">
        <v>49118</v>
      </c>
      <c r="AL377" s="444">
        <f t="shared" si="130"/>
        <v>7072992</v>
      </c>
      <c r="AM377" s="307">
        <v>146</v>
      </c>
      <c r="AN377" s="307">
        <v>48335</v>
      </c>
      <c r="AO377" s="447">
        <f t="shared" si="131"/>
        <v>7056910</v>
      </c>
      <c r="AP377" s="448"/>
      <c r="AQ377" s="443"/>
      <c r="AR377" s="444">
        <f t="shared" si="132"/>
        <v>0</v>
      </c>
      <c r="AS377" s="307"/>
      <c r="AT377" s="307"/>
      <c r="AU377" s="441">
        <f t="shared" si="133"/>
        <v>0</v>
      </c>
      <c r="AV377" s="442"/>
      <c r="AW377" s="443"/>
      <c r="AX377" s="444">
        <f t="shared" si="134"/>
        <v>0</v>
      </c>
      <c r="AY377" s="307"/>
      <c r="AZ377" s="307"/>
      <c r="BA377" s="445">
        <f t="shared" si="135"/>
        <v>0</v>
      </c>
      <c r="BB377" s="442"/>
      <c r="BC377" s="443"/>
      <c r="BD377" s="444">
        <f t="shared" si="136"/>
        <v>0</v>
      </c>
      <c r="BE377" s="307"/>
      <c r="BF377" s="307"/>
      <c r="BG377" s="445">
        <f t="shared" si="137"/>
        <v>0</v>
      </c>
      <c r="BH377" s="442"/>
      <c r="BI377" s="443"/>
      <c r="BJ377" s="444">
        <f t="shared" si="138"/>
        <v>0</v>
      </c>
      <c r="BK377" s="307"/>
      <c r="BL377" s="307"/>
      <c r="BM377" s="445">
        <f t="shared" si="139"/>
        <v>0</v>
      </c>
      <c r="BN377" s="371"/>
      <c r="BO377" s="372"/>
      <c r="BP377" s="444">
        <f t="shared" si="140"/>
        <v>0</v>
      </c>
      <c r="BQ377" s="307"/>
      <c r="BR377" s="307"/>
      <c r="BS377" s="445">
        <f t="shared" si="141"/>
        <v>0</v>
      </c>
      <c r="BT377" s="371">
        <v>1</v>
      </c>
      <c r="BU377" s="372">
        <v>89824</v>
      </c>
      <c r="BV377" s="444">
        <f t="shared" si="142"/>
        <v>73493.996800000008</v>
      </c>
      <c r="BW377" s="307"/>
      <c r="BX377" s="307"/>
      <c r="BY377" s="449">
        <f t="shared" si="143"/>
        <v>0</v>
      </c>
    </row>
    <row r="378" spans="1:77" s="308" customFormat="1" ht="12.75" customHeight="1">
      <c r="A378" s="428" t="s">
        <v>311</v>
      </c>
      <c r="B378" s="429" t="s">
        <v>1026</v>
      </c>
      <c r="C378" s="429"/>
      <c r="D378" s="430">
        <v>207935</v>
      </c>
      <c r="E378" s="305">
        <v>8</v>
      </c>
      <c r="F378" s="453"/>
      <c r="G378" s="454"/>
      <c r="H378" s="439">
        <f t="shared" si="120"/>
        <v>0</v>
      </c>
      <c r="I378" s="311"/>
      <c r="J378" s="311"/>
      <c r="K378" s="441">
        <f t="shared" si="121"/>
        <v>0</v>
      </c>
      <c r="L378" s="442"/>
      <c r="M378" s="443"/>
      <c r="N378" s="444">
        <f t="shared" si="122"/>
        <v>0</v>
      </c>
      <c r="O378" s="307"/>
      <c r="P378" s="307"/>
      <c r="Q378" s="445">
        <f t="shared" si="123"/>
        <v>0</v>
      </c>
      <c r="R378" s="442"/>
      <c r="S378" s="443"/>
      <c r="T378" s="444">
        <f t="shared" si="124"/>
        <v>0</v>
      </c>
      <c r="U378" s="307"/>
      <c r="V378" s="307"/>
      <c r="W378" s="441">
        <f t="shared" si="125"/>
        <v>0</v>
      </c>
      <c r="X378" s="442"/>
      <c r="Y378" s="443"/>
      <c r="Z378" s="444">
        <f t="shared" si="126"/>
        <v>0</v>
      </c>
      <c r="AA378" s="307"/>
      <c r="AB378" s="307"/>
      <c r="AC378" s="445">
        <f t="shared" si="127"/>
        <v>0</v>
      </c>
      <c r="AD378" s="442"/>
      <c r="AE378" s="443"/>
      <c r="AF378" s="444">
        <f t="shared" si="128"/>
        <v>0</v>
      </c>
      <c r="AG378" s="307"/>
      <c r="AH378" s="307"/>
      <c r="AI378" s="445">
        <f t="shared" si="129"/>
        <v>0</v>
      </c>
      <c r="AJ378" s="446">
        <v>260</v>
      </c>
      <c r="AK378" s="443">
        <v>56648</v>
      </c>
      <c r="AL378" s="444">
        <f t="shared" si="130"/>
        <v>14728480</v>
      </c>
      <c r="AM378" s="307">
        <v>256</v>
      </c>
      <c r="AN378" s="307">
        <v>55806</v>
      </c>
      <c r="AO378" s="447">
        <f t="shared" si="131"/>
        <v>14286336</v>
      </c>
      <c r="AP378" s="448"/>
      <c r="AQ378" s="443"/>
      <c r="AR378" s="444">
        <f t="shared" si="132"/>
        <v>0</v>
      </c>
      <c r="AS378" s="307"/>
      <c r="AT378" s="307"/>
      <c r="AU378" s="441">
        <f t="shared" si="133"/>
        <v>0</v>
      </c>
      <c r="AV378" s="442"/>
      <c r="AW378" s="443"/>
      <c r="AX378" s="444">
        <f t="shared" si="134"/>
        <v>0</v>
      </c>
      <c r="AY378" s="307"/>
      <c r="AZ378" s="307"/>
      <c r="BA378" s="445">
        <f t="shared" si="135"/>
        <v>0</v>
      </c>
      <c r="BB378" s="442"/>
      <c r="BC378" s="443"/>
      <c r="BD378" s="444">
        <f t="shared" si="136"/>
        <v>0</v>
      </c>
      <c r="BE378" s="307"/>
      <c r="BF378" s="307"/>
      <c r="BG378" s="445">
        <f t="shared" si="137"/>
        <v>0</v>
      </c>
      <c r="BH378" s="442"/>
      <c r="BI378" s="443"/>
      <c r="BJ378" s="444">
        <f t="shared" si="138"/>
        <v>0</v>
      </c>
      <c r="BK378" s="307"/>
      <c r="BL378" s="307"/>
      <c r="BM378" s="445">
        <f t="shared" si="139"/>
        <v>0</v>
      </c>
      <c r="BN378" s="371"/>
      <c r="BO378" s="372"/>
      <c r="BP378" s="444">
        <f t="shared" si="140"/>
        <v>0</v>
      </c>
      <c r="BQ378" s="307"/>
      <c r="BR378" s="307"/>
      <c r="BS378" s="445">
        <f t="shared" si="141"/>
        <v>0</v>
      </c>
      <c r="BT378" s="371">
        <v>41</v>
      </c>
      <c r="BU378" s="372">
        <v>62912</v>
      </c>
      <c r="BV378" s="444">
        <f t="shared" si="142"/>
        <v>2110458.5344000002</v>
      </c>
      <c r="BW378" s="307">
        <v>42</v>
      </c>
      <c r="BX378" s="307">
        <v>62679</v>
      </c>
      <c r="BY378" s="449">
        <f t="shared" si="143"/>
        <v>2153926.2276000003</v>
      </c>
    </row>
    <row r="379" spans="1:77" s="308" customFormat="1" ht="12.75" customHeight="1">
      <c r="A379" s="428" t="s">
        <v>311</v>
      </c>
      <c r="B379" s="312" t="s">
        <v>1027</v>
      </c>
      <c r="C379" s="312"/>
      <c r="D379" s="430">
        <v>207281</v>
      </c>
      <c r="E379" s="305">
        <v>9</v>
      </c>
      <c r="F379" s="453"/>
      <c r="G379" s="454"/>
      <c r="H379" s="439">
        <f t="shared" si="120"/>
        <v>0</v>
      </c>
      <c r="I379" s="311"/>
      <c r="J379" s="311"/>
      <c r="K379" s="441">
        <f t="shared" si="121"/>
        <v>0</v>
      </c>
      <c r="L379" s="442"/>
      <c r="M379" s="443"/>
      <c r="N379" s="444">
        <f t="shared" si="122"/>
        <v>0</v>
      </c>
      <c r="O379" s="307"/>
      <c r="P379" s="307"/>
      <c r="Q379" s="445">
        <f t="shared" si="123"/>
        <v>0</v>
      </c>
      <c r="R379" s="442"/>
      <c r="S379" s="443"/>
      <c r="T379" s="444">
        <f t="shared" si="124"/>
        <v>0</v>
      </c>
      <c r="U379" s="307"/>
      <c r="V379" s="307"/>
      <c r="W379" s="441">
        <f t="shared" si="125"/>
        <v>0</v>
      </c>
      <c r="X379" s="442"/>
      <c r="Y379" s="443"/>
      <c r="Z379" s="444">
        <f t="shared" si="126"/>
        <v>0</v>
      </c>
      <c r="AA379" s="307"/>
      <c r="AB379" s="307"/>
      <c r="AC379" s="445">
        <f t="shared" si="127"/>
        <v>0</v>
      </c>
      <c r="AD379" s="442"/>
      <c r="AE379" s="443"/>
      <c r="AF379" s="444">
        <f t="shared" si="128"/>
        <v>0</v>
      </c>
      <c r="AG379" s="307"/>
      <c r="AH379" s="307"/>
      <c r="AI379" s="445">
        <f t="shared" si="129"/>
        <v>0</v>
      </c>
      <c r="AJ379" s="446">
        <v>95</v>
      </c>
      <c r="AK379" s="443">
        <v>46191</v>
      </c>
      <c r="AL379" s="444">
        <f t="shared" si="130"/>
        <v>4388145</v>
      </c>
      <c r="AM379" s="307">
        <v>92</v>
      </c>
      <c r="AN379" s="307">
        <v>46234</v>
      </c>
      <c r="AO379" s="447">
        <f t="shared" si="131"/>
        <v>4253528</v>
      </c>
      <c r="AP379" s="448"/>
      <c r="AQ379" s="443"/>
      <c r="AR379" s="444">
        <f t="shared" si="132"/>
        <v>0</v>
      </c>
      <c r="AS379" s="307"/>
      <c r="AT379" s="307"/>
      <c r="AU379" s="441">
        <f t="shared" si="133"/>
        <v>0</v>
      </c>
      <c r="AV379" s="442"/>
      <c r="AW379" s="443"/>
      <c r="AX379" s="444">
        <f t="shared" si="134"/>
        <v>0</v>
      </c>
      <c r="AY379" s="307"/>
      <c r="AZ379" s="307"/>
      <c r="BA379" s="445">
        <f t="shared" si="135"/>
        <v>0</v>
      </c>
      <c r="BB379" s="442"/>
      <c r="BC379" s="443"/>
      <c r="BD379" s="444">
        <f t="shared" si="136"/>
        <v>0</v>
      </c>
      <c r="BE379" s="307"/>
      <c r="BF379" s="307"/>
      <c r="BG379" s="445">
        <f t="shared" si="137"/>
        <v>0</v>
      </c>
      <c r="BH379" s="442"/>
      <c r="BI379" s="443"/>
      <c r="BJ379" s="444">
        <f t="shared" si="138"/>
        <v>0</v>
      </c>
      <c r="BK379" s="307"/>
      <c r="BL379" s="307"/>
      <c r="BM379" s="445">
        <f t="shared" si="139"/>
        <v>0</v>
      </c>
      <c r="BN379" s="371"/>
      <c r="BO379" s="372"/>
      <c r="BP379" s="444">
        <f t="shared" si="140"/>
        <v>0</v>
      </c>
      <c r="BQ379" s="307"/>
      <c r="BR379" s="307"/>
      <c r="BS379" s="445">
        <f t="shared" si="141"/>
        <v>0</v>
      </c>
      <c r="BT379" s="371">
        <v>3</v>
      </c>
      <c r="BU379" s="372">
        <v>53887</v>
      </c>
      <c r="BV379" s="444">
        <f t="shared" si="142"/>
        <v>132271.03020000001</v>
      </c>
      <c r="BW379" s="307">
        <v>3</v>
      </c>
      <c r="BX379" s="307">
        <v>53887</v>
      </c>
      <c r="BY379" s="449">
        <f t="shared" si="143"/>
        <v>132271.03020000001</v>
      </c>
    </row>
    <row r="380" spans="1:77" s="308" customFormat="1" ht="12.75" customHeight="1">
      <c r="A380" s="428" t="s">
        <v>311</v>
      </c>
      <c r="B380" s="339" t="s">
        <v>1028</v>
      </c>
      <c r="C380" s="540" t="s">
        <v>1123</v>
      </c>
      <c r="D380" s="430">
        <v>207397</v>
      </c>
      <c r="E380" s="305">
        <v>9</v>
      </c>
      <c r="F380" s="453"/>
      <c r="G380" s="454"/>
      <c r="H380" s="439">
        <f t="shared" si="120"/>
        <v>0</v>
      </c>
      <c r="I380" s="311"/>
      <c r="J380" s="311"/>
      <c r="K380" s="441">
        <f t="shared" si="121"/>
        <v>0</v>
      </c>
      <c r="L380" s="442"/>
      <c r="M380" s="443"/>
      <c r="N380" s="444">
        <f t="shared" si="122"/>
        <v>0</v>
      </c>
      <c r="O380" s="307"/>
      <c r="P380" s="307"/>
      <c r="Q380" s="445">
        <f t="shared" si="123"/>
        <v>0</v>
      </c>
      <c r="R380" s="442"/>
      <c r="S380" s="443"/>
      <c r="T380" s="444">
        <f t="shared" si="124"/>
        <v>0</v>
      </c>
      <c r="U380" s="307"/>
      <c r="V380" s="307"/>
      <c r="W380" s="441">
        <f t="shared" si="125"/>
        <v>0</v>
      </c>
      <c r="X380" s="442"/>
      <c r="Y380" s="443"/>
      <c r="Z380" s="444">
        <f t="shared" si="126"/>
        <v>0</v>
      </c>
      <c r="AA380" s="307"/>
      <c r="AB380" s="307"/>
      <c r="AC380" s="445">
        <f t="shared" si="127"/>
        <v>0</v>
      </c>
      <c r="AD380" s="442"/>
      <c r="AE380" s="443"/>
      <c r="AF380" s="444">
        <f t="shared" si="128"/>
        <v>0</v>
      </c>
      <c r="AG380" s="307"/>
      <c r="AH380" s="307"/>
      <c r="AI380" s="445">
        <f t="shared" si="129"/>
        <v>0</v>
      </c>
      <c r="AJ380" s="446">
        <v>81</v>
      </c>
      <c r="AK380" s="443">
        <v>49425</v>
      </c>
      <c r="AL380" s="444">
        <f t="shared" si="130"/>
        <v>4003425</v>
      </c>
      <c r="AM380" s="307">
        <v>82</v>
      </c>
      <c r="AN380" s="307">
        <v>49128</v>
      </c>
      <c r="AO380" s="447">
        <f t="shared" si="131"/>
        <v>4028496</v>
      </c>
      <c r="AP380" s="448"/>
      <c r="AQ380" s="443"/>
      <c r="AR380" s="444">
        <f t="shared" si="132"/>
        <v>0</v>
      </c>
      <c r="AS380" s="307"/>
      <c r="AT380" s="307"/>
      <c r="AU380" s="441">
        <f t="shared" si="133"/>
        <v>0</v>
      </c>
      <c r="AV380" s="442"/>
      <c r="AW380" s="443"/>
      <c r="AX380" s="444">
        <f t="shared" si="134"/>
        <v>0</v>
      </c>
      <c r="AY380" s="307"/>
      <c r="AZ380" s="307"/>
      <c r="BA380" s="445">
        <f t="shared" si="135"/>
        <v>0</v>
      </c>
      <c r="BB380" s="442"/>
      <c r="BC380" s="443"/>
      <c r="BD380" s="444">
        <f t="shared" si="136"/>
        <v>0</v>
      </c>
      <c r="BE380" s="307"/>
      <c r="BF380" s="307"/>
      <c r="BG380" s="445">
        <f t="shared" si="137"/>
        <v>0</v>
      </c>
      <c r="BH380" s="442"/>
      <c r="BI380" s="443"/>
      <c r="BJ380" s="444">
        <f t="shared" si="138"/>
        <v>0</v>
      </c>
      <c r="BK380" s="307"/>
      <c r="BL380" s="307"/>
      <c r="BM380" s="445">
        <f t="shared" si="139"/>
        <v>0</v>
      </c>
      <c r="BN380" s="371"/>
      <c r="BO380" s="372"/>
      <c r="BP380" s="444">
        <f t="shared" si="140"/>
        <v>0</v>
      </c>
      <c r="BQ380" s="307"/>
      <c r="BR380" s="307"/>
      <c r="BS380" s="445">
        <f t="shared" si="141"/>
        <v>0</v>
      </c>
      <c r="BT380" s="371"/>
      <c r="BU380" s="372"/>
      <c r="BV380" s="444">
        <f t="shared" si="142"/>
        <v>0</v>
      </c>
      <c r="BW380" s="307"/>
      <c r="BX380" s="307"/>
      <c r="BY380" s="449">
        <f t="shared" si="143"/>
        <v>0</v>
      </c>
    </row>
    <row r="381" spans="1:77" s="308" customFormat="1" ht="12.75" customHeight="1">
      <c r="A381" s="428" t="s">
        <v>311</v>
      </c>
      <c r="B381" s="341" t="s">
        <v>1029</v>
      </c>
      <c r="C381" s="541" t="s">
        <v>1124</v>
      </c>
      <c r="D381" s="430">
        <v>207670</v>
      </c>
      <c r="E381" s="305">
        <v>9</v>
      </c>
      <c r="F381" s="453"/>
      <c r="G381" s="454"/>
      <c r="H381" s="439">
        <f t="shared" si="120"/>
        <v>0</v>
      </c>
      <c r="I381" s="311"/>
      <c r="J381" s="311"/>
      <c r="K381" s="441">
        <f t="shared" si="121"/>
        <v>0</v>
      </c>
      <c r="L381" s="442"/>
      <c r="M381" s="443"/>
      <c r="N381" s="444">
        <f t="shared" si="122"/>
        <v>0</v>
      </c>
      <c r="O381" s="307"/>
      <c r="P381" s="307"/>
      <c r="Q381" s="445">
        <f t="shared" si="123"/>
        <v>0</v>
      </c>
      <c r="R381" s="442"/>
      <c r="S381" s="443"/>
      <c r="T381" s="444">
        <f t="shared" si="124"/>
        <v>0</v>
      </c>
      <c r="U381" s="307"/>
      <c r="V381" s="307"/>
      <c r="W381" s="441">
        <f t="shared" si="125"/>
        <v>0</v>
      </c>
      <c r="X381" s="442"/>
      <c r="Y381" s="443"/>
      <c r="Z381" s="444">
        <f t="shared" si="126"/>
        <v>0</v>
      </c>
      <c r="AA381" s="307"/>
      <c r="AB381" s="307"/>
      <c r="AC381" s="445">
        <f t="shared" si="127"/>
        <v>0</v>
      </c>
      <c r="AD381" s="442"/>
      <c r="AE381" s="443"/>
      <c r="AF381" s="444">
        <f t="shared" si="128"/>
        <v>0</v>
      </c>
      <c r="AG381" s="307"/>
      <c r="AH381" s="307"/>
      <c r="AI381" s="445">
        <f t="shared" si="129"/>
        <v>0</v>
      </c>
      <c r="AJ381" s="446">
        <v>104</v>
      </c>
      <c r="AK381" s="443">
        <v>46904</v>
      </c>
      <c r="AL381" s="444">
        <f t="shared" si="130"/>
        <v>4878016</v>
      </c>
      <c r="AM381" s="307">
        <v>100</v>
      </c>
      <c r="AN381" s="307">
        <v>46254</v>
      </c>
      <c r="AO381" s="447">
        <f t="shared" si="131"/>
        <v>4625400</v>
      </c>
      <c r="AP381" s="448"/>
      <c r="AQ381" s="443"/>
      <c r="AR381" s="444">
        <f t="shared" si="132"/>
        <v>0</v>
      </c>
      <c r="AS381" s="307"/>
      <c r="AT381" s="307"/>
      <c r="AU381" s="441">
        <f t="shared" si="133"/>
        <v>0</v>
      </c>
      <c r="AV381" s="442"/>
      <c r="AW381" s="443"/>
      <c r="AX381" s="444">
        <f t="shared" si="134"/>
        <v>0</v>
      </c>
      <c r="AY381" s="307"/>
      <c r="AZ381" s="307"/>
      <c r="BA381" s="445">
        <f t="shared" si="135"/>
        <v>0</v>
      </c>
      <c r="BB381" s="442"/>
      <c r="BC381" s="443"/>
      <c r="BD381" s="444">
        <f t="shared" si="136"/>
        <v>0</v>
      </c>
      <c r="BE381" s="307"/>
      <c r="BF381" s="307"/>
      <c r="BG381" s="445">
        <f t="shared" si="137"/>
        <v>0</v>
      </c>
      <c r="BH381" s="442"/>
      <c r="BI381" s="443"/>
      <c r="BJ381" s="444">
        <f t="shared" si="138"/>
        <v>0</v>
      </c>
      <c r="BK381" s="307"/>
      <c r="BL381" s="307"/>
      <c r="BM381" s="445">
        <f t="shared" si="139"/>
        <v>0</v>
      </c>
      <c r="BN381" s="371"/>
      <c r="BO381" s="372"/>
      <c r="BP381" s="444">
        <f t="shared" si="140"/>
        <v>0</v>
      </c>
      <c r="BQ381" s="307"/>
      <c r="BR381" s="307"/>
      <c r="BS381" s="445">
        <f t="shared" si="141"/>
        <v>0</v>
      </c>
      <c r="BT381" s="371">
        <v>17</v>
      </c>
      <c r="BU381" s="372">
        <v>60541</v>
      </c>
      <c r="BV381" s="444">
        <f t="shared" si="142"/>
        <v>842088.98540000001</v>
      </c>
      <c r="BW381" s="307">
        <v>17</v>
      </c>
      <c r="BX381" s="307">
        <v>60655</v>
      </c>
      <c r="BY381" s="449">
        <f t="shared" si="143"/>
        <v>843674.65700000001</v>
      </c>
    </row>
    <row r="382" spans="1:77" s="308" customFormat="1" ht="12.75" customHeight="1">
      <c r="A382" s="428" t="s">
        <v>311</v>
      </c>
      <c r="B382" s="339" t="s">
        <v>1030</v>
      </c>
      <c r="C382" s="541" t="s">
        <v>1125</v>
      </c>
      <c r="D382" s="430">
        <v>206923</v>
      </c>
      <c r="E382" s="305">
        <v>10</v>
      </c>
      <c r="F382" s="453"/>
      <c r="G382" s="454"/>
      <c r="H382" s="439">
        <f t="shared" si="120"/>
        <v>0</v>
      </c>
      <c r="I382" s="311"/>
      <c r="J382" s="311"/>
      <c r="K382" s="441">
        <f t="shared" si="121"/>
        <v>0</v>
      </c>
      <c r="L382" s="442"/>
      <c r="M382" s="443"/>
      <c r="N382" s="444">
        <f t="shared" si="122"/>
        <v>0</v>
      </c>
      <c r="O382" s="307"/>
      <c r="P382" s="307"/>
      <c r="Q382" s="445">
        <f t="shared" si="123"/>
        <v>0</v>
      </c>
      <c r="R382" s="442"/>
      <c r="S382" s="443"/>
      <c r="T382" s="444">
        <f t="shared" si="124"/>
        <v>0</v>
      </c>
      <c r="U382" s="307"/>
      <c r="V382" s="307"/>
      <c r="W382" s="441">
        <f t="shared" si="125"/>
        <v>0</v>
      </c>
      <c r="X382" s="442"/>
      <c r="Y382" s="443"/>
      <c r="Z382" s="444">
        <f t="shared" si="126"/>
        <v>0</v>
      </c>
      <c r="AA382" s="307"/>
      <c r="AB382" s="307"/>
      <c r="AC382" s="445">
        <f t="shared" si="127"/>
        <v>0</v>
      </c>
      <c r="AD382" s="442"/>
      <c r="AE382" s="443"/>
      <c r="AF382" s="444">
        <f t="shared" si="128"/>
        <v>0</v>
      </c>
      <c r="AG382" s="307"/>
      <c r="AH382" s="307"/>
      <c r="AI382" s="445">
        <f t="shared" si="129"/>
        <v>0</v>
      </c>
      <c r="AJ382" s="446">
        <v>39</v>
      </c>
      <c r="AK382" s="443">
        <v>50328</v>
      </c>
      <c r="AL382" s="444">
        <f t="shared" si="130"/>
        <v>1962792</v>
      </c>
      <c r="AM382" s="307">
        <v>47</v>
      </c>
      <c r="AN382" s="307">
        <v>47166</v>
      </c>
      <c r="AO382" s="447">
        <f t="shared" si="131"/>
        <v>2216802</v>
      </c>
      <c r="AP382" s="448"/>
      <c r="AQ382" s="443"/>
      <c r="AR382" s="444">
        <f t="shared" si="132"/>
        <v>0</v>
      </c>
      <c r="AS382" s="307"/>
      <c r="AT382" s="307"/>
      <c r="AU382" s="441">
        <f t="shared" si="133"/>
        <v>0</v>
      </c>
      <c r="AV382" s="442"/>
      <c r="AW382" s="443"/>
      <c r="AX382" s="444">
        <f t="shared" si="134"/>
        <v>0</v>
      </c>
      <c r="AY382" s="307"/>
      <c r="AZ382" s="307"/>
      <c r="BA382" s="445">
        <f t="shared" si="135"/>
        <v>0</v>
      </c>
      <c r="BB382" s="442"/>
      <c r="BC382" s="443"/>
      <c r="BD382" s="444">
        <f t="shared" si="136"/>
        <v>0</v>
      </c>
      <c r="BE382" s="307"/>
      <c r="BF382" s="307"/>
      <c r="BG382" s="445">
        <f t="shared" si="137"/>
        <v>0</v>
      </c>
      <c r="BH382" s="442"/>
      <c r="BI382" s="443"/>
      <c r="BJ382" s="444">
        <f t="shared" si="138"/>
        <v>0</v>
      </c>
      <c r="BK382" s="307"/>
      <c r="BL382" s="307"/>
      <c r="BM382" s="445">
        <f t="shared" si="139"/>
        <v>0</v>
      </c>
      <c r="BN382" s="371"/>
      <c r="BO382" s="372"/>
      <c r="BP382" s="444">
        <f t="shared" si="140"/>
        <v>0</v>
      </c>
      <c r="BQ382" s="307"/>
      <c r="BR382" s="307"/>
      <c r="BS382" s="445">
        <f t="shared" si="141"/>
        <v>0</v>
      </c>
      <c r="BT382" s="371">
        <v>6</v>
      </c>
      <c r="BU382" s="372">
        <v>36505</v>
      </c>
      <c r="BV382" s="444">
        <f t="shared" si="142"/>
        <v>179210.34600000002</v>
      </c>
      <c r="BW382" s="307">
        <v>6</v>
      </c>
      <c r="BX382" s="307">
        <v>36910</v>
      </c>
      <c r="BY382" s="449">
        <f t="shared" si="143"/>
        <v>181198.57200000001</v>
      </c>
    </row>
    <row r="383" spans="1:77" s="308" customFormat="1" ht="12.75" customHeight="1">
      <c r="A383" s="428" t="s">
        <v>311</v>
      </c>
      <c r="B383" s="429" t="s">
        <v>1031</v>
      </c>
      <c r="C383" s="429"/>
      <c r="D383" s="430">
        <v>206996</v>
      </c>
      <c r="E383" s="305">
        <v>10</v>
      </c>
      <c r="F383" s="453"/>
      <c r="G383" s="454"/>
      <c r="H383" s="439">
        <f t="shared" si="120"/>
        <v>0</v>
      </c>
      <c r="I383" s="311"/>
      <c r="J383" s="311"/>
      <c r="K383" s="441">
        <f t="shared" si="121"/>
        <v>0</v>
      </c>
      <c r="L383" s="442"/>
      <c r="M383" s="443"/>
      <c r="N383" s="444">
        <f t="shared" si="122"/>
        <v>0</v>
      </c>
      <c r="O383" s="307"/>
      <c r="P383" s="307"/>
      <c r="Q383" s="445">
        <f t="shared" si="123"/>
        <v>0</v>
      </c>
      <c r="R383" s="442"/>
      <c r="S383" s="443"/>
      <c r="T383" s="444">
        <f t="shared" si="124"/>
        <v>0</v>
      </c>
      <c r="U383" s="307"/>
      <c r="V383" s="307"/>
      <c r="W383" s="441">
        <f t="shared" si="125"/>
        <v>0</v>
      </c>
      <c r="X383" s="442"/>
      <c r="Y383" s="443"/>
      <c r="Z383" s="444">
        <f t="shared" si="126"/>
        <v>0</v>
      </c>
      <c r="AA383" s="307"/>
      <c r="AB383" s="307"/>
      <c r="AC383" s="445">
        <f t="shared" si="127"/>
        <v>0</v>
      </c>
      <c r="AD383" s="442"/>
      <c r="AE383" s="443"/>
      <c r="AF383" s="444">
        <f t="shared" si="128"/>
        <v>0</v>
      </c>
      <c r="AG383" s="307"/>
      <c r="AH383" s="307"/>
      <c r="AI383" s="445">
        <f t="shared" si="129"/>
        <v>0</v>
      </c>
      <c r="AJ383" s="446">
        <v>43</v>
      </c>
      <c r="AK383" s="443">
        <v>43134</v>
      </c>
      <c r="AL383" s="444">
        <f t="shared" si="130"/>
        <v>1854762</v>
      </c>
      <c r="AM383" s="307">
        <v>46</v>
      </c>
      <c r="AN383" s="307">
        <v>43853</v>
      </c>
      <c r="AO383" s="447">
        <f t="shared" si="131"/>
        <v>2017238</v>
      </c>
      <c r="AP383" s="448"/>
      <c r="AQ383" s="443"/>
      <c r="AR383" s="444">
        <f t="shared" si="132"/>
        <v>0</v>
      </c>
      <c r="AS383" s="307"/>
      <c r="AT383" s="307"/>
      <c r="AU383" s="441">
        <f t="shared" si="133"/>
        <v>0</v>
      </c>
      <c r="AV383" s="442"/>
      <c r="AW383" s="443"/>
      <c r="AX383" s="444">
        <f t="shared" si="134"/>
        <v>0</v>
      </c>
      <c r="AY383" s="307"/>
      <c r="AZ383" s="307"/>
      <c r="BA383" s="445">
        <f t="shared" si="135"/>
        <v>0</v>
      </c>
      <c r="BB383" s="442"/>
      <c r="BC383" s="443"/>
      <c r="BD383" s="444">
        <f t="shared" si="136"/>
        <v>0</v>
      </c>
      <c r="BE383" s="307"/>
      <c r="BF383" s="307"/>
      <c r="BG383" s="445">
        <f t="shared" si="137"/>
        <v>0</v>
      </c>
      <c r="BH383" s="442"/>
      <c r="BI383" s="443"/>
      <c r="BJ383" s="444">
        <f t="shared" si="138"/>
        <v>0</v>
      </c>
      <c r="BK383" s="307"/>
      <c r="BL383" s="307"/>
      <c r="BM383" s="445">
        <f t="shared" si="139"/>
        <v>0</v>
      </c>
      <c r="BN383" s="371"/>
      <c r="BO383" s="372"/>
      <c r="BP383" s="444">
        <f t="shared" si="140"/>
        <v>0</v>
      </c>
      <c r="BQ383" s="307"/>
      <c r="BR383" s="307"/>
      <c r="BS383" s="445">
        <f t="shared" si="141"/>
        <v>0</v>
      </c>
      <c r="BT383" s="371">
        <v>3</v>
      </c>
      <c r="BU383" s="372">
        <v>51258</v>
      </c>
      <c r="BV383" s="444">
        <f t="shared" si="142"/>
        <v>125817.88680000001</v>
      </c>
      <c r="BW383" s="307">
        <v>3</v>
      </c>
      <c r="BX383" s="307">
        <v>51465</v>
      </c>
      <c r="BY383" s="449">
        <f t="shared" si="143"/>
        <v>126325.989</v>
      </c>
    </row>
    <row r="384" spans="1:77" s="308" customFormat="1" ht="12.75" customHeight="1">
      <c r="A384" s="428" t="s">
        <v>311</v>
      </c>
      <c r="B384" s="429" t="s">
        <v>1032</v>
      </c>
      <c r="C384" s="429"/>
      <c r="D384" s="430">
        <v>207050</v>
      </c>
      <c r="E384" s="305">
        <v>10</v>
      </c>
      <c r="F384" s="453"/>
      <c r="G384" s="454"/>
      <c r="H384" s="439">
        <f t="shared" si="120"/>
        <v>0</v>
      </c>
      <c r="I384" s="311"/>
      <c r="J384" s="311"/>
      <c r="K384" s="441">
        <f t="shared" si="121"/>
        <v>0</v>
      </c>
      <c r="L384" s="442"/>
      <c r="M384" s="443"/>
      <c r="N384" s="444">
        <f t="shared" si="122"/>
        <v>0</v>
      </c>
      <c r="O384" s="307"/>
      <c r="P384" s="307"/>
      <c r="Q384" s="445">
        <f t="shared" si="123"/>
        <v>0</v>
      </c>
      <c r="R384" s="442"/>
      <c r="S384" s="443"/>
      <c r="T384" s="444">
        <f t="shared" si="124"/>
        <v>0</v>
      </c>
      <c r="U384" s="307"/>
      <c r="V384" s="307"/>
      <c r="W384" s="441">
        <f t="shared" si="125"/>
        <v>0</v>
      </c>
      <c r="X384" s="442"/>
      <c r="Y384" s="443"/>
      <c r="Z384" s="444">
        <f t="shared" si="126"/>
        <v>0</v>
      </c>
      <c r="AA384" s="307"/>
      <c r="AB384" s="307"/>
      <c r="AC384" s="445">
        <f t="shared" si="127"/>
        <v>0</v>
      </c>
      <c r="AD384" s="442"/>
      <c r="AE384" s="443"/>
      <c r="AF384" s="444">
        <f t="shared" si="128"/>
        <v>0</v>
      </c>
      <c r="AG384" s="307"/>
      <c r="AH384" s="307"/>
      <c r="AI384" s="445">
        <f t="shared" si="129"/>
        <v>0</v>
      </c>
      <c r="AJ384" s="446">
        <v>47</v>
      </c>
      <c r="AK384" s="443">
        <v>42608</v>
      </c>
      <c r="AL384" s="444">
        <f t="shared" si="130"/>
        <v>2002576</v>
      </c>
      <c r="AM384" s="307">
        <v>46</v>
      </c>
      <c r="AN384" s="307">
        <v>45356</v>
      </c>
      <c r="AO384" s="447">
        <f t="shared" si="131"/>
        <v>2086376</v>
      </c>
      <c r="AP384" s="448"/>
      <c r="AQ384" s="443"/>
      <c r="AR384" s="444">
        <f t="shared" si="132"/>
        <v>0</v>
      </c>
      <c r="AS384" s="307"/>
      <c r="AT384" s="307"/>
      <c r="AU384" s="441">
        <f t="shared" si="133"/>
        <v>0</v>
      </c>
      <c r="AV384" s="442"/>
      <c r="AW384" s="443"/>
      <c r="AX384" s="444">
        <f t="shared" si="134"/>
        <v>0</v>
      </c>
      <c r="AY384" s="307"/>
      <c r="AZ384" s="307"/>
      <c r="BA384" s="445">
        <f t="shared" si="135"/>
        <v>0</v>
      </c>
      <c r="BB384" s="442"/>
      <c r="BC384" s="443"/>
      <c r="BD384" s="444">
        <f t="shared" si="136"/>
        <v>0</v>
      </c>
      <c r="BE384" s="307"/>
      <c r="BF384" s="307"/>
      <c r="BG384" s="445">
        <f t="shared" si="137"/>
        <v>0</v>
      </c>
      <c r="BH384" s="442"/>
      <c r="BI384" s="443"/>
      <c r="BJ384" s="444">
        <f t="shared" si="138"/>
        <v>0</v>
      </c>
      <c r="BK384" s="307"/>
      <c r="BL384" s="307"/>
      <c r="BM384" s="445">
        <f t="shared" si="139"/>
        <v>0</v>
      </c>
      <c r="BN384" s="371"/>
      <c r="BO384" s="372"/>
      <c r="BP384" s="444">
        <f t="shared" si="140"/>
        <v>0</v>
      </c>
      <c r="BQ384" s="307"/>
      <c r="BR384" s="307"/>
      <c r="BS384" s="445">
        <f t="shared" si="141"/>
        <v>0</v>
      </c>
      <c r="BT384" s="371"/>
      <c r="BU384" s="372"/>
      <c r="BV384" s="444">
        <f t="shared" si="142"/>
        <v>0</v>
      </c>
      <c r="BW384" s="307"/>
      <c r="BX384" s="307"/>
      <c r="BY384" s="449">
        <f t="shared" si="143"/>
        <v>0</v>
      </c>
    </row>
    <row r="385" spans="1:77" s="308" customFormat="1" ht="12.75" customHeight="1">
      <c r="A385" s="428" t="s">
        <v>311</v>
      </c>
      <c r="B385" s="339" t="s">
        <v>1033</v>
      </c>
      <c r="C385" s="541" t="s">
        <v>1125</v>
      </c>
      <c r="D385" s="430">
        <v>207236</v>
      </c>
      <c r="E385" s="305">
        <v>10</v>
      </c>
      <c r="F385" s="453"/>
      <c r="G385" s="454"/>
      <c r="H385" s="439">
        <f t="shared" si="120"/>
        <v>0</v>
      </c>
      <c r="I385" s="311"/>
      <c r="J385" s="311"/>
      <c r="K385" s="441">
        <f t="shared" si="121"/>
        <v>0</v>
      </c>
      <c r="L385" s="442"/>
      <c r="M385" s="443"/>
      <c r="N385" s="444">
        <f t="shared" si="122"/>
        <v>0</v>
      </c>
      <c r="O385" s="307"/>
      <c r="P385" s="307"/>
      <c r="Q385" s="445">
        <f t="shared" si="123"/>
        <v>0</v>
      </c>
      <c r="R385" s="442"/>
      <c r="S385" s="443"/>
      <c r="T385" s="444">
        <f t="shared" si="124"/>
        <v>0</v>
      </c>
      <c r="U385" s="307"/>
      <c r="V385" s="307"/>
      <c r="W385" s="441">
        <f t="shared" si="125"/>
        <v>0</v>
      </c>
      <c r="X385" s="442"/>
      <c r="Y385" s="443"/>
      <c r="Z385" s="444">
        <f t="shared" si="126"/>
        <v>0</v>
      </c>
      <c r="AA385" s="307"/>
      <c r="AB385" s="307"/>
      <c r="AC385" s="445">
        <f t="shared" si="127"/>
        <v>0</v>
      </c>
      <c r="AD385" s="442"/>
      <c r="AE385" s="443"/>
      <c r="AF385" s="444">
        <f t="shared" si="128"/>
        <v>0</v>
      </c>
      <c r="AG385" s="307"/>
      <c r="AH385" s="307"/>
      <c r="AI385" s="445">
        <f t="shared" si="129"/>
        <v>0</v>
      </c>
      <c r="AJ385" s="446">
        <v>40</v>
      </c>
      <c r="AK385" s="443">
        <v>40690</v>
      </c>
      <c r="AL385" s="444">
        <f t="shared" si="130"/>
        <v>1627600</v>
      </c>
      <c r="AM385" s="307">
        <v>36</v>
      </c>
      <c r="AN385" s="307">
        <v>40596</v>
      </c>
      <c r="AO385" s="447">
        <f t="shared" si="131"/>
        <v>1461456</v>
      </c>
      <c r="AP385" s="448"/>
      <c r="AQ385" s="443"/>
      <c r="AR385" s="444">
        <f t="shared" si="132"/>
        <v>0</v>
      </c>
      <c r="AS385" s="307"/>
      <c r="AT385" s="307"/>
      <c r="AU385" s="441">
        <f t="shared" si="133"/>
        <v>0</v>
      </c>
      <c r="AV385" s="442"/>
      <c r="AW385" s="443"/>
      <c r="AX385" s="444">
        <f t="shared" si="134"/>
        <v>0</v>
      </c>
      <c r="AY385" s="307"/>
      <c r="AZ385" s="307"/>
      <c r="BA385" s="445">
        <f t="shared" si="135"/>
        <v>0</v>
      </c>
      <c r="BB385" s="442"/>
      <c r="BC385" s="443"/>
      <c r="BD385" s="444">
        <f t="shared" si="136"/>
        <v>0</v>
      </c>
      <c r="BE385" s="307"/>
      <c r="BF385" s="307"/>
      <c r="BG385" s="445">
        <f t="shared" si="137"/>
        <v>0</v>
      </c>
      <c r="BH385" s="442"/>
      <c r="BI385" s="443"/>
      <c r="BJ385" s="444">
        <f t="shared" si="138"/>
        <v>0</v>
      </c>
      <c r="BK385" s="307"/>
      <c r="BL385" s="307"/>
      <c r="BM385" s="445">
        <f t="shared" si="139"/>
        <v>0</v>
      </c>
      <c r="BN385" s="371"/>
      <c r="BO385" s="372"/>
      <c r="BP385" s="444">
        <f t="shared" si="140"/>
        <v>0</v>
      </c>
      <c r="BQ385" s="307"/>
      <c r="BR385" s="307"/>
      <c r="BS385" s="445">
        <f t="shared" si="141"/>
        <v>0</v>
      </c>
      <c r="BT385" s="371">
        <v>9</v>
      </c>
      <c r="BU385" s="372">
        <v>55880</v>
      </c>
      <c r="BV385" s="444">
        <f t="shared" si="142"/>
        <v>411489.14400000003</v>
      </c>
      <c r="BW385" s="307">
        <v>9</v>
      </c>
      <c r="BX385" s="307">
        <v>56013</v>
      </c>
      <c r="BY385" s="449">
        <f t="shared" si="143"/>
        <v>412468.5294</v>
      </c>
    </row>
    <row r="386" spans="1:77" s="308" customFormat="1" ht="12.75" customHeight="1">
      <c r="A386" s="428" t="s">
        <v>311</v>
      </c>
      <c r="B386" s="429" t="s">
        <v>1034</v>
      </c>
      <c r="C386" s="429"/>
      <c r="D386" s="430">
        <v>207290</v>
      </c>
      <c r="E386" s="305">
        <v>10</v>
      </c>
      <c r="F386" s="453"/>
      <c r="G386" s="454"/>
      <c r="H386" s="439">
        <f t="shared" si="120"/>
        <v>0</v>
      </c>
      <c r="I386" s="311"/>
      <c r="J386" s="311"/>
      <c r="K386" s="441">
        <f t="shared" si="121"/>
        <v>0</v>
      </c>
      <c r="L386" s="442"/>
      <c r="M386" s="443"/>
      <c r="N386" s="444">
        <f t="shared" si="122"/>
        <v>0</v>
      </c>
      <c r="O386" s="307"/>
      <c r="P386" s="307"/>
      <c r="Q386" s="445">
        <f t="shared" si="123"/>
        <v>0</v>
      </c>
      <c r="R386" s="442"/>
      <c r="S386" s="443"/>
      <c r="T386" s="444">
        <f t="shared" si="124"/>
        <v>0</v>
      </c>
      <c r="U386" s="307"/>
      <c r="V386" s="307"/>
      <c r="W386" s="441">
        <f t="shared" si="125"/>
        <v>0</v>
      </c>
      <c r="X386" s="442"/>
      <c r="Y386" s="443"/>
      <c r="Z386" s="444">
        <f t="shared" si="126"/>
        <v>0</v>
      </c>
      <c r="AA386" s="307"/>
      <c r="AB386" s="307"/>
      <c r="AC386" s="445">
        <f t="shared" si="127"/>
        <v>0</v>
      </c>
      <c r="AD386" s="442"/>
      <c r="AE386" s="443"/>
      <c r="AF386" s="444">
        <f t="shared" si="128"/>
        <v>0</v>
      </c>
      <c r="AG386" s="307"/>
      <c r="AH386" s="307"/>
      <c r="AI386" s="445">
        <f t="shared" si="129"/>
        <v>0</v>
      </c>
      <c r="AJ386" s="446">
        <v>68</v>
      </c>
      <c r="AK386" s="443">
        <v>41333</v>
      </c>
      <c r="AL386" s="444">
        <f t="shared" si="130"/>
        <v>2810644</v>
      </c>
      <c r="AM386" s="307">
        <v>56</v>
      </c>
      <c r="AN386" s="307">
        <v>40971</v>
      </c>
      <c r="AO386" s="447">
        <f t="shared" si="131"/>
        <v>2294376</v>
      </c>
      <c r="AP386" s="448"/>
      <c r="AQ386" s="443"/>
      <c r="AR386" s="444">
        <f t="shared" si="132"/>
        <v>0</v>
      </c>
      <c r="AS386" s="307"/>
      <c r="AT386" s="307"/>
      <c r="AU386" s="441">
        <f t="shared" si="133"/>
        <v>0</v>
      </c>
      <c r="AV386" s="442"/>
      <c r="AW386" s="443"/>
      <c r="AX386" s="444">
        <f t="shared" si="134"/>
        <v>0</v>
      </c>
      <c r="AY386" s="307"/>
      <c r="AZ386" s="307"/>
      <c r="BA386" s="445">
        <f t="shared" si="135"/>
        <v>0</v>
      </c>
      <c r="BB386" s="442"/>
      <c r="BC386" s="443"/>
      <c r="BD386" s="444">
        <f t="shared" si="136"/>
        <v>0</v>
      </c>
      <c r="BE386" s="307"/>
      <c r="BF386" s="307"/>
      <c r="BG386" s="445">
        <f t="shared" si="137"/>
        <v>0</v>
      </c>
      <c r="BH386" s="442"/>
      <c r="BI386" s="443"/>
      <c r="BJ386" s="444">
        <f t="shared" si="138"/>
        <v>0</v>
      </c>
      <c r="BK386" s="307"/>
      <c r="BL386" s="307"/>
      <c r="BM386" s="445">
        <f t="shared" si="139"/>
        <v>0</v>
      </c>
      <c r="BN386" s="371"/>
      <c r="BO386" s="372"/>
      <c r="BP386" s="444">
        <f t="shared" si="140"/>
        <v>0</v>
      </c>
      <c r="BQ386" s="307"/>
      <c r="BR386" s="307"/>
      <c r="BS386" s="445">
        <f t="shared" si="141"/>
        <v>0</v>
      </c>
      <c r="BT386" s="371">
        <v>5</v>
      </c>
      <c r="BU386" s="372">
        <v>53612</v>
      </c>
      <c r="BV386" s="444">
        <f t="shared" si="142"/>
        <v>219326.69200000001</v>
      </c>
      <c r="BW386" s="307">
        <v>10</v>
      </c>
      <c r="BX386" s="307">
        <v>55776</v>
      </c>
      <c r="BY386" s="449">
        <f t="shared" si="143"/>
        <v>456359.23200000002</v>
      </c>
    </row>
    <row r="387" spans="1:77" s="308" customFormat="1" ht="12.75" customHeight="1">
      <c r="A387" s="428" t="s">
        <v>311</v>
      </c>
      <c r="B387" s="429" t="s">
        <v>1035</v>
      </c>
      <c r="C387" s="429"/>
      <c r="D387" s="430">
        <v>207069</v>
      </c>
      <c r="E387" s="305">
        <v>10</v>
      </c>
      <c r="F387" s="453"/>
      <c r="G387" s="454"/>
      <c r="H387" s="439">
        <f t="shared" si="120"/>
        <v>0</v>
      </c>
      <c r="I387" s="311"/>
      <c r="J387" s="311"/>
      <c r="K387" s="441">
        <f t="shared" si="121"/>
        <v>0</v>
      </c>
      <c r="L387" s="442"/>
      <c r="M387" s="443"/>
      <c r="N387" s="444">
        <f t="shared" si="122"/>
        <v>0</v>
      </c>
      <c r="O387" s="307"/>
      <c r="P387" s="307"/>
      <c r="Q387" s="445">
        <f t="shared" si="123"/>
        <v>0</v>
      </c>
      <c r="R387" s="442"/>
      <c r="S387" s="443"/>
      <c r="T387" s="444">
        <f t="shared" si="124"/>
        <v>0</v>
      </c>
      <c r="U387" s="307"/>
      <c r="V387" s="307"/>
      <c r="W387" s="441">
        <f t="shared" si="125"/>
        <v>0</v>
      </c>
      <c r="X387" s="442"/>
      <c r="Y387" s="443"/>
      <c r="Z387" s="444">
        <f t="shared" si="126"/>
        <v>0</v>
      </c>
      <c r="AA387" s="307"/>
      <c r="AB387" s="307"/>
      <c r="AC387" s="445">
        <f t="shared" si="127"/>
        <v>0</v>
      </c>
      <c r="AD387" s="442"/>
      <c r="AE387" s="443"/>
      <c r="AF387" s="444">
        <f t="shared" si="128"/>
        <v>0</v>
      </c>
      <c r="AG387" s="307"/>
      <c r="AH387" s="307"/>
      <c r="AI387" s="445">
        <f t="shared" si="129"/>
        <v>0</v>
      </c>
      <c r="AJ387" s="446">
        <v>24</v>
      </c>
      <c r="AK387" s="443">
        <v>40341</v>
      </c>
      <c r="AL387" s="444">
        <f t="shared" si="130"/>
        <v>968184</v>
      </c>
      <c r="AM387" s="307">
        <v>23</v>
      </c>
      <c r="AN387" s="307">
        <v>39478</v>
      </c>
      <c r="AO387" s="447">
        <f t="shared" si="131"/>
        <v>907994</v>
      </c>
      <c r="AP387" s="448"/>
      <c r="AQ387" s="443"/>
      <c r="AR387" s="444">
        <f t="shared" si="132"/>
        <v>0</v>
      </c>
      <c r="AS387" s="307"/>
      <c r="AT387" s="307"/>
      <c r="AU387" s="441">
        <f t="shared" si="133"/>
        <v>0</v>
      </c>
      <c r="AV387" s="442"/>
      <c r="AW387" s="443"/>
      <c r="AX387" s="444">
        <f t="shared" si="134"/>
        <v>0</v>
      </c>
      <c r="AY387" s="307"/>
      <c r="AZ387" s="307"/>
      <c r="BA387" s="445">
        <f t="shared" si="135"/>
        <v>0</v>
      </c>
      <c r="BB387" s="442"/>
      <c r="BC387" s="443"/>
      <c r="BD387" s="444">
        <f t="shared" si="136"/>
        <v>0</v>
      </c>
      <c r="BE387" s="307"/>
      <c r="BF387" s="307"/>
      <c r="BG387" s="445">
        <f t="shared" si="137"/>
        <v>0</v>
      </c>
      <c r="BH387" s="442"/>
      <c r="BI387" s="443"/>
      <c r="BJ387" s="444">
        <f t="shared" si="138"/>
        <v>0</v>
      </c>
      <c r="BK387" s="307"/>
      <c r="BL387" s="307"/>
      <c r="BM387" s="445">
        <f t="shared" si="139"/>
        <v>0</v>
      </c>
      <c r="BN387" s="371"/>
      <c r="BO387" s="372"/>
      <c r="BP387" s="444">
        <f t="shared" si="140"/>
        <v>0</v>
      </c>
      <c r="BQ387" s="307"/>
      <c r="BR387" s="307"/>
      <c r="BS387" s="445">
        <f t="shared" si="141"/>
        <v>0</v>
      </c>
      <c r="BT387" s="371">
        <v>6</v>
      </c>
      <c r="BU387" s="372">
        <v>47765</v>
      </c>
      <c r="BV387" s="444">
        <f t="shared" si="142"/>
        <v>234487.93800000002</v>
      </c>
      <c r="BW387" s="307">
        <v>6</v>
      </c>
      <c r="BX387" s="307">
        <v>47299</v>
      </c>
      <c r="BY387" s="449">
        <f t="shared" si="143"/>
        <v>232200.25080000001</v>
      </c>
    </row>
    <row r="388" spans="1:77" s="308" customFormat="1" ht="12.75" customHeight="1">
      <c r="A388" s="428" t="s">
        <v>311</v>
      </c>
      <c r="B388" s="429" t="s">
        <v>1036</v>
      </c>
      <c r="C388" s="429"/>
      <c r="D388" s="430">
        <v>207740</v>
      </c>
      <c r="E388" s="305">
        <v>10</v>
      </c>
      <c r="F388" s="453"/>
      <c r="G388" s="454"/>
      <c r="H388" s="439">
        <f t="shared" si="120"/>
        <v>0</v>
      </c>
      <c r="I388" s="311"/>
      <c r="J388" s="311"/>
      <c r="K388" s="441">
        <f t="shared" si="121"/>
        <v>0</v>
      </c>
      <c r="L388" s="442"/>
      <c r="M388" s="443"/>
      <c r="N388" s="444">
        <f t="shared" si="122"/>
        <v>0</v>
      </c>
      <c r="O388" s="307"/>
      <c r="P388" s="307"/>
      <c r="Q388" s="445">
        <f t="shared" si="123"/>
        <v>0</v>
      </c>
      <c r="R388" s="442"/>
      <c r="S388" s="443"/>
      <c r="T388" s="444">
        <f t="shared" si="124"/>
        <v>0</v>
      </c>
      <c r="U388" s="307"/>
      <c r="V388" s="307"/>
      <c r="W388" s="441">
        <f t="shared" si="125"/>
        <v>0</v>
      </c>
      <c r="X388" s="442"/>
      <c r="Y388" s="443"/>
      <c r="Z388" s="444">
        <f t="shared" si="126"/>
        <v>0</v>
      </c>
      <c r="AA388" s="307"/>
      <c r="AB388" s="307"/>
      <c r="AC388" s="445">
        <f t="shared" si="127"/>
        <v>0</v>
      </c>
      <c r="AD388" s="442"/>
      <c r="AE388" s="443"/>
      <c r="AF388" s="444">
        <f t="shared" si="128"/>
        <v>0</v>
      </c>
      <c r="AG388" s="307"/>
      <c r="AH388" s="307"/>
      <c r="AI388" s="445">
        <f t="shared" si="129"/>
        <v>0</v>
      </c>
      <c r="AJ388" s="446">
        <v>38</v>
      </c>
      <c r="AK388" s="443">
        <v>43403</v>
      </c>
      <c r="AL388" s="444">
        <f t="shared" si="130"/>
        <v>1649314</v>
      </c>
      <c r="AM388" s="307">
        <v>40</v>
      </c>
      <c r="AN388" s="307">
        <v>42515</v>
      </c>
      <c r="AO388" s="447">
        <f t="shared" si="131"/>
        <v>1700600</v>
      </c>
      <c r="AP388" s="448"/>
      <c r="AQ388" s="443"/>
      <c r="AR388" s="444">
        <f t="shared" si="132"/>
        <v>0</v>
      </c>
      <c r="AS388" s="307"/>
      <c r="AT388" s="307"/>
      <c r="AU388" s="441">
        <f t="shared" si="133"/>
        <v>0</v>
      </c>
      <c r="AV388" s="442"/>
      <c r="AW388" s="443"/>
      <c r="AX388" s="444">
        <f t="shared" si="134"/>
        <v>0</v>
      </c>
      <c r="AY388" s="307"/>
      <c r="AZ388" s="307"/>
      <c r="BA388" s="445">
        <f t="shared" si="135"/>
        <v>0</v>
      </c>
      <c r="BB388" s="442"/>
      <c r="BC388" s="443"/>
      <c r="BD388" s="444">
        <f t="shared" si="136"/>
        <v>0</v>
      </c>
      <c r="BE388" s="307"/>
      <c r="BF388" s="307"/>
      <c r="BG388" s="445">
        <f t="shared" si="137"/>
        <v>0</v>
      </c>
      <c r="BH388" s="442"/>
      <c r="BI388" s="443"/>
      <c r="BJ388" s="444">
        <f t="shared" si="138"/>
        <v>0</v>
      </c>
      <c r="BK388" s="307"/>
      <c r="BL388" s="307"/>
      <c r="BM388" s="445">
        <f t="shared" si="139"/>
        <v>0</v>
      </c>
      <c r="BN388" s="371"/>
      <c r="BO388" s="372"/>
      <c r="BP388" s="444">
        <f t="shared" si="140"/>
        <v>0</v>
      </c>
      <c r="BQ388" s="307"/>
      <c r="BR388" s="307"/>
      <c r="BS388" s="445">
        <f t="shared" si="141"/>
        <v>0</v>
      </c>
      <c r="BT388" s="371">
        <v>9</v>
      </c>
      <c r="BU388" s="372">
        <v>40410</v>
      </c>
      <c r="BV388" s="444">
        <f t="shared" si="142"/>
        <v>297571.158</v>
      </c>
      <c r="BW388" s="307">
        <v>7</v>
      </c>
      <c r="BX388" s="307">
        <v>45916</v>
      </c>
      <c r="BY388" s="449">
        <f t="shared" si="143"/>
        <v>262979.29840000003</v>
      </c>
    </row>
    <row r="389" spans="1:77" s="308" customFormat="1" ht="12.75" customHeight="1">
      <c r="A389" s="428" t="s">
        <v>311</v>
      </c>
      <c r="B389" s="429" t="s">
        <v>1037</v>
      </c>
      <c r="C389" s="429"/>
      <c r="D389" s="430">
        <v>208035</v>
      </c>
      <c r="E389" s="305">
        <v>10</v>
      </c>
      <c r="F389" s="453"/>
      <c r="G389" s="454"/>
      <c r="H389" s="439">
        <f t="shared" si="120"/>
        <v>0</v>
      </c>
      <c r="I389" s="311"/>
      <c r="J389" s="311"/>
      <c r="K389" s="441">
        <f t="shared" si="121"/>
        <v>0</v>
      </c>
      <c r="L389" s="442"/>
      <c r="M389" s="443"/>
      <c r="N389" s="444">
        <f t="shared" si="122"/>
        <v>0</v>
      </c>
      <c r="O389" s="307"/>
      <c r="P389" s="307"/>
      <c r="Q389" s="445">
        <f t="shared" si="123"/>
        <v>0</v>
      </c>
      <c r="R389" s="442"/>
      <c r="S389" s="443"/>
      <c r="T389" s="444">
        <f t="shared" si="124"/>
        <v>0</v>
      </c>
      <c r="U389" s="307"/>
      <c r="V389" s="307"/>
      <c r="W389" s="441">
        <f t="shared" si="125"/>
        <v>0</v>
      </c>
      <c r="X389" s="442"/>
      <c r="Y389" s="443"/>
      <c r="Z389" s="444">
        <f t="shared" si="126"/>
        <v>0</v>
      </c>
      <c r="AA389" s="307"/>
      <c r="AB389" s="307"/>
      <c r="AC389" s="445">
        <f t="shared" si="127"/>
        <v>0</v>
      </c>
      <c r="AD389" s="442"/>
      <c r="AE389" s="443"/>
      <c r="AF389" s="444">
        <f t="shared" si="128"/>
        <v>0</v>
      </c>
      <c r="AG389" s="307"/>
      <c r="AH389" s="307"/>
      <c r="AI389" s="445">
        <f t="shared" si="129"/>
        <v>0</v>
      </c>
      <c r="AJ389" s="446">
        <v>37</v>
      </c>
      <c r="AK389" s="443">
        <v>44416</v>
      </c>
      <c r="AL389" s="444">
        <f t="shared" si="130"/>
        <v>1643392</v>
      </c>
      <c r="AM389" s="307">
        <v>37</v>
      </c>
      <c r="AN389" s="307">
        <v>44564</v>
      </c>
      <c r="AO389" s="447">
        <f t="shared" si="131"/>
        <v>1648868</v>
      </c>
      <c r="AP389" s="448"/>
      <c r="AQ389" s="443"/>
      <c r="AR389" s="444">
        <f t="shared" si="132"/>
        <v>0</v>
      </c>
      <c r="AS389" s="307"/>
      <c r="AT389" s="307"/>
      <c r="AU389" s="441">
        <f t="shared" si="133"/>
        <v>0</v>
      </c>
      <c r="AV389" s="442"/>
      <c r="AW389" s="443"/>
      <c r="AX389" s="444">
        <f t="shared" si="134"/>
        <v>0</v>
      </c>
      <c r="AY389" s="307"/>
      <c r="AZ389" s="307"/>
      <c r="BA389" s="445">
        <f t="shared" si="135"/>
        <v>0</v>
      </c>
      <c r="BB389" s="442"/>
      <c r="BC389" s="443"/>
      <c r="BD389" s="444">
        <f t="shared" si="136"/>
        <v>0</v>
      </c>
      <c r="BE389" s="307"/>
      <c r="BF389" s="307"/>
      <c r="BG389" s="445">
        <f t="shared" si="137"/>
        <v>0</v>
      </c>
      <c r="BH389" s="442"/>
      <c r="BI389" s="443"/>
      <c r="BJ389" s="444">
        <f t="shared" si="138"/>
        <v>0</v>
      </c>
      <c r="BK389" s="307"/>
      <c r="BL389" s="307"/>
      <c r="BM389" s="445">
        <f t="shared" si="139"/>
        <v>0</v>
      </c>
      <c r="BN389" s="371"/>
      <c r="BO389" s="372"/>
      <c r="BP389" s="444">
        <f t="shared" si="140"/>
        <v>0</v>
      </c>
      <c r="BQ389" s="307"/>
      <c r="BR389" s="307"/>
      <c r="BS389" s="445">
        <f t="shared" si="141"/>
        <v>0</v>
      </c>
      <c r="BT389" s="371">
        <v>4</v>
      </c>
      <c r="BU389" s="372">
        <v>51696</v>
      </c>
      <c r="BV389" s="444">
        <f t="shared" si="142"/>
        <v>169190.66880000001</v>
      </c>
      <c r="BW389" s="307">
        <v>4</v>
      </c>
      <c r="BX389" s="307">
        <v>53814</v>
      </c>
      <c r="BY389" s="449">
        <f t="shared" si="143"/>
        <v>176122.45920000001</v>
      </c>
    </row>
    <row r="390" spans="1:77" s="308" customFormat="1" ht="12.75" customHeight="1">
      <c r="A390" s="352" t="s">
        <v>311</v>
      </c>
      <c r="B390" s="480" t="s">
        <v>132</v>
      </c>
      <c r="C390" s="480"/>
      <c r="D390" s="353">
        <v>365374</v>
      </c>
      <c r="E390" s="415">
        <v>12</v>
      </c>
      <c r="F390" s="453"/>
      <c r="G390" s="454"/>
      <c r="H390" s="439">
        <f t="shared" si="120"/>
        <v>0</v>
      </c>
      <c r="I390" s="311"/>
      <c r="J390" s="311"/>
      <c r="K390" s="441">
        <f t="shared" si="121"/>
        <v>0</v>
      </c>
      <c r="L390" s="442"/>
      <c r="M390" s="443"/>
      <c r="N390" s="444">
        <f t="shared" si="122"/>
        <v>0</v>
      </c>
      <c r="O390" s="307"/>
      <c r="P390" s="307"/>
      <c r="Q390" s="445">
        <f t="shared" si="123"/>
        <v>0</v>
      </c>
      <c r="R390" s="442"/>
      <c r="S390" s="443"/>
      <c r="T390" s="444">
        <f t="shared" si="124"/>
        <v>0</v>
      </c>
      <c r="U390" s="307"/>
      <c r="V390" s="307"/>
      <c r="W390" s="441">
        <f t="shared" si="125"/>
        <v>0</v>
      </c>
      <c r="X390" s="442"/>
      <c r="Y390" s="443"/>
      <c r="Z390" s="444">
        <f t="shared" si="126"/>
        <v>0</v>
      </c>
      <c r="AA390" s="307"/>
      <c r="AB390" s="307"/>
      <c r="AC390" s="445">
        <f t="shared" si="127"/>
        <v>0</v>
      </c>
      <c r="AD390" s="442"/>
      <c r="AE390" s="443"/>
      <c r="AF390" s="444">
        <f t="shared" si="128"/>
        <v>0</v>
      </c>
      <c r="AG390" s="307"/>
      <c r="AH390" s="307"/>
      <c r="AI390" s="445">
        <f t="shared" si="129"/>
        <v>0</v>
      </c>
      <c r="AJ390" s="446">
        <v>39</v>
      </c>
      <c r="AK390" s="443">
        <v>51351</v>
      </c>
      <c r="AL390" s="444">
        <f t="shared" si="130"/>
        <v>2002689</v>
      </c>
      <c r="AM390" s="307">
        <v>39</v>
      </c>
      <c r="AN390" s="307">
        <v>51344</v>
      </c>
      <c r="AO390" s="447">
        <f t="shared" si="131"/>
        <v>2002416</v>
      </c>
      <c r="AP390" s="448"/>
      <c r="AQ390" s="443"/>
      <c r="AR390" s="444">
        <f t="shared" si="132"/>
        <v>0</v>
      </c>
      <c r="AS390" s="307"/>
      <c r="AT390" s="307"/>
      <c r="AU390" s="441">
        <f t="shared" si="133"/>
        <v>0</v>
      </c>
      <c r="AV390" s="442"/>
      <c r="AW390" s="443"/>
      <c r="AX390" s="444">
        <f t="shared" si="134"/>
        <v>0</v>
      </c>
      <c r="AY390" s="307"/>
      <c r="AZ390" s="307"/>
      <c r="BA390" s="445">
        <f t="shared" si="135"/>
        <v>0</v>
      </c>
      <c r="BB390" s="442"/>
      <c r="BC390" s="443"/>
      <c r="BD390" s="444">
        <f t="shared" si="136"/>
        <v>0</v>
      </c>
      <c r="BE390" s="307"/>
      <c r="BF390" s="307"/>
      <c r="BG390" s="445">
        <f t="shared" si="137"/>
        <v>0</v>
      </c>
      <c r="BH390" s="442"/>
      <c r="BI390" s="443"/>
      <c r="BJ390" s="444">
        <f t="shared" si="138"/>
        <v>0</v>
      </c>
      <c r="BK390" s="307"/>
      <c r="BL390" s="307"/>
      <c r="BM390" s="445">
        <f t="shared" si="139"/>
        <v>0</v>
      </c>
      <c r="BN390" s="442"/>
      <c r="BO390" s="443"/>
      <c r="BP390" s="444">
        <f t="shared" si="140"/>
        <v>0</v>
      </c>
      <c r="BQ390" s="307"/>
      <c r="BR390" s="307"/>
      <c r="BS390" s="445">
        <f t="shared" si="141"/>
        <v>0</v>
      </c>
      <c r="BT390" s="442">
        <v>14</v>
      </c>
      <c r="BU390" s="443">
        <v>61319</v>
      </c>
      <c r="BV390" s="444">
        <f t="shared" si="142"/>
        <v>702396.88120000006</v>
      </c>
      <c r="BW390" s="307">
        <v>15</v>
      </c>
      <c r="BX390" s="307">
        <v>63029</v>
      </c>
      <c r="BY390" s="449">
        <f t="shared" si="143"/>
        <v>773554.91700000002</v>
      </c>
    </row>
    <row r="391" spans="1:77" s="308" customFormat="1" ht="12.75" customHeight="1">
      <c r="A391" s="352" t="s">
        <v>311</v>
      </c>
      <c r="B391" s="354" t="s">
        <v>685</v>
      </c>
      <c r="C391" s="354"/>
      <c r="D391" s="353">
        <v>245999</v>
      </c>
      <c r="E391" s="415">
        <v>12</v>
      </c>
      <c r="F391" s="453"/>
      <c r="G391" s="454"/>
      <c r="H391" s="439">
        <f t="shared" si="120"/>
        <v>0</v>
      </c>
      <c r="I391" s="311"/>
      <c r="J391" s="311"/>
      <c r="K391" s="441">
        <f t="shared" si="121"/>
        <v>0</v>
      </c>
      <c r="L391" s="442"/>
      <c r="M391" s="443"/>
      <c r="N391" s="444">
        <f t="shared" si="122"/>
        <v>0</v>
      </c>
      <c r="O391" s="307"/>
      <c r="P391" s="307"/>
      <c r="Q391" s="445">
        <f t="shared" si="123"/>
        <v>0</v>
      </c>
      <c r="R391" s="442"/>
      <c r="S391" s="443"/>
      <c r="T391" s="444">
        <f t="shared" si="124"/>
        <v>0</v>
      </c>
      <c r="U391" s="307"/>
      <c r="V391" s="307"/>
      <c r="W391" s="441">
        <f t="shared" si="125"/>
        <v>0</v>
      </c>
      <c r="X391" s="442"/>
      <c r="Y391" s="443"/>
      <c r="Z391" s="444">
        <f t="shared" si="126"/>
        <v>0</v>
      </c>
      <c r="AA391" s="307"/>
      <c r="AB391" s="307"/>
      <c r="AC391" s="445">
        <f t="shared" si="127"/>
        <v>0</v>
      </c>
      <c r="AD391" s="442"/>
      <c r="AE391" s="443"/>
      <c r="AF391" s="444">
        <f t="shared" si="128"/>
        <v>0</v>
      </c>
      <c r="AG391" s="307"/>
      <c r="AH391" s="307"/>
      <c r="AI391" s="445">
        <f t="shared" si="129"/>
        <v>0</v>
      </c>
      <c r="AJ391" s="446">
        <v>75</v>
      </c>
      <c r="AK391" s="443">
        <v>58061</v>
      </c>
      <c r="AL391" s="444">
        <f t="shared" si="130"/>
        <v>4354575</v>
      </c>
      <c r="AM391" s="307">
        <v>76</v>
      </c>
      <c r="AN391" s="307">
        <v>59866</v>
      </c>
      <c r="AO391" s="447">
        <f t="shared" si="131"/>
        <v>4549816</v>
      </c>
      <c r="AP391" s="448"/>
      <c r="AQ391" s="443"/>
      <c r="AR391" s="444">
        <f t="shared" si="132"/>
        <v>0</v>
      </c>
      <c r="AS391" s="307"/>
      <c r="AT391" s="307"/>
      <c r="AU391" s="441">
        <f t="shared" si="133"/>
        <v>0</v>
      </c>
      <c r="AV391" s="442"/>
      <c r="AW391" s="443"/>
      <c r="AX391" s="444">
        <f t="shared" si="134"/>
        <v>0</v>
      </c>
      <c r="AY391" s="307"/>
      <c r="AZ391" s="307"/>
      <c r="BA391" s="445">
        <f t="shared" si="135"/>
        <v>0</v>
      </c>
      <c r="BB391" s="442"/>
      <c r="BC391" s="443"/>
      <c r="BD391" s="444">
        <f t="shared" si="136"/>
        <v>0</v>
      </c>
      <c r="BE391" s="307"/>
      <c r="BF391" s="307"/>
      <c r="BG391" s="445">
        <f t="shared" si="137"/>
        <v>0</v>
      </c>
      <c r="BH391" s="442"/>
      <c r="BI391" s="443"/>
      <c r="BJ391" s="444">
        <f t="shared" si="138"/>
        <v>0</v>
      </c>
      <c r="BK391" s="307"/>
      <c r="BL391" s="307"/>
      <c r="BM391" s="445">
        <f t="shared" si="139"/>
        <v>0</v>
      </c>
      <c r="BN391" s="442"/>
      <c r="BO391" s="443"/>
      <c r="BP391" s="444">
        <f t="shared" si="140"/>
        <v>0</v>
      </c>
      <c r="BQ391" s="307"/>
      <c r="BR391" s="307"/>
      <c r="BS391" s="445">
        <f t="shared" si="141"/>
        <v>0</v>
      </c>
      <c r="BT391" s="442">
        <v>21</v>
      </c>
      <c r="BU391" s="443">
        <v>65490</v>
      </c>
      <c r="BV391" s="444">
        <f t="shared" si="142"/>
        <v>1125262.2780000002</v>
      </c>
      <c r="BW391" s="307">
        <v>22</v>
      </c>
      <c r="BX391" s="307">
        <v>67732</v>
      </c>
      <c r="BY391" s="449">
        <f t="shared" si="143"/>
        <v>1219203.0928</v>
      </c>
    </row>
    <row r="392" spans="1:77" s="308" customFormat="1" ht="12.75" customHeight="1">
      <c r="A392" s="352" t="s">
        <v>311</v>
      </c>
      <c r="B392" s="409" t="s">
        <v>686</v>
      </c>
      <c r="C392" s="514" t="s">
        <v>1126</v>
      </c>
      <c r="D392" s="353">
        <v>364548</v>
      </c>
      <c r="E392" s="415">
        <v>12</v>
      </c>
      <c r="F392" s="453"/>
      <c r="G392" s="454"/>
      <c r="H392" s="439">
        <f t="shared" si="120"/>
        <v>0</v>
      </c>
      <c r="I392" s="311"/>
      <c r="J392" s="311"/>
      <c r="K392" s="441">
        <f t="shared" si="121"/>
        <v>0</v>
      </c>
      <c r="L392" s="442"/>
      <c r="M392" s="443"/>
      <c r="N392" s="444">
        <f t="shared" si="122"/>
        <v>0</v>
      </c>
      <c r="O392" s="307"/>
      <c r="P392" s="307"/>
      <c r="Q392" s="445">
        <f t="shared" si="123"/>
        <v>0</v>
      </c>
      <c r="R392" s="442"/>
      <c r="S392" s="443"/>
      <c r="T392" s="444">
        <f t="shared" si="124"/>
        <v>0</v>
      </c>
      <c r="U392" s="307"/>
      <c r="V392" s="307"/>
      <c r="W392" s="441">
        <f t="shared" si="125"/>
        <v>0</v>
      </c>
      <c r="X392" s="442"/>
      <c r="Y392" s="443"/>
      <c r="Z392" s="444">
        <f t="shared" si="126"/>
        <v>0</v>
      </c>
      <c r="AA392" s="307"/>
      <c r="AB392" s="307"/>
      <c r="AC392" s="445">
        <f t="shared" si="127"/>
        <v>0</v>
      </c>
      <c r="AD392" s="442"/>
      <c r="AE392" s="443"/>
      <c r="AF392" s="444">
        <f t="shared" si="128"/>
        <v>0</v>
      </c>
      <c r="AG392" s="307"/>
      <c r="AH392" s="307"/>
      <c r="AI392" s="445">
        <f t="shared" si="129"/>
        <v>0</v>
      </c>
      <c r="AJ392" s="446">
        <v>32</v>
      </c>
      <c r="AK392" s="443">
        <v>46679</v>
      </c>
      <c r="AL392" s="444">
        <f t="shared" si="130"/>
        <v>1493728</v>
      </c>
      <c r="AM392" s="307">
        <v>31</v>
      </c>
      <c r="AN392" s="307">
        <v>45866</v>
      </c>
      <c r="AO392" s="447">
        <f t="shared" si="131"/>
        <v>1421846</v>
      </c>
      <c r="AP392" s="448"/>
      <c r="AQ392" s="443"/>
      <c r="AR392" s="444">
        <f t="shared" si="132"/>
        <v>0</v>
      </c>
      <c r="AS392" s="307"/>
      <c r="AT392" s="307"/>
      <c r="AU392" s="441">
        <f t="shared" si="133"/>
        <v>0</v>
      </c>
      <c r="AV392" s="442"/>
      <c r="AW392" s="443"/>
      <c r="AX392" s="444">
        <f t="shared" si="134"/>
        <v>0</v>
      </c>
      <c r="AY392" s="307"/>
      <c r="AZ392" s="307"/>
      <c r="BA392" s="445">
        <f t="shared" si="135"/>
        <v>0</v>
      </c>
      <c r="BB392" s="442"/>
      <c r="BC392" s="443"/>
      <c r="BD392" s="444">
        <f t="shared" si="136"/>
        <v>0</v>
      </c>
      <c r="BE392" s="307"/>
      <c r="BF392" s="307"/>
      <c r="BG392" s="445">
        <f t="shared" si="137"/>
        <v>0</v>
      </c>
      <c r="BH392" s="442"/>
      <c r="BI392" s="443"/>
      <c r="BJ392" s="444">
        <f t="shared" si="138"/>
        <v>0</v>
      </c>
      <c r="BK392" s="307"/>
      <c r="BL392" s="307"/>
      <c r="BM392" s="445">
        <f t="shared" si="139"/>
        <v>0</v>
      </c>
      <c r="BN392" s="442"/>
      <c r="BO392" s="443"/>
      <c r="BP392" s="444">
        <f t="shared" si="140"/>
        <v>0</v>
      </c>
      <c r="BQ392" s="307"/>
      <c r="BR392" s="307"/>
      <c r="BS392" s="445">
        <f t="shared" si="141"/>
        <v>0</v>
      </c>
      <c r="BT392" s="442">
        <v>21</v>
      </c>
      <c r="BU392" s="443">
        <v>52150</v>
      </c>
      <c r="BV392" s="444">
        <f t="shared" si="142"/>
        <v>896051.7300000001</v>
      </c>
      <c r="BW392" s="307">
        <v>23</v>
      </c>
      <c r="BX392" s="307">
        <v>51583</v>
      </c>
      <c r="BY392" s="449">
        <f t="shared" si="143"/>
        <v>970719.84380000003</v>
      </c>
    </row>
    <row r="393" spans="1:77" s="308" customFormat="1" ht="12.75" customHeight="1">
      <c r="A393" s="352" t="s">
        <v>311</v>
      </c>
      <c r="B393" s="354" t="s">
        <v>687</v>
      </c>
      <c r="C393" s="354"/>
      <c r="D393" s="353">
        <v>363165</v>
      </c>
      <c r="E393" s="415">
        <v>12</v>
      </c>
      <c r="F393" s="453"/>
      <c r="G393" s="454"/>
      <c r="H393" s="439">
        <f t="shared" ref="H393:H456" si="144">F393*G393</f>
        <v>0</v>
      </c>
      <c r="I393" s="311"/>
      <c r="J393" s="311"/>
      <c r="K393" s="441">
        <f t="shared" ref="K393:K456" si="145">I393*J393</f>
        <v>0</v>
      </c>
      <c r="L393" s="442"/>
      <c r="M393" s="443"/>
      <c r="N393" s="444">
        <f t="shared" ref="N393:N456" si="146">L393*M393</f>
        <v>0</v>
      </c>
      <c r="O393" s="307"/>
      <c r="P393" s="307"/>
      <c r="Q393" s="445">
        <f t="shared" ref="Q393:Q456" si="147">O393*P393</f>
        <v>0</v>
      </c>
      <c r="R393" s="442"/>
      <c r="S393" s="443"/>
      <c r="T393" s="444">
        <f t="shared" ref="T393:T456" si="148">R393*S393</f>
        <v>0</v>
      </c>
      <c r="U393" s="307"/>
      <c r="V393" s="307"/>
      <c r="W393" s="441">
        <f t="shared" ref="W393:W456" si="149">U393*V393</f>
        <v>0</v>
      </c>
      <c r="X393" s="442"/>
      <c r="Y393" s="443"/>
      <c r="Z393" s="444">
        <f t="shared" ref="Z393:Z456" si="150">X393*Y393</f>
        <v>0</v>
      </c>
      <c r="AA393" s="307"/>
      <c r="AB393" s="307"/>
      <c r="AC393" s="445">
        <f t="shared" ref="AC393:AC456" si="151">AA393*AB393</f>
        <v>0</v>
      </c>
      <c r="AD393" s="442"/>
      <c r="AE393" s="443"/>
      <c r="AF393" s="444">
        <f t="shared" ref="AF393:AF456" si="152">AD393*AE393</f>
        <v>0</v>
      </c>
      <c r="AG393" s="307"/>
      <c r="AH393" s="307"/>
      <c r="AI393" s="445">
        <f t="shared" ref="AI393:AI456" si="153">AG393*AH393</f>
        <v>0</v>
      </c>
      <c r="AJ393" s="446">
        <v>34</v>
      </c>
      <c r="AK393" s="443">
        <v>51016</v>
      </c>
      <c r="AL393" s="444">
        <f t="shared" ref="AL393:AL456" si="154">AJ393*AK393</f>
        <v>1734544</v>
      </c>
      <c r="AM393" s="307">
        <v>32</v>
      </c>
      <c r="AN393" s="307">
        <v>50085</v>
      </c>
      <c r="AO393" s="447">
        <f t="shared" ref="AO393:AO456" si="155">AM393*AN393</f>
        <v>1602720</v>
      </c>
      <c r="AP393" s="448"/>
      <c r="AQ393" s="443"/>
      <c r="AR393" s="444">
        <f t="shared" ref="AR393:AR456" si="156">(AP393*AQ393)*0.8182</f>
        <v>0</v>
      </c>
      <c r="AS393" s="307"/>
      <c r="AT393" s="307"/>
      <c r="AU393" s="441">
        <f t="shared" ref="AU393:AU456" si="157">(AS393*AT393)*0.8182</f>
        <v>0</v>
      </c>
      <c r="AV393" s="442"/>
      <c r="AW393" s="443"/>
      <c r="AX393" s="444">
        <f t="shared" ref="AX393:AX456" si="158">(AV393*AW393)*0.8182</f>
        <v>0</v>
      </c>
      <c r="AY393" s="307"/>
      <c r="AZ393" s="307"/>
      <c r="BA393" s="445">
        <f t="shared" ref="BA393:BA456" si="159">(AY393*AZ393)*0.8182</f>
        <v>0</v>
      </c>
      <c r="BB393" s="442"/>
      <c r="BC393" s="443"/>
      <c r="BD393" s="444">
        <f t="shared" ref="BD393:BD456" si="160">(BB393*BC393)*0.8182</f>
        <v>0</v>
      </c>
      <c r="BE393" s="307"/>
      <c r="BF393" s="307"/>
      <c r="BG393" s="445">
        <f t="shared" ref="BG393:BG456" si="161">(BE393*BF393)*0.8182</f>
        <v>0</v>
      </c>
      <c r="BH393" s="442"/>
      <c r="BI393" s="443"/>
      <c r="BJ393" s="444">
        <f t="shared" ref="BJ393:BJ456" si="162">(BH393*BI393)*0.8182</f>
        <v>0</v>
      </c>
      <c r="BK393" s="307"/>
      <c r="BL393" s="307"/>
      <c r="BM393" s="445">
        <f t="shared" ref="BM393:BM456" si="163">(BK393*BL393)*0.8182</f>
        <v>0</v>
      </c>
      <c r="BN393" s="442"/>
      <c r="BO393" s="443"/>
      <c r="BP393" s="444">
        <f t="shared" ref="BP393:BP456" si="164">(BN393*BO393)*0.8182</f>
        <v>0</v>
      </c>
      <c r="BQ393" s="307"/>
      <c r="BR393" s="307"/>
      <c r="BS393" s="445">
        <f t="shared" ref="BS393:BS456" si="165">(BQ393*BR393)*0.8182</f>
        <v>0</v>
      </c>
      <c r="BT393" s="442">
        <v>30</v>
      </c>
      <c r="BU393" s="443">
        <v>55790</v>
      </c>
      <c r="BV393" s="444">
        <f t="shared" ref="BV393:BV456" si="166">(BT393*BU393)*0.8182</f>
        <v>1369421.34</v>
      </c>
      <c r="BW393" s="307">
        <v>34</v>
      </c>
      <c r="BX393" s="307">
        <v>55525</v>
      </c>
      <c r="BY393" s="449">
        <f t="shared" ref="BY393:BY456" si="167">(BW393*BX393)*0.8182</f>
        <v>1544638.87</v>
      </c>
    </row>
    <row r="394" spans="1:77" s="308" customFormat="1" ht="12.75" customHeight="1">
      <c r="A394" s="352" t="s">
        <v>311</v>
      </c>
      <c r="B394" s="355" t="s">
        <v>688</v>
      </c>
      <c r="C394" s="542" t="s">
        <v>1126</v>
      </c>
      <c r="D394" s="356">
        <v>261393</v>
      </c>
      <c r="E394" s="415">
        <v>12</v>
      </c>
      <c r="F394" s="453"/>
      <c r="G394" s="454"/>
      <c r="H394" s="439">
        <f t="shared" si="144"/>
        <v>0</v>
      </c>
      <c r="I394" s="311"/>
      <c r="J394" s="311"/>
      <c r="K394" s="441">
        <f t="shared" si="145"/>
        <v>0</v>
      </c>
      <c r="L394" s="442"/>
      <c r="M394" s="443"/>
      <c r="N394" s="444">
        <f t="shared" si="146"/>
        <v>0</v>
      </c>
      <c r="O394" s="307"/>
      <c r="P394" s="307"/>
      <c r="Q394" s="445">
        <f t="shared" si="147"/>
        <v>0</v>
      </c>
      <c r="R394" s="442"/>
      <c r="S394" s="443"/>
      <c r="T394" s="444">
        <f t="shared" si="148"/>
        <v>0</v>
      </c>
      <c r="U394" s="307"/>
      <c r="V394" s="307"/>
      <c r="W394" s="441">
        <f t="shared" si="149"/>
        <v>0</v>
      </c>
      <c r="X394" s="442"/>
      <c r="Y394" s="443"/>
      <c r="Z394" s="444">
        <f t="shared" si="150"/>
        <v>0</v>
      </c>
      <c r="AA394" s="307"/>
      <c r="AB394" s="307"/>
      <c r="AC394" s="445">
        <f t="shared" si="151"/>
        <v>0</v>
      </c>
      <c r="AD394" s="442"/>
      <c r="AE394" s="443"/>
      <c r="AF394" s="444">
        <f t="shared" si="152"/>
        <v>0</v>
      </c>
      <c r="AG394" s="307"/>
      <c r="AH394" s="307"/>
      <c r="AI394" s="445">
        <f t="shared" si="153"/>
        <v>0</v>
      </c>
      <c r="AJ394" s="446"/>
      <c r="AK394" s="443"/>
      <c r="AL394" s="444">
        <f t="shared" si="154"/>
        <v>0</v>
      </c>
      <c r="AM394" s="307"/>
      <c r="AN394" s="307"/>
      <c r="AO394" s="447">
        <f t="shared" si="155"/>
        <v>0</v>
      </c>
      <c r="AP394" s="448"/>
      <c r="AQ394" s="443"/>
      <c r="AR394" s="444">
        <f t="shared" si="156"/>
        <v>0</v>
      </c>
      <c r="AS394" s="307"/>
      <c r="AT394" s="307"/>
      <c r="AU394" s="441">
        <f t="shared" si="157"/>
        <v>0</v>
      </c>
      <c r="AV394" s="442"/>
      <c r="AW394" s="443"/>
      <c r="AX394" s="444">
        <f t="shared" si="158"/>
        <v>0</v>
      </c>
      <c r="AY394" s="307"/>
      <c r="AZ394" s="307"/>
      <c r="BA394" s="445">
        <f t="shared" si="159"/>
        <v>0</v>
      </c>
      <c r="BB394" s="442"/>
      <c r="BC394" s="443"/>
      <c r="BD394" s="444">
        <f t="shared" si="160"/>
        <v>0</v>
      </c>
      <c r="BE394" s="307"/>
      <c r="BF394" s="307"/>
      <c r="BG394" s="445">
        <f t="shared" si="161"/>
        <v>0</v>
      </c>
      <c r="BH394" s="442"/>
      <c r="BI394" s="443"/>
      <c r="BJ394" s="444">
        <f t="shared" si="162"/>
        <v>0</v>
      </c>
      <c r="BK394" s="307"/>
      <c r="BL394" s="307"/>
      <c r="BM394" s="445">
        <f t="shared" si="163"/>
        <v>0</v>
      </c>
      <c r="BN394" s="442"/>
      <c r="BO394" s="443"/>
      <c r="BP394" s="444">
        <f t="shared" si="164"/>
        <v>0</v>
      </c>
      <c r="BQ394" s="307"/>
      <c r="BR394" s="307"/>
      <c r="BS394" s="445">
        <f t="shared" si="165"/>
        <v>0</v>
      </c>
      <c r="BT394" s="442">
        <v>36</v>
      </c>
      <c r="BU394" s="443">
        <v>55420</v>
      </c>
      <c r="BV394" s="444">
        <f t="shared" si="166"/>
        <v>1632407.1840000001</v>
      </c>
      <c r="BW394" s="307">
        <v>37</v>
      </c>
      <c r="BX394" s="307">
        <v>55364</v>
      </c>
      <c r="BY394" s="449">
        <f t="shared" si="167"/>
        <v>1676056.5176000001</v>
      </c>
    </row>
    <row r="395" spans="1:77" s="308" customFormat="1" ht="12.75" customHeight="1">
      <c r="A395" s="352" t="s">
        <v>311</v>
      </c>
      <c r="B395" s="354" t="s">
        <v>689</v>
      </c>
      <c r="C395" s="354"/>
      <c r="D395" s="353">
        <v>365213</v>
      </c>
      <c r="E395" s="415">
        <v>13</v>
      </c>
      <c r="F395" s="453"/>
      <c r="G395" s="454"/>
      <c r="H395" s="439">
        <f t="shared" si="144"/>
        <v>0</v>
      </c>
      <c r="I395" s="311"/>
      <c r="J395" s="311"/>
      <c r="K395" s="441">
        <f t="shared" si="145"/>
        <v>0</v>
      </c>
      <c r="L395" s="442"/>
      <c r="M395" s="443"/>
      <c r="N395" s="444">
        <f t="shared" si="146"/>
        <v>0</v>
      </c>
      <c r="O395" s="307"/>
      <c r="P395" s="307"/>
      <c r="Q395" s="445">
        <f t="shared" si="147"/>
        <v>0</v>
      </c>
      <c r="R395" s="442"/>
      <c r="S395" s="443"/>
      <c r="T395" s="444">
        <f t="shared" si="148"/>
        <v>0</v>
      </c>
      <c r="U395" s="307"/>
      <c r="V395" s="307"/>
      <c r="W395" s="441">
        <f t="shared" si="149"/>
        <v>0</v>
      </c>
      <c r="X395" s="442"/>
      <c r="Y395" s="443"/>
      <c r="Z395" s="444">
        <f t="shared" si="150"/>
        <v>0</v>
      </c>
      <c r="AA395" s="307"/>
      <c r="AB395" s="307"/>
      <c r="AC395" s="445">
        <f t="shared" si="151"/>
        <v>0</v>
      </c>
      <c r="AD395" s="442"/>
      <c r="AE395" s="443"/>
      <c r="AF395" s="444">
        <f t="shared" si="152"/>
        <v>0</v>
      </c>
      <c r="AG395" s="307"/>
      <c r="AH395" s="307"/>
      <c r="AI395" s="445">
        <f t="shared" si="153"/>
        <v>0</v>
      </c>
      <c r="AJ395" s="446">
        <v>15</v>
      </c>
      <c r="AK395" s="443">
        <v>51080</v>
      </c>
      <c r="AL395" s="444">
        <f t="shared" si="154"/>
        <v>766200</v>
      </c>
      <c r="AM395" s="307">
        <v>18</v>
      </c>
      <c r="AN395" s="307">
        <v>49369</v>
      </c>
      <c r="AO395" s="447">
        <f t="shared" si="155"/>
        <v>888642</v>
      </c>
      <c r="AP395" s="448"/>
      <c r="AQ395" s="443"/>
      <c r="AR395" s="444">
        <f t="shared" si="156"/>
        <v>0</v>
      </c>
      <c r="AS395" s="307"/>
      <c r="AT395" s="307"/>
      <c r="AU395" s="441">
        <f t="shared" si="157"/>
        <v>0</v>
      </c>
      <c r="AV395" s="442"/>
      <c r="AW395" s="443"/>
      <c r="AX395" s="444">
        <f t="shared" si="158"/>
        <v>0</v>
      </c>
      <c r="AY395" s="307"/>
      <c r="AZ395" s="307"/>
      <c r="BA395" s="445">
        <f t="shared" si="159"/>
        <v>0</v>
      </c>
      <c r="BB395" s="442"/>
      <c r="BC395" s="443"/>
      <c r="BD395" s="444">
        <f t="shared" si="160"/>
        <v>0</v>
      </c>
      <c r="BE395" s="307"/>
      <c r="BF395" s="307"/>
      <c r="BG395" s="445">
        <f t="shared" si="161"/>
        <v>0</v>
      </c>
      <c r="BH395" s="442"/>
      <c r="BI395" s="443"/>
      <c r="BJ395" s="444">
        <f t="shared" si="162"/>
        <v>0</v>
      </c>
      <c r="BK395" s="307"/>
      <c r="BL395" s="307"/>
      <c r="BM395" s="445">
        <f t="shared" si="163"/>
        <v>0</v>
      </c>
      <c r="BN395" s="442"/>
      <c r="BO395" s="443"/>
      <c r="BP395" s="444">
        <f t="shared" si="164"/>
        <v>0</v>
      </c>
      <c r="BQ395" s="307"/>
      <c r="BR395" s="307"/>
      <c r="BS395" s="445">
        <f t="shared" si="165"/>
        <v>0</v>
      </c>
      <c r="BT395" s="442">
        <v>14</v>
      </c>
      <c r="BU395" s="443">
        <v>62261</v>
      </c>
      <c r="BV395" s="444">
        <f t="shared" si="166"/>
        <v>713187.30280000006</v>
      </c>
      <c r="BW395" s="307">
        <v>13</v>
      </c>
      <c r="BX395" s="307">
        <v>62054</v>
      </c>
      <c r="BY395" s="449">
        <f t="shared" si="167"/>
        <v>660043.57640000002</v>
      </c>
    </row>
    <row r="396" spans="1:77" s="308" customFormat="1" ht="12.75" customHeight="1">
      <c r="A396" s="352" t="s">
        <v>311</v>
      </c>
      <c r="B396" s="354" t="s">
        <v>690</v>
      </c>
      <c r="C396" s="354"/>
      <c r="D396" s="353">
        <v>364946</v>
      </c>
      <c r="E396" s="415">
        <v>13</v>
      </c>
      <c r="F396" s="453"/>
      <c r="G396" s="454"/>
      <c r="H396" s="439">
        <f t="shared" si="144"/>
        <v>0</v>
      </c>
      <c r="I396" s="311"/>
      <c r="J396" s="311"/>
      <c r="K396" s="441">
        <f t="shared" si="145"/>
        <v>0</v>
      </c>
      <c r="L396" s="442"/>
      <c r="M396" s="443"/>
      <c r="N396" s="444">
        <f t="shared" si="146"/>
        <v>0</v>
      </c>
      <c r="O396" s="307"/>
      <c r="P396" s="307"/>
      <c r="Q396" s="445">
        <f t="shared" si="147"/>
        <v>0</v>
      </c>
      <c r="R396" s="442"/>
      <c r="S396" s="443"/>
      <c r="T396" s="444">
        <f t="shared" si="148"/>
        <v>0</v>
      </c>
      <c r="U396" s="307"/>
      <c r="V396" s="307"/>
      <c r="W396" s="441">
        <f t="shared" si="149"/>
        <v>0</v>
      </c>
      <c r="X396" s="442"/>
      <c r="Y396" s="443"/>
      <c r="Z396" s="444">
        <f t="shared" si="150"/>
        <v>0</v>
      </c>
      <c r="AA396" s="307"/>
      <c r="AB396" s="307"/>
      <c r="AC396" s="445">
        <f t="shared" si="151"/>
        <v>0</v>
      </c>
      <c r="AD396" s="442"/>
      <c r="AE396" s="443"/>
      <c r="AF396" s="444">
        <f t="shared" si="152"/>
        <v>0</v>
      </c>
      <c r="AG396" s="307"/>
      <c r="AH396" s="307"/>
      <c r="AI396" s="445">
        <f t="shared" si="153"/>
        <v>0</v>
      </c>
      <c r="AJ396" s="446">
        <v>21</v>
      </c>
      <c r="AK396" s="443">
        <v>46060</v>
      </c>
      <c r="AL396" s="444">
        <f t="shared" si="154"/>
        <v>967260</v>
      </c>
      <c r="AM396" s="307">
        <v>22</v>
      </c>
      <c r="AN396" s="307">
        <v>47201</v>
      </c>
      <c r="AO396" s="447">
        <f t="shared" si="155"/>
        <v>1038422</v>
      </c>
      <c r="AP396" s="448"/>
      <c r="AQ396" s="443"/>
      <c r="AR396" s="444">
        <f t="shared" si="156"/>
        <v>0</v>
      </c>
      <c r="AS396" s="307"/>
      <c r="AT396" s="307"/>
      <c r="AU396" s="441">
        <f t="shared" si="157"/>
        <v>0</v>
      </c>
      <c r="AV396" s="442"/>
      <c r="AW396" s="443"/>
      <c r="AX396" s="444">
        <f t="shared" si="158"/>
        <v>0</v>
      </c>
      <c r="AY396" s="307"/>
      <c r="AZ396" s="307"/>
      <c r="BA396" s="445">
        <f t="shared" si="159"/>
        <v>0</v>
      </c>
      <c r="BB396" s="442"/>
      <c r="BC396" s="443"/>
      <c r="BD396" s="444">
        <f t="shared" si="160"/>
        <v>0</v>
      </c>
      <c r="BE396" s="307"/>
      <c r="BF396" s="307"/>
      <c r="BG396" s="445">
        <f t="shared" si="161"/>
        <v>0</v>
      </c>
      <c r="BH396" s="442"/>
      <c r="BI396" s="443"/>
      <c r="BJ396" s="444">
        <f t="shared" si="162"/>
        <v>0</v>
      </c>
      <c r="BK396" s="307"/>
      <c r="BL396" s="307"/>
      <c r="BM396" s="445">
        <f t="shared" si="163"/>
        <v>0</v>
      </c>
      <c r="BN396" s="442"/>
      <c r="BO396" s="443"/>
      <c r="BP396" s="444">
        <f t="shared" si="164"/>
        <v>0</v>
      </c>
      <c r="BQ396" s="307"/>
      <c r="BR396" s="307"/>
      <c r="BS396" s="445">
        <f t="shared" si="165"/>
        <v>0</v>
      </c>
      <c r="BT396" s="442">
        <v>13</v>
      </c>
      <c r="BU396" s="443">
        <v>52363</v>
      </c>
      <c r="BV396" s="444">
        <f t="shared" si="166"/>
        <v>556964.28580000007</v>
      </c>
      <c r="BW396" s="307">
        <v>12</v>
      </c>
      <c r="BX396" s="307">
        <v>52061</v>
      </c>
      <c r="BY396" s="449">
        <f t="shared" si="167"/>
        <v>511155.72240000003</v>
      </c>
    </row>
    <row r="397" spans="1:77" s="308" customFormat="1" ht="12.75" customHeight="1">
      <c r="A397" s="352" t="s">
        <v>311</v>
      </c>
      <c r="B397" s="354" t="s">
        <v>691</v>
      </c>
      <c r="C397" s="354"/>
      <c r="D397" s="353">
        <v>246017</v>
      </c>
      <c r="E397" s="415">
        <v>13</v>
      </c>
      <c r="F397" s="453"/>
      <c r="G397" s="454"/>
      <c r="H397" s="439">
        <f t="shared" si="144"/>
        <v>0</v>
      </c>
      <c r="I397" s="311"/>
      <c r="J397" s="311"/>
      <c r="K397" s="441">
        <f t="shared" si="145"/>
        <v>0</v>
      </c>
      <c r="L397" s="442"/>
      <c r="M397" s="443"/>
      <c r="N397" s="444">
        <f t="shared" si="146"/>
        <v>0</v>
      </c>
      <c r="O397" s="307"/>
      <c r="P397" s="307"/>
      <c r="Q397" s="445">
        <f t="shared" si="147"/>
        <v>0</v>
      </c>
      <c r="R397" s="442"/>
      <c r="S397" s="443"/>
      <c r="T397" s="444">
        <f t="shared" si="148"/>
        <v>0</v>
      </c>
      <c r="U397" s="307"/>
      <c r="V397" s="307"/>
      <c r="W397" s="441">
        <f t="shared" si="149"/>
        <v>0</v>
      </c>
      <c r="X397" s="442"/>
      <c r="Y397" s="443"/>
      <c r="Z397" s="444">
        <f t="shared" si="150"/>
        <v>0</v>
      </c>
      <c r="AA397" s="307"/>
      <c r="AB397" s="307"/>
      <c r="AC397" s="445">
        <f t="shared" si="151"/>
        <v>0</v>
      </c>
      <c r="AD397" s="442"/>
      <c r="AE397" s="443"/>
      <c r="AF397" s="444">
        <f t="shared" si="152"/>
        <v>0</v>
      </c>
      <c r="AG397" s="307"/>
      <c r="AH397" s="307"/>
      <c r="AI397" s="445">
        <f t="shared" si="153"/>
        <v>0</v>
      </c>
      <c r="AJ397" s="446">
        <v>30</v>
      </c>
      <c r="AK397" s="443">
        <v>46741</v>
      </c>
      <c r="AL397" s="444">
        <f t="shared" si="154"/>
        <v>1402230</v>
      </c>
      <c r="AM397" s="307">
        <v>30</v>
      </c>
      <c r="AN397" s="307">
        <v>46964</v>
      </c>
      <c r="AO397" s="447">
        <f t="shared" si="155"/>
        <v>1408920</v>
      </c>
      <c r="AP397" s="448"/>
      <c r="AQ397" s="443"/>
      <c r="AR397" s="444">
        <f t="shared" si="156"/>
        <v>0</v>
      </c>
      <c r="AS397" s="307"/>
      <c r="AT397" s="307"/>
      <c r="AU397" s="441">
        <f t="shared" si="157"/>
        <v>0</v>
      </c>
      <c r="AV397" s="442"/>
      <c r="AW397" s="443"/>
      <c r="AX397" s="444">
        <f t="shared" si="158"/>
        <v>0</v>
      </c>
      <c r="AY397" s="307"/>
      <c r="AZ397" s="307"/>
      <c r="BA397" s="445">
        <f t="shared" si="159"/>
        <v>0</v>
      </c>
      <c r="BB397" s="442"/>
      <c r="BC397" s="443"/>
      <c r="BD397" s="444">
        <f t="shared" si="160"/>
        <v>0</v>
      </c>
      <c r="BE397" s="307"/>
      <c r="BF397" s="307"/>
      <c r="BG397" s="445">
        <f t="shared" si="161"/>
        <v>0</v>
      </c>
      <c r="BH397" s="442"/>
      <c r="BI397" s="443"/>
      <c r="BJ397" s="444">
        <f t="shared" si="162"/>
        <v>0</v>
      </c>
      <c r="BK397" s="307"/>
      <c r="BL397" s="307"/>
      <c r="BM397" s="445">
        <f t="shared" si="163"/>
        <v>0</v>
      </c>
      <c r="BN397" s="442"/>
      <c r="BO397" s="443"/>
      <c r="BP397" s="444">
        <f t="shared" si="164"/>
        <v>0</v>
      </c>
      <c r="BQ397" s="307"/>
      <c r="BR397" s="307"/>
      <c r="BS397" s="445">
        <f t="shared" si="165"/>
        <v>0</v>
      </c>
      <c r="BT397" s="442">
        <v>20</v>
      </c>
      <c r="BU397" s="443">
        <v>56981</v>
      </c>
      <c r="BV397" s="444">
        <f t="shared" si="166"/>
        <v>932437.08400000003</v>
      </c>
      <c r="BW397" s="307">
        <v>17</v>
      </c>
      <c r="BX397" s="307">
        <v>59084</v>
      </c>
      <c r="BY397" s="449">
        <f t="shared" si="167"/>
        <v>821822.98960000009</v>
      </c>
    </row>
    <row r="398" spans="1:77" s="308" customFormat="1" ht="12.75" customHeight="1">
      <c r="A398" s="352" t="s">
        <v>311</v>
      </c>
      <c r="B398" s="354" t="s">
        <v>692</v>
      </c>
      <c r="C398" s="354"/>
      <c r="D398" s="353">
        <v>375656</v>
      </c>
      <c r="E398" s="415">
        <v>13</v>
      </c>
      <c r="F398" s="453"/>
      <c r="G398" s="454"/>
      <c r="H398" s="439">
        <f t="shared" si="144"/>
        <v>0</v>
      </c>
      <c r="I398" s="311"/>
      <c r="J398" s="311"/>
      <c r="K398" s="441">
        <f t="shared" si="145"/>
        <v>0</v>
      </c>
      <c r="L398" s="442"/>
      <c r="M398" s="443"/>
      <c r="N398" s="444">
        <f t="shared" si="146"/>
        <v>0</v>
      </c>
      <c r="O398" s="307"/>
      <c r="P398" s="307"/>
      <c r="Q398" s="445">
        <f t="shared" si="147"/>
        <v>0</v>
      </c>
      <c r="R398" s="442"/>
      <c r="S398" s="443"/>
      <c r="T398" s="444">
        <f t="shared" si="148"/>
        <v>0</v>
      </c>
      <c r="U398" s="307"/>
      <c r="V398" s="307"/>
      <c r="W398" s="441">
        <f t="shared" si="149"/>
        <v>0</v>
      </c>
      <c r="X398" s="442"/>
      <c r="Y398" s="443"/>
      <c r="Z398" s="444">
        <f t="shared" si="150"/>
        <v>0</v>
      </c>
      <c r="AA398" s="307"/>
      <c r="AB398" s="307"/>
      <c r="AC398" s="445">
        <f t="shared" si="151"/>
        <v>0</v>
      </c>
      <c r="AD398" s="442"/>
      <c r="AE398" s="443"/>
      <c r="AF398" s="444">
        <f t="shared" si="152"/>
        <v>0</v>
      </c>
      <c r="AG398" s="307"/>
      <c r="AH398" s="307"/>
      <c r="AI398" s="445">
        <f t="shared" si="153"/>
        <v>0</v>
      </c>
      <c r="AJ398" s="446">
        <v>4</v>
      </c>
      <c r="AK398" s="443">
        <v>40208</v>
      </c>
      <c r="AL398" s="444">
        <f t="shared" si="154"/>
        <v>160832</v>
      </c>
      <c r="AM398" s="307">
        <v>5</v>
      </c>
      <c r="AN398" s="307">
        <v>43970</v>
      </c>
      <c r="AO398" s="447">
        <f t="shared" si="155"/>
        <v>219850</v>
      </c>
      <c r="AP398" s="448"/>
      <c r="AQ398" s="443"/>
      <c r="AR398" s="444">
        <f t="shared" si="156"/>
        <v>0</v>
      </c>
      <c r="AS398" s="307"/>
      <c r="AT398" s="307"/>
      <c r="AU398" s="441">
        <f t="shared" si="157"/>
        <v>0</v>
      </c>
      <c r="AV398" s="442"/>
      <c r="AW398" s="443"/>
      <c r="AX398" s="444">
        <f t="shared" si="158"/>
        <v>0</v>
      </c>
      <c r="AY398" s="307"/>
      <c r="AZ398" s="307"/>
      <c r="BA398" s="445">
        <f t="shared" si="159"/>
        <v>0</v>
      </c>
      <c r="BB398" s="442"/>
      <c r="BC398" s="443"/>
      <c r="BD398" s="444">
        <f t="shared" si="160"/>
        <v>0</v>
      </c>
      <c r="BE398" s="307"/>
      <c r="BF398" s="307"/>
      <c r="BG398" s="445">
        <f t="shared" si="161"/>
        <v>0</v>
      </c>
      <c r="BH398" s="442"/>
      <c r="BI398" s="443"/>
      <c r="BJ398" s="444">
        <f t="shared" si="162"/>
        <v>0</v>
      </c>
      <c r="BK398" s="307"/>
      <c r="BL398" s="307"/>
      <c r="BM398" s="445">
        <f t="shared" si="163"/>
        <v>0</v>
      </c>
      <c r="BN398" s="442"/>
      <c r="BO398" s="443"/>
      <c r="BP398" s="444">
        <f t="shared" si="164"/>
        <v>0</v>
      </c>
      <c r="BQ398" s="307"/>
      <c r="BR398" s="307"/>
      <c r="BS398" s="445">
        <f t="shared" si="165"/>
        <v>0</v>
      </c>
      <c r="BT398" s="442">
        <v>2</v>
      </c>
      <c r="BU398" s="443">
        <v>51700</v>
      </c>
      <c r="BV398" s="444">
        <f t="shared" si="166"/>
        <v>84601.88</v>
      </c>
      <c r="BW398" s="307">
        <v>2</v>
      </c>
      <c r="BX398" s="307">
        <v>54215</v>
      </c>
      <c r="BY398" s="449">
        <f t="shared" si="167"/>
        <v>88717.426000000007</v>
      </c>
    </row>
    <row r="399" spans="1:77" s="308" customFormat="1" ht="12.75" customHeight="1">
      <c r="A399" s="352" t="s">
        <v>311</v>
      </c>
      <c r="B399" s="354" t="s">
        <v>693</v>
      </c>
      <c r="C399" s="354"/>
      <c r="D399" s="353">
        <v>418348</v>
      </c>
      <c r="E399" s="415">
        <v>13</v>
      </c>
      <c r="F399" s="453"/>
      <c r="G399" s="454"/>
      <c r="H399" s="439">
        <f t="shared" si="144"/>
        <v>0</v>
      </c>
      <c r="I399" s="311"/>
      <c r="J399" s="311"/>
      <c r="K399" s="441">
        <f t="shared" si="145"/>
        <v>0</v>
      </c>
      <c r="L399" s="442"/>
      <c r="M399" s="443"/>
      <c r="N399" s="444">
        <f t="shared" si="146"/>
        <v>0</v>
      </c>
      <c r="O399" s="307"/>
      <c r="P399" s="307"/>
      <c r="Q399" s="445">
        <f t="shared" si="147"/>
        <v>0</v>
      </c>
      <c r="R399" s="442"/>
      <c r="S399" s="443"/>
      <c r="T399" s="444">
        <f t="shared" si="148"/>
        <v>0</v>
      </c>
      <c r="U399" s="307"/>
      <c r="V399" s="307"/>
      <c r="W399" s="441">
        <f t="shared" si="149"/>
        <v>0</v>
      </c>
      <c r="X399" s="442"/>
      <c r="Y399" s="443"/>
      <c r="Z399" s="444">
        <f t="shared" si="150"/>
        <v>0</v>
      </c>
      <c r="AA399" s="307"/>
      <c r="AB399" s="307"/>
      <c r="AC399" s="445">
        <f t="shared" si="151"/>
        <v>0</v>
      </c>
      <c r="AD399" s="442"/>
      <c r="AE399" s="443"/>
      <c r="AF399" s="444">
        <f t="shared" si="152"/>
        <v>0</v>
      </c>
      <c r="AG399" s="307"/>
      <c r="AH399" s="307"/>
      <c r="AI399" s="445">
        <f t="shared" si="153"/>
        <v>0</v>
      </c>
      <c r="AJ399" s="446">
        <v>17</v>
      </c>
      <c r="AK399" s="443">
        <v>49314</v>
      </c>
      <c r="AL399" s="444">
        <f t="shared" si="154"/>
        <v>838338</v>
      </c>
      <c r="AM399" s="307">
        <v>17</v>
      </c>
      <c r="AN399" s="307">
        <v>49314</v>
      </c>
      <c r="AO399" s="447">
        <f t="shared" si="155"/>
        <v>838338</v>
      </c>
      <c r="AP399" s="448"/>
      <c r="AQ399" s="443"/>
      <c r="AR399" s="444">
        <f t="shared" si="156"/>
        <v>0</v>
      </c>
      <c r="AS399" s="307"/>
      <c r="AT399" s="307"/>
      <c r="AU399" s="441">
        <f t="shared" si="157"/>
        <v>0</v>
      </c>
      <c r="AV399" s="442"/>
      <c r="AW399" s="443"/>
      <c r="AX399" s="444">
        <f t="shared" si="158"/>
        <v>0</v>
      </c>
      <c r="AY399" s="307"/>
      <c r="AZ399" s="307"/>
      <c r="BA399" s="445">
        <f t="shared" si="159"/>
        <v>0</v>
      </c>
      <c r="BB399" s="442"/>
      <c r="BC399" s="443"/>
      <c r="BD399" s="444">
        <f t="shared" si="160"/>
        <v>0</v>
      </c>
      <c r="BE399" s="307"/>
      <c r="BF399" s="307"/>
      <c r="BG399" s="445">
        <f t="shared" si="161"/>
        <v>0</v>
      </c>
      <c r="BH399" s="442"/>
      <c r="BI399" s="443"/>
      <c r="BJ399" s="444">
        <f t="shared" si="162"/>
        <v>0</v>
      </c>
      <c r="BK399" s="307"/>
      <c r="BL399" s="307"/>
      <c r="BM399" s="445">
        <f t="shared" si="163"/>
        <v>0</v>
      </c>
      <c r="BN399" s="442"/>
      <c r="BO399" s="443"/>
      <c r="BP399" s="444">
        <f t="shared" si="164"/>
        <v>0</v>
      </c>
      <c r="BQ399" s="307"/>
      <c r="BR399" s="307"/>
      <c r="BS399" s="445">
        <f t="shared" si="165"/>
        <v>0</v>
      </c>
      <c r="BT399" s="442">
        <v>2</v>
      </c>
      <c r="BU399" s="443">
        <v>62253</v>
      </c>
      <c r="BV399" s="444">
        <f t="shared" si="166"/>
        <v>101870.8092</v>
      </c>
      <c r="BW399" s="307">
        <v>2</v>
      </c>
      <c r="BX399" s="307">
        <v>62253</v>
      </c>
      <c r="BY399" s="449">
        <f t="shared" si="167"/>
        <v>101870.8092</v>
      </c>
    </row>
    <row r="400" spans="1:77" s="308" customFormat="1" ht="12.75" customHeight="1">
      <c r="A400" s="352" t="s">
        <v>311</v>
      </c>
      <c r="B400" s="354" t="s">
        <v>694</v>
      </c>
      <c r="C400" s="354"/>
      <c r="D400" s="353">
        <v>375683</v>
      </c>
      <c r="E400" s="415">
        <v>13</v>
      </c>
      <c r="F400" s="453"/>
      <c r="G400" s="454"/>
      <c r="H400" s="439">
        <f t="shared" si="144"/>
        <v>0</v>
      </c>
      <c r="I400" s="311"/>
      <c r="J400" s="311"/>
      <c r="K400" s="441">
        <f t="shared" si="145"/>
        <v>0</v>
      </c>
      <c r="L400" s="442"/>
      <c r="M400" s="443"/>
      <c r="N400" s="444">
        <f t="shared" si="146"/>
        <v>0</v>
      </c>
      <c r="O400" s="307"/>
      <c r="P400" s="307"/>
      <c r="Q400" s="445">
        <f t="shared" si="147"/>
        <v>0</v>
      </c>
      <c r="R400" s="442"/>
      <c r="S400" s="443"/>
      <c r="T400" s="444">
        <f t="shared" si="148"/>
        <v>0</v>
      </c>
      <c r="U400" s="307"/>
      <c r="V400" s="307"/>
      <c r="W400" s="441">
        <f t="shared" si="149"/>
        <v>0</v>
      </c>
      <c r="X400" s="442"/>
      <c r="Y400" s="443"/>
      <c r="Z400" s="444">
        <f t="shared" si="150"/>
        <v>0</v>
      </c>
      <c r="AA400" s="307"/>
      <c r="AB400" s="307"/>
      <c r="AC400" s="445">
        <f t="shared" si="151"/>
        <v>0</v>
      </c>
      <c r="AD400" s="442"/>
      <c r="AE400" s="443"/>
      <c r="AF400" s="444">
        <f t="shared" si="152"/>
        <v>0</v>
      </c>
      <c r="AG400" s="307"/>
      <c r="AH400" s="307"/>
      <c r="AI400" s="445">
        <f t="shared" si="153"/>
        <v>0</v>
      </c>
      <c r="AJ400" s="446">
        <v>32</v>
      </c>
      <c r="AK400" s="443">
        <v>50358</v>
      </c>
      <c r="AL400" s="444">
        <f t="shared" si="154"/>
        <v>1611456</v>
      </c>
      <c r="AM400" s="307">
        <v>32</v>
      </c>
      <c r="AN400" s="307">
        <v>50032</v>
      </c>
      <c r="AO400" s="447">
        <f t="shared" si="155"/>
        <v>1601024</v>
      </c>
      <c r="AP400" s="448"/>
      <c r="AQ400" s="443"/>
      <c r="AR400" s="444">
        <f t="shared" si="156"/>
        <v>0</v>
      </c>
      <c r="AS400" s="307"/>
      <c r="AT400" s="307"/>
      <c r="AU400" s="441">
        <f t="shared" si="157"/>
        <v>0</v>
      </c>
      <c r="AV400" s="442"/>
      <c r="AW400" s="443"/>
      <c r="AX400" s="444">
        <f t="shared" si="158"/>
        <v>0</v>
      </c>
      <c r="AY400" s="307"/>
      <c r="AZ400" s="307"/>
      <c r="BA400" s="445">
        <f t="shared" si="159"/>
        <v>0</v>
      </c>
      <c r="BB400" s="442"/>
      <c r="BC400" s="443"/>
      <c r="BD400" s="444">
        <f t="shared" si="160"/>
        <v>0</v>
      </c>
      <c r="BE400" s="307"/>
      <c r="BF400" s="307"/>
      <c r="BG400" s="445">
        <f t="shared" si="161"/>
        <v>0</v>
      </c>
      <c r="BH400" s="442"/>
      <c r="BI400" s="443"/>
      <c r="BJ400" s="444">
        <f t="shared" si="162"/>
        <v>0</v>
      </c>
      <c r="BK400" s="307"/>
      <c r="BL400" s="307"/>
      <c r="BM400" s="445">
        <f t="shared" si="163"/>
        <v>0</v>
      </c>
      <c r="BN400" s="442"/>
      <c r="BO400" s="443"/>
      <c r="BP400" s="444">
        <f t="shared" si="164"/>
        <v>0</v>
      </c>
      <c r="BQ400" s="307"/>
      <c r="BR400" s="307"/>
      <c r="BS400" s="445">
        <f t="shared" si="165"/>
        <v>0</v>
      </c>
      <c r="BT400" s="442">
        <v>7</v>
      </c>
      <c r="BU400" s="443">
        <v>56671</v>
      </c>
      <c r="BV400" s="444">
        <f t="shared" si="166"/>
        <v>324577.48540000001</v>
      </c>
      <c r="BW400" s="307">
        <v>7</v>
      </c>
      <c r="BX400" s="307">
        <v>57122</v>
      </c>
      <c r="BY400" s="449">
        <f t="shared" si="167"/>
        <v>327160.5428</v>
      </c>
    </row>
    <row r="401" spans="1:77" s="308" customFormat="1" ht="12.75" customHeight="1">
      <c r="A401" s="352" t="s">
        <v>311</v>
      </c>
      <c r="B401" s="354" t="s">
        <v>695</v>
      </c>
      <c r="C401" s="354"/>
      <c r="D401" s="353">
        <v>428019</v>
      </c>
      <c r="E401" s="415">
        <v>13</v>
      </c>
      <c r="F401" s="453"/>
      <c r="G401" s="454"/>
      <c r="H401" s="439">
        <f t="shared" si="144"/>
        <v>0</v>
      </c>
      <c r="I401" s="311"/>
      <c r="J401" s="311"/>
      <c r="K401" s="441">
        <f t="shared" si="145"/>
        <v>0</v>
      </c>
      <c r="L401" s="442"/>
      <c r="M401" s="443"/>
      <c r="N401" s="444">
        <f t="shared" si="146"/>
        <v>0</v>
      </c>
      <c r="O401" s="307"/>
      <c r="P401" s="307"/>
      <c r="Q401" s="445">
        <f t="shared" si="147"/>
        <v>0</v>
      </c>
      <c r="R401" s="442"/>
      <c r="S401" s="443"/>
      <c r="T401" s="444">
        <f t="shared" si="148"/>
        <v>0</v>
      </c>
      <c r="U401" s="307"/>
      <c r="V401" s="307"/>
      <c r="W401" s="441">
        <f t="shared" si="149"/>
        <v>0</v>
      </c>
      <c r="X401" s="442"/>
      <c r="Y401" s="443"/>
      <c r="Z401" s="444">
        <f t="shared" si="150"/>
        <v>0</v>
      </c>
      <c r="AA401" s="307"/>
      <c r="AB401" s="307"/>
      <c r="AC401" s="445">
        <f t="shared" si="151"/>
        <v>0</v>
      </c>
      <c r="AD401" s="442"/>
      <c r="AE401" s="443"/>
      <c r="AF401" s="444">
        <f t="shared" si="152"/>
        <v>0</v>
      </c>
      <c r="AG401" s="307"/>
      <c r="AH401" s="307"/>
      <c r="AI401" s="445">
        <f t="shared" si="153"/>
        <v>0</v>
      </c>
      <c r="AJ401" s="446">
        <v>5</v>
      </c>
      <c r="AK401" s="443">
        <v>45325</v>
      </c>
      <c r="AL401" s="444">
        <f t="shared" si="154"/>
        <v>226625</v>
      </c>
      <c r="AM401" s="307">
        <v>6</v>
      </c>
      <c r="AN401" s="307">
        <v>45724</v>
      </c>
      <c r="AO401" s="447">
        <f t="shared" si="155"/>
        <v>274344</v>
      </c>
      <c r="AP401" s="448"/>
      <c r="AQ401" s="443"/>
      <c r="AR401" s="444">
        <f t="shared" si="156"/>
        <v>0</v>
      </c>
      <c r="AS401" s="307"/>
      <c r="AT401" s="307"/>
      <c r="AU401" s="441">
        <f t="shared" si="157"/>
        <v>0</v>
      </c>
      <c r="AV401" s="442"/>
      <c r="AW401" s="443"/>
      <c r="AX401" s="444">
        <f t="shared" si="158"/>
        <v>0</v>
      </c>
      <c r="AY401" s="307"/>
      <c r="AZ401" s="307"/>
      <c r="BA401" s="445">
        <f t="shared" si="159"/>
        <v>0</v>
      </c>
      <c r="BB401" s="442"/>
      <c r="BC401" s="443"/>
      <c r="BD401" s="444">
        <f t="shared" si="160"/>
        <v>0</v>
      </c>
      <c r="BE401" s="307"/>
      <c r="BF401" s="307"/>
      <c r="BG401" s="445">
        <f t="shared" si="161"/>
        <v>0</v>
      </c>
      <c r="BH401" s="442"/>
      <c r="BI401" s="443"/>
      <c r="BJ401" s="444">
        <f t="shared" si="162"/>
        <v>0</v>
      </c>
      <c r="BK401" s="307"/>
      <c r="BL401" s="307"/>
      <c r="BM401" s="445">
        <f t="shared" si="163"/>
        <v>0</v>
      </c>
      <c r="BN401" s="442"/>
      <c r="BO401" s="443"/>
      <c r="BP401" s="444">
        <f t="shared" si="164"/>
        <v>0</v>
      </c>
      <c r="BQ401" s="307"/>
      <c r="BR401" s="307"/>
      <c r="BS401" s="445">
        <f t="shared" si="165"/>
        <v>0</v>
      </c>
      <c r="BT401" s="442">
        <v>6</v>
      </c>
      <c r="BU401" s="443">
        <v>53608</v>
      </c>
      <c r="BV401" s="444">
        <f t="shared" si="166"/>
        <v>263172.39360000001</v>
      </c>
      <c r="BW401" s="307">
        <v>6</v>
      </c>
      <c r="BX401" s="307">
        <v>54068</v>
      </c>
      <c r="BY401" s="449">
        <f t="shared" si="167"/>
        <v>265430.62560000003</v>
      </c>
    </row>
    <row r="402" spans="1:77" s="308" customFormat="1" ht="12.75" customHeight="1">
      <c r="A402" s="352" t="s">
        <v>311</v>
      </c>
      <c r="B402" s="354" t="s">
        <v>696</v>
      </c>
      <c r="C402" s="354"/>
      <c r="D402" s="353">
        <v>208053</v>
      </c>
      <c r="E402" s="415">
        <v>13</v>
      </c>
      <c r="F402" s="453"/>
      <c r="G402" s="454"/>
      <c r="H402" s="439">
        <f t="shared" si="144"/>
        <v>0</v>
      </c>
      <c r="I402" s="311"/>
      <c r="J402" s="311"/>
      <c r="K402" s="441">
        <f t="shared" si="145"/>
        <v>0</v>
      </c>
      <c r="L402" s="442"/>
      <c r="M402" s="443"/>
      <c r="N402" s="444">
        <f t="shared" si="146"/>
        <v>0</v>
      </c>
      <c r="O402" s="307"/>
      <c r="P402" s="307"/>
      <c r="Q402" s="445">
        <f t="shared" si="147"/>
        <v>0</v>
      </c>
      <c r="R402" s="442"/>
      <c r="S402" s="443"/>
      <c r="T402" s="444">
        <f t="shared" si="148"/>
        <v>0</v>
      </c>
      <c r="U402" s="307"/>
      <c r="V402" s="307"/>
      <c r="W402" s="441">
        <f t="shared" si="149"/>
        <v>0</v>
      </c>
      <c r="X402" s="442"/>
      <c r="Y402" s="443"/>
      <c r="Z402" s="444">
        <f t="shared" si="150"/>
        <v>0</v>
      </c>
      <c r="AA402" s="307"/>
      <c r="AB402" s="307"/>
      <c r="AC402" s="445">
        <f t="shared" si="151"/>
        <v>0</v>
      </c>
      <c r="AD402" s="442"/>
      <c r="AE402" s="443"/>
      <c r="AF402" s="444">
        <f t="shared" si="152"/>
        <v>0</v>
      </c>
      <c r="AG402" s="307"/>
      <c r="AH402" s="307"/>
      <c r="AI402" s="445">
        <f t="shared" si="153"/>
        <v>0</v>
      </c>
      <c r="AJ402" s="446">
        <v>9</v>
      </c>
      <c r="AK402" s="443">
        <v>50800</v>
      </c>
      <c r="AL402" s="444">
        <f t="shared" si="154"/>
        <v>457200</v>
      </c>
      <c r="AM402" s="307">
        <v>9</v>
      </c>
      <c r="AN402" s="307">
        <v>51022</v>
      </c>
      <c r="AO402" s="447">
        <f t="shared" si="155"/>
        <v>459198</v>
      </c>
      <c r="AP402" s="448"/>
      <c r="AQ402" s="443"/>
      <c r="AR402" s="444">
        <f t="shared" si="156"/>
        <v>0</v>
      </c>
      <c r="AS402" s="307"/>
      <c r="AT402" s="307"/>
      <c r="AU402" s="441">
        <f t="shared" si="157"/>
        <v>0</v>
      </c>
      <c r="AV402" s="442"/>
      <c r="AW402" s="443"/>
      <c r="AX402" s="444">
        <f t="shared" si="158"/>
        <v>0</v>
      </c>
      <c r="AY402" s="307"/>
      <c r="AZ402" s="307"/>
      <c r="BA402" s="445">
        <f t="shared" si="159"/>
        <v>0</v>
      </c>
      <c r="BB402" s="442"/>
      <c r="BC402" s="443"/>
      <c r="BD402" s="444">
        <f t="shared" si="160"/>
        <v>0</v>
      </c>
      <c r="BE402" s="307"/>
      <c r="BF402" s="307"/>
      <c r="BG402" s="445">
        <f t="shared" si="161"/>
        <v>0</v>
      </c>
      <c r="BH402" s="442"/>
      <c r="BI402" s="443"/>
      <c r="BJ402" s="444">
        <f t="shared" si="162"/>
        <v>0</v>
      </c>
      <c r="BK402" s="307"/>
      <c r="BL402" s="307"/>
      <c r="BM402" s="445">
        <f t="shared" si="163"/>
        <v>0</v>
      </c>
      <c r="BN402" s="442"/>
      <c r="BO402" s="443"/>
      <c r="BP402" s="444">
        <f t="shared" si="164"/>
        <v>0</v>
      </c>
      <c r="BQ402" s="307"/>
      <c r="BR402" s="307"/>
      <c r="BS402" s="445">
        <f t="shared" si="165"/>
        <v>0</v>
      </c>
      <c r="BT402" s="442">
        <v>5</v>
      </c>
      <c r="BU402" s="443">
        <v>53195</v>
      </c>
      <c r="BV402" s="444">
        <f t="shared" si="166"/>
        <v>217620.74500000002</v>
      </c>
      <c r="BW402" s="307">
        <v>5</v>
      </c>
      <c r="BX402" s="307">
        <v>54525</v>
      </c>
      <c r="BY402" s="449">
        <f t="shared" si="167"/>
        <v>223061.77500000002</v>
      </c>
    </row>
    <row r="403" spans="1:77" s="308" customFormat="1" ht="12.75" customHeight="1">
      <c r="A403" s="352" t="s">
        <v>311</v>
      </c>
      <c r="B403" s="354" t="s">
        <v>697</v>
      </c>
      <c r="C403" s="354"/>
      <c r="D403" s="353">
        <v>418296</v>
      </c>
      <c r="E403" s="415">
        <v>13</v>
      </c>
      <c r="F403" s="453"/>
      <c r="G403" s="454"/>
      <c r="H403" s="439">
        <f t="shared" si="144"/>
        <v>0</v>
      </c>
      <c r="I403" s="311"/>
      <c r="J403" s="311"/>
      <c r="K403" s="441">
        <f t="shared" si="145"/>
        <v>0</v>
      </c>
      <c r="L403" s="442"/>
      <c r="M403" s="443"/>
      <c r="N403" s="444">
        <f t="shared" si="146"/>
        <v>0</v>
      </c>
      <c r="O403" s="307"/>
      <c r="P403" s="307"/>
      <c r="Q403" s="445">
        <f t="shared" si="147"/>
        <v>0</v>
      </c>
      <c r="R403" s="442"/>
      <c r="S403" s="443"/>
      <c r="T403" s="444">
        <f t="shared" si="148"/>
        <v>0</v>
      </c>
      <c r="U403" s="307"/>
      <c r="V403" s="307"/>
      <c r="W403" s="441">
        <f t="shared" si="149"/>
        <v>0</v>
      </c>
      <c r="X403" s="442"/>
      <c r="Y403" s="443"/>
      <c r="Z403" s="444">
        <f t="shared" si="150"/>
        <v>0</v>
      </c>
      <c r="AA403" s="307"/>
      <c r="AB403" s="307"/>
      <c r="AC403" s="445">
        <f t="shared" si="151"/>
        <v>0</v>
      </c>
      <c r="AD403" s="442"/>
      <c r="AE403" s="443"/>
      <c r="AF403" s="444">
        <f t="shared" si="152"/>
        <v>0</v>
      </c>
      <c r="AG403" s="307"/>
      <c r="AH403" s="307"/>
      <c r="AI403" s="445">
        <f t="shared" si="153"/>
        <v>0</v>
      </c>
      <c r="AJ403" s="446">
        <v>20</v>
      </c>
      <c r="AK403" s="443">
        <v>49409</v>
      </c>
      <c r="AL403" s="444">
        <f t="shared" si="154"/>
        <v>988180</v>
      </c>
      <c r="AM403" s="307">
        <v>19</v>
      </c>
      <c r="AN403" s="307">
        <v>49963</v>
      </c>
      <c r="AO403" s="447">
        <f t="shared" si="155"/>
        <v>949297</v>
      </c>
      <c r="AP403" s="448"/>
      <c r="AQ403" s="443"/>
      <c r="AR403" s="444">
        <f t="shared" si="156"/>
        <v>0</v>
      </c>
      <c r="AS403" s="307"/>
      <c r="AT403" s="307"/>
      <c r="AU403" s="441">
        <f t="shared" si="157"/>
        <v>0</v>
      </c>
      <c r="AV403" s="442"/>
      <c r="AW403" s="443"/>
      <c r="AX403" s="444">
        <f t="shared" si="158"/>
        <v>0</v>
      </c>
      <c r="AY403" s="307"/>
      <c r="AZ403" s="307"/>
      <c r="BA403" s="445">
        <f t="shared" si="159"/>
        <v>0</v>
      </c>
      <c r="BB403" s="442"/>
      <c r="BC403" s="443"/>
      <c r="BD403" s="444">
        <f t="shared" si="160"/>
        <v>0</v>
      </c>
      <c r="BE403" s="307"/>
      <c r="BF403" s="307"/>
      <c r="BG403" s="445">
        <f t="shared" si="161"/>
        <v>0</v>
      </c>
      <c r="BH403" s="442"/>
      <c r="BI403" s="443"/>
      <c r="BJ403" s="444">
        <f t="shared" si="162"/>
        <v>0</v>
      </c>
      <c r="BK403" s="307"/>
      <c r="BL403" s="307"/>
      <c r="BM403" s="445">
        <f t="shared" si="163"/>
        <v>0</v>
      </c>
      <c r="BN403" s="442"/>
      <c r="BO403" s="443"/>
      <c r="BP403" s="444">
        <f t="shared" si="164"/>
        <v>0</v>
      </c>
      <c r="BQ403" s="307"/>
      <c r="BR403" s="307"/>
      <c r="BS403" s="445">
        <f t="shared" si="165"/>
        <v>0</v>
      </c>
      <c r="BT403" s="442">
        <v>6</v>
      </c>
      <c r="BU403" s="443">
        <v>58023</v>
      </c>
      <c r="BV403" s="444">
        <f t="shared" si="166"/>
        <v>284846.51160000003</v>
      </c>
      <c r="BW403" s="307">
        <v>6</v>
      </c>
      <c r="BX403" s="307">
        <v>59180</v>
      </c>
      <c r="BY403" s="449">
        <f t="shared" si="167"/>
        <v>290526.45600000001</v>
      </c>
    </row>
    <row r="404" spans="1:77" s="308" customFormat="1" ht="12.75" customHeight="1">
      <c r="A404" s="352" t="s">
        <v>311</v>
      </c>
      <c r="B404" s="354" t="s">
        <v>698</v>
      </c>
      <c r="C404" s="354"/>
      <c r="D404" s="353">
        <v>421540</v>
      </c>
      <c r="E404" s="415">
        <v>13</v>
      </c>
      <c r="F404" s="453"/>
      <c r="G404" s="454"/>
      <c r="H404" s="439">
        <f t="shared" si="144"/>
        <v>0</v>
      </c>
      <c r="I404" s="311"/>
      <c r="J404" s="311"/>
      <c r="K404" s="441">
        <f t="shared" si="145"/>
        <v>0</v>
      </c>
      <c r="L404" s="442"/>
      <c r="M404" s="443"/>
      <c r="N404" s="444">
        <f t="shared" si="146"/>
        <v>0</v>
      </c>
      <c r="O404" s="307"/>
      <c r="P404" s="307"/>
      <c r="Q404" s="445">
        <f t="shared" si="147"/>
        <v>0</v>
      </c>
      <c r="R404" s="442"/>
      <c r="S404" s="443"/>
      <c r="T404" s="444">
        <f t="shared" si="148"/>
        <v>0</v>
      </c>
      <c r="U404" s="307"/>
      <c r="V404" s="307"/>
      <c r="W404" s="441">
        <f t="shared" si="149"/>
        <v>0</v>
      </c>
      <c r="X404" s="442"/>
      <c r="Y404" s="443"/>
      <c r="Z404" s="444">
        <f t="shared" si="150"/>
        <v>0</v>
      </c>
      <c r="AA404" s="307"/>
      <c r="AB404" s="307"/>
      <c r="AC404" s="445">
        <f t="shared" si="151"/>
        <v>0</v>
      </c>
      <c r="AD404" s="442"/>
      <c r="AE404" s="443"/>
      <c r="AF404" s="444">
        <f t="shared" si="152"/>
        <v>0</v>
      </c>
      <c r="AG404" s="307"/>
      <c r="AH404" s="307"/>
      <c r="AI404" s="445">
        <f t="shared" si="153"/>
        <v>0</v>
      </c>
      <c r="AJ404" s="446">
        <v>9</v>
      </c>
      <c r="AK404" s="443">
        <v>49498</v>
      </c>
      <c r="AL404" s="444">
        <f t="shared" si="154"/>
        <v>445482</v>
      </c>
      <c r="AM404" s="307">
        <v>9</v>
      </c>
      <c r="AN404" s="307">
        <v>49998</v>
      </c>
      <c r="AO404" s="447">
        <f t="shared" si="155"/>
        <v>449982</v>
      </c>
      <c r="AP404" s="448"/>
      <c r="AQ404" s="443"/>
      <c r="AR404" s="444">
        <f t="shared" si="156"/>
        <v>0</v>
      </c>
      <c r="AS404" s="307"/>
      <c r="AT404" s="307"/>
      <c r="AU404" s="441">
        <f t="shared" si="157"/>
        <v>0</v>
      </c>
      <c r="AV404" s="442"/>
      <c r="AW404" s="443"/>
      <c r="AX404" s="444">
        <f t="shared" si="158"/>
        <v>0</v>
      </c>
      <c r="AY404" s="307"/>
      <c r="AZ404" s="307"/>
      <c r="BA404" s="445">
        <f t="shared" si="159"/>
        <v>0</v>
      </c>
      <c r="BB404" s="442"/>
      <c r="BC404" s="443"/>
      <c r="BD404" s="444">
        <f t="shared" si="160"/>
        <v>0</v>
      </c>
      <c r="BE404" s="307"/>
      <c r="BF404" s="307"/>
      <c r="BG404" s="445">
        <f t="shared" si="161"/>
        <v>0</v>
      </c>
      <c r="BH404" s="442"/>
      <c r="BI404" s="443"/>
      <c r="BJ404" s="444">
        <f t="shared" si="162"/>
        <v>0</v>
      </c>
      <c r="BK404" s="307"/>
      <c r="BL404" s="307"/>
      <c r="BM404" s="445">
        <f t="shared" si="163"/>
        <v>0</v>
      </c>
      <c r="BN404" s="442"/>
      <c r="BO404" s="443"/>
      <c r="BP404" s="444">
        <f t="shared" si="164"/>
        <v>0</v>
      </c>
      <c r="BQ404" s="307"/>
      <c r="BR404" s="307"/>
      <c r="BS404" s="445">
        <f t="shared" si="165"/>
        <v>0</v>
      </c>
      <c r="BT404" s="442">
        <v>2</v>
      </c>
      <c r="BU404" s="443">
        <v>52131</v>
      </c>
      <c r="BV404" s="444">
        <f t="shared" si="166"/>
        <v>85307.16840000001</v>
      </c>
      <c r="BW404" s="307">
        <v>2</v>
      </c>
      <c r="BX404" s="307">
        <v>52657</v>
      </c>
      <c r="BY404" s="449">
        <f t="shared" si="167"/>
        <v>86167.914799999999</v>
      </c>
    </row>
    <row r="405" spans="1:77" s="308" customFormat="1" ht="12.75" customHeight="1">
      <c r="A405" s="352" t="s">
        <v>311</v>
      </c>
      <c r="B405" s="354" t="s">
        <v>699</v>
      </c>
      <c r="C405" s="354"/>
      <c r="D405" s="353">
        <v>421559</v>
      </c>
      <c r="E405" s="415">
        <v>13</v>
      </c>
      <c r="F405" s="453"/>
      <c r="G405" s="454"/>
      <c r="H405" s="439">
        <f t="shared" si="144"/>
        <v>0</v>
      </c>
      <c r="I405" s="311"/>
      <c r="J405" s="311"/>
      <c r="K405" s="441">
        <f t="shared" si="145"/>
        <v>0</v>
      </c>
      <c r="L405" s="442"/>
      <c r="M405" s="443"/>
      <c r="N405" s="444">
        <f t="shared" si="146"/>
        <v>0</v>
      </c>
      <c r="O405" s="307"/>
      <c r="P405" s="307"/>
      <c r="Q405" s="445">
        <f t="shared" si="147"/>
        <v>0</v>
      </c>
      <c r="R405" s="442"/>
      <c r="S405" s="443"/>
      <c r="T405" s="444">
        <f t="shared" si="148"/>
        <v>0</v>
      </c>
      <c r="U405" s="307"/>
      <c r="V405" s="307"/>
      <c r="W405" s="441">
        <f t="shared" si="149"/>
        <v>0</v>
      </c>
      <c r="X405" s="442"/>
      <c r="Y405" s="443"/>
      <c r="Z405" s="444">
        <f t="shared" si="150"/>
        <v>0</v>
      </c>
      <c r="AA405" s="307"/>
      <c r="AB405" s="307"/>
      <c r="AC405" s="445">
        <f t="shared" si="151"/>
        <v>0</v>
      </c>
      <c r="AD405" s="442"/>
      <c r="AE405" s="443"/>
      <c r="AF405" s="444">
        <f t="shared" si="152"/>
        <v>0</v>
      </c>
      <c r="AG405" s="307"/>
      <c r="AH405" s="307"/>
      <c r="AI405" s="445">
        <f t="shared" si="153"/>
        <v>0</v>
      </c>
      <c r="AJ405" s="446">
        <v>6</v>
      </c>
      <c r="AK405" s="443">
        <v>50156</v>
      </c>
      <c r="AL405" s="444">
        <f t="shared" si="154"/>
        <v>300936</v>
      </c>
      <c r="AM405" s="307">
        <v>6</v>
      </c>
      <c r="AN405" s="307">
        <v>50718</v>
      </c>
      <c r="AO405" s="447">
        <f t="shared" si="155"/>
        <v>304308</v>
      </c>
      <c r="AP405" s="448"/>
      <c r="AQ405" s="443"/>
      <c r="AR405" s="444">
        <f t="shared" si="156"/>
        <v>0</v>
      </c>
      <c r="AS405" s="307"/>
      <c r="AT405" s="307"/>
      <c r="AU405" s="441">
        <f t="shared" si="157"/>
        <v>0</v>
      </c>
      <c r="AV405" s="442"/>
      <c r="AW405" s="443"/>
      <c r="AX405" s="444">
        <f t="shared" si="158"/>
        <v>0</v>
      </c>
      <c r="AY405" s="307"/>
      <c r="AZ405" s="307"/>
      <c r="BA405" s="445">
        <f t="shared" si="159"/>
        <v>0</v>
      </c>
      <c r="BB405" s="442"/>
      <c r="BC405" s="443"/>
      <c r="BD405" s="444">
        <f t="shared" si="160"/>
        <v>0</v>
      </c>
      <c r="BE405" s="307"/>
      <c r="BF405" s="307"/>
      <c r="BG405" s="445">
        <f t="shared" si="161"/>
        <v>0</v>
      </c>
      <c r="BH405" s="442"/>
      <c r="BI405" s="443"/>
      <c r="BJ405" s="444">
        <f t="shared" si="162"/>
        <v>0</v>
      </c>
      <c r="BK405" s="307"/>
      <c r="BL405" s="307"/>
      <c r="BM405" s="445">
        <f t="shared" si="163"/>
        <v>0</v>
      </c>
      <c r="BN405" s="442"/>
      <c r="BO405" s="443"/>
      <c r="BP405" s="444">
        <f t="shared" si="164"/>
        <v>0</v>
      </c>
      <c r="BQ405" s="307"/>
      <c r="BR405" s="307"/>
      <c r="BS405" s="445">
        <f t="shared" si="165"/>
        <v>0</v>
      </c>
      <c r="BT405" s="442">
        <v>2</v>
      </c>
      <c r="BU405" s="443">
        <v>56706</v>
      </c>
      <c r="BV405" s="444">
        <f t="shared" si="166"/>
        <v>92793.698400000008</v>
      </c>
      <c r="BW405" s="307">
        <v>2</v>
      </c>
      <c r="BX405" s="307">
        <v>57464</v>
      </c>
      <c r="BY405" s="449">
        <f t="shared" si="167"/>
        <v>94034.089600000007</v>
      </c>
    </row>
    <row r="406" spans="1:77" s="308" customFormat="1" ht="12.75" customHeight="1">
      <c r="A406" s="352" t="s">
        <v>311</v>
      </c>
      <c r="B406" s="354" t="s">
        <v>700</v>
      </c>
      <c r="C406" s="354"/>
      <c r="D406" s="353">
        <v>208026</v>
      </c>
      <c r="E406" s="415">
        <v>13</v>
      </c>
      <c r="F406" s="453"/>
      <c r="G406" s="454"/>
      <c r="H406" s="439">
        <f t="shared" si="144"/>
        <v>0</v>
      </c>
      <c r="I406" s="311"/>
      <c r="J406" s="311"/>
      <c r="K406" s="441">
        <f t="shared" si="145"/>
        <v>0</v>
      </c>
      <c r="L406" s="442"/>
      <c r="M406" s="443"/>
      <c r="N406" s="444">
        <f t="shared" si="146"/>
        <v>0</v>
      </c>
      <c r="O406" s="307"/>
      <c r="P406" s="307"/>
      <c r="Q406" s="445">
        <f t="shared" si="147"/>
        <v>0</v>
      </c>
      <c r="R406" s="442"/>
      <c r="S406" s="443"/>
      <c r="T406" s="444">
        <f t="shared" si="148"/>
        <v>0</v>
      </c>
      <c r="U406" s="307"/>
      <c r="V406" s="307"/>
      <c r="W406" s="441">
        <f t="shared" si="149"/>
        <v>0</v>
      </c>
      <c r="X406" s="442"/>
      <c r="Y406" s="443"/>
      <c r="Z406" s="444">
        <f t="shared" si="150"/>
        <v>0</v>
      </c>
      <c r="AA406" s="307"/>
      <c r="AB406" s="307"/>
      <c r="AC406" s="445">
        <f t="shared" si="151"/>
        <v>0</v>
      </c>
      <c r="AD406" s="442"/>
      <c r="AE406" s="443"/>
      <c r="AF406" s="444">
        <f t="shared" si="152"/>
        <v>0</v>
      </c>
      <c r="AG406" s="307"/>
      <c r="AH406" s="307"/>
      <c r="AI406" s="445">
        <f t="shared" si="153"/>
        <v>0</v>
      </c>
      <c r="AJ406" s="446">
        <v>12</v>
      </c>
      <c r="AK406" s="443">
        <v>49111</v>
      </c>
      <c r="AL406" s="444">
        <f t="shared" si="154"/>
        <v>589332</v>
      </c>
      <c r="AM406" s="307">
        <v>12</v>
      </c>
      <c r="AN406" s="307">
        <v>49247</v>
      </c>
      <c r="AO406" s="447">
        <f t="shared" si="155"/>
        <v>590964</v>
      </c>
      <c r="AP406" s="448"/>
      <c r="AQ406" s="443"/>
      <c r="AR406" s="444">
        <f t="shared" si="156"/>
        <v>0</v>
      </c>
      <c r="AS406" s="307"/>
      <c r="AT406" s="307"/>
      <c r="AU406" s="441">
        <f t="shared" si="157"/>
        <v>0</v>
      </c>
      <c r="AV406" s="442"/>
      <c r="AW406" s="443"/>
      <c r="AX406" s="444">
        <f t="shared" si="158"/>
        <v>0</v>
      </c>
      <c r="AY406" s="307"/>
      <c r="AZ406" s="307"/>
      <c r="BA406" s="445">
        <f t="shared" si="159"/>
        <v>0</v>
      </c>
      <c r="BB406" s="442"/>
      <c r="BC406" s="443"/>
      <c r="BD406" s="444">
        <f t="shared" si="160"/>
        <v>0</v>
      </c>
      <c r="BE406" s="307"/>
      <c r="BF406" s="307"/>
      <c r="BG406" s="445">
        <f t="shared" si="161"/>
        <v>0</v>
      </c>
      <c r="BH406" s="442"/>
      <c r="BI406" s="443"/>
      <c r="BJ406" s="444">
        <f t="shared" si="162"/>
        <v>0</v>
      </c>
      <c r="BK406" s="307"/>
      <c r="BL406" s="307"/>
      <c r="BM406" s="445">
        <f t="shared" si="163"/>
        <v>0</v>
      </c>
      <c r="BN406" s="442"/>
      <c r="BO406" s="443"/>
      <c r="BP406" s="444">
        <f t="shared" si="164"/>
        <v>0</v>
      </c>
      <c r="BQ406" s="307"/>
      <c r="BR406" s="307"/>
      <c r="BS406" s="445">
        <f t="shared" si="165"/>
        <v>0</v>
      </c>
      <c r="BT406" s="442">
        <v>3</v>
      </c>
      <c r="BU406" s="443">
        <v>53726</v>
      </c>
      <c r="BV406" s="444">
        <f t="shared" si="166"/>
        <v>131875.83960000001</v>
      </c>
      <c r="BW406" s="307">
        <v>3</v>
      </c>
      <c r="BX406" s="307">
        <v>55193</v>
      </c>
      <c r="BY406" s="449">
        <f t="shared" si="167"/>
        <v>135476.7378</v>
      </c>
    </row>
    <row r="407" spans="1:77" s="308" customFormat="1" ht="12.75" customHeight="1">
      <c r="A407" s="352" t="s">
        <v>311</v>
      </c>
      <c r="B407" s="354" t="s">
        <v>701</v>
      </c>
      <c r="C407" s="354"/>
      <c r="D407" s="353">
        <v>375692</v>
      </c>
      <c r="E407" s="415">
        <v>13</v>
      </c>
      <c r="F407" s="453"/>
      <c r="G407" s="454"/>
      <c r="H407" s="439">
        <f t="shared" si="144"/>
        <v>0</v>
      </c>
      <c r="I407" s="311"/>
      <c r="J407" s="311"/>
      <c r="K407" s="441">
        <f t="shared" si="145"/>
        <v>0</v>
      </c>
      <c r="L407" s="442"/>
      <c r="M407" s="443"/>
      <c r="N407" s="444">
        <f t="shared" si="146"/>
        <v>0</v>
      </c>
      <c r="O407" s="307"/>
      <c r="P407" s="307"/>
      <c r="Q407" s="445">
        <f t="shared" si="147"/>
        <v>0</v>
      </c>
      <c r="R407" s="442"/>
      <c r="S407" s="443"/>
      <c r="T407" s="444">
        <f t="shared" si="148"/>
        <v>0</v>
      </c>
      <c r="U407" s="307"/>
      <c r="V407" s="307"/>
      <c r="W407" s="441">
        <f t="shared" si="149"/>
        <v>0</v>
      </c>
      <c r="X407" s="442"/>
      <c r="Y407" s="443"/>
      <c r="Z407" s="444">
        <f t="shared" si="150"/>
        <v>0</v>
      </c>
      <c r="AA407" s="307"/>
      <c r="AB407" s="307"/>
      <c r="AC407" s="445">
        <f t="shared" si="151"/>
        <v>0</v>
      </c>
      <c r="AD407" s="442"/>
      <c r="AE407" s="443"/>
      <c r="AF407" s="444">
        <f t="shared" si="152"/>
        <v>0</v>
      </c>
      <c r="AG407" s="307"/>
      <c r="AH407" s="307"/>
      <c r="AI407" s="445">
        <f t="shared" si="153"/>
        <v>0</v>
      </c>
      <c r="AJ407" s="446">
        <v>7</v>
      </c>
      <c r="AK407" s="443">
        <v>48865</v>
      </c>
      <c r="AL407" s="444">
        <f t="shared" si="154"/>
        <v>342055</v>
      </c>
      <c r="AM407" s="307">
        <v>7</v>
      </c>
      <c r="AN407" s="307">
        <v>48601</v>
      </c>
      <c r="AO407" s="447">
        <f t="shared" si="155"/>
        <v>340207</v>
      </c>
      <c r="AP407" s="448"/>
      <c r="AQ407" s="443"/>
      <c r="AR407" s="444">
        <f t="shared" si="156"/>
        <v>0</v>
      </c>
      <c r="AS407" s="307"/>
      <c r="AT407" s="307"/>
      <c r="AU407" s="441">
        <f t="shared" si="157"/>
        <v>0</v>
      </c>
      <c r="AV407" s="442"/>
      <c r="AW407" s="443"/>
      <c r="AX407" s="444">
        <f t="shared" si="158"/>
        <v>0</v>
      </c>
      <c r="AY407" s="307"/>
      <c r="AZ407" s="307"/>
      <c r="BA407" s="445">
        <f t="shared" si="159"/>
        <v>0</v>
      </c>
      <c r="BB407" s="442"/>
      <c r="BC407" s="443"/>
      <c r="BD407" s="444">
        <f t="shared" si="160"/>
        <v>0</v>
      </c>
      <c r="BE407" s="307"/>
      <c r="BF407" s="307"/>
      <c r="BG407" s="445">
        <f t="shared" si="161"/>
        <v>0</v>
      </c>
      <c r="BH407" s="442"/>
      <c r="BI407" s="443"/>
      <c r="BJ407" s="444">
        <f t="shared" si="162"/>
        <v>0</v>
      </c>
      <c r="BK407" s="307"/>
      <c r="BL407" s="307"/>
      <c r="BM407" s="445">
        <f t="shared" si="163"/>
        <v>0</v>
      </c>
      <c r="BN407" s="442"/>
      <c r="BO407" s="443"/>
      <c r="BP407" s="444">
        <f t="shared" si="164"/>
        <v>0</v>
      </c>
      <c r="BQ407" s="307"/>
      <c r="BR407" s="307"/>
      <c r="BS407" s="445">
        <f t="shared" si="165"/>
        <v>0</v>
      </c>
      <c r="BT407" s="442">
        <v>1</v>
      </c>
      <c r="BU407" s="443">
        <v>46465</v>
      </c>
      <c r="BV407" s="444">
        <f t="shared" si="166"/>
        <v>38017.663</v>
      </c>
      <c r="BW407" s="307">
        <v>1</v>
      </c>
      <c r="BX407" s="307">
        <v>46465</v>
      </c>
      <c r="BY407" s="449">
        <f t="shared" si="167"/>
        <v>38017.663</v>
      </c>
    </row>
    <row r="408" spans="1:77" s="308" customFormat="1" ht="12.75" customHeight="1">
      <c r="A408" s="352" t="s">
        <v>311</v>
      </c>
      <c r="B408" s="354" t="s">
        <v>702</v>
      </c>
      <c r="C408" s="354"/>
      <c r="D408" s="353">
        <v>375708</v>
      </c>
      <c r="E408" s="415">
        <v>13</v>
      </c>
      <c r="F408" s="453"/>
      <c r="G408" s="454"/>
      <c r="H408" s="439">
        <f t="shared" si="144"/>
        <v>0</v>
      </c>
      <c r="I408" s="311"/>
      <c r="J408" s="311"/>
      <c r="K408" s="441">
        <f t="shared" si="145"/>
        <v>0</v>
      </c>
      <c r="L408" s="442"/>
      <c r="M408" s="443"/>
      <c r="N408" s="444">
        <f t="shared" si="146"/>
        <v>0</v>
      </c>
      <c r="O408" s="307"/>
      <c r="P408" s="307"/>
      <c r="Q408" s="445">
        <f t="shared" si="147"/>
        <v>0</v>
      </c>
      <c r="R408" s="442"/>
      <c r="S408" s="443"/>
      <c r="T408" s="444">
        <f t="shared" si="148"/>
        <v>0</v>
      </c>
      <c r="U408" s="307"/>
      <c r="V408" s="307"/>
      <c r="W408" s="441">
        <f t="shared" si="149"/>
        <v>0</v>
      </c>
      <c r="X408" s="442"/>
      <c r="Y408" s="443"/>
      <c r="Z408" s="444">
        <f t="shared" si="150"/>
        <v>0</v>
      </c>
      <c r="AA408" s="307"/>
      <c r="AB408" s="307"/>
      <c r="AC408" s="445">
        <f t="shared" si="151"/>
        <v>0</v>
      </c>
      <c r="AD408" s="442"/>
      <c r="AE408" s="443"/>
      <c r="AF408" s="444">
        <f t="shared" si="152"/>
        <v>0</v>
      </c>
      <c r="AG408" s="307"/>
      <c r="AH408" s="307"/>
      <c r="AI408" s="445">
        <f t="shared" si="153"/>
        <v>0</v>
      </c>
      <c r="AJ408" s="446">
        <v>7</v>
      </c>
      <c r="AK408" s="443">
        <v>52473</v>
      </c>
      <c r="AL408" s="444">
        <f t="shared" si="154"/>
        <v>367311</v>
      </c>
      <c r="AM408" s="307">
        <v>7</v>
      </c>
      <c r="AN408" s="307">
        <v>53023</v>
      </c>
      <c r="AO408" s="447">
        <f t="shared" si="155"/>
        <v>371161</v>
      </c>
      <c r="AP408" s="448"/>
      <c r="AQ408" s="443"/>
      <c r="AR408" s="444">
        <f t="shared" si="156"/>
        <v>0</v>
      </c>
      <c r="AS408" s="307"/>
      <c r="AT408" s="307"/>
      <c r="AU408" s="441">
        <f t="shared" si="157"/>
        <v>0</v>
      </c>
      <c r="AV408" s="442"/>
      <c r="AW408" s="443"/>
      <c r="AX408" s="444">
        <f t="shared" si="158"/>
        <v>0</v>
      </c>
      <c r="AY408" s="307"/>
      <c r="AZ408" s="307"/>
      <c r="BA408" s="445">
        <f t="shared" si="159"/>
        <v>0</v>
      </c>
      <c r="BB408" s="442"/>
      <c r="BC408" s="443"/>
      <c r="BD408" s="444">
        <f t="shared" si="160"/>
        <v>0</v>
      </c>
      <c r="BE408" s="307"/>
      <c r="BF408" s="307"/>
      <c r="BG408" s="445">
        <f t="shared" si="161"/>
        <v>0</v>
      </c>
      <c r="BH408" s="442"/>
      <c r="BI408" s="443"/>
      <c r="BJ408" s="444">
        <f t="shared" si="162"/>
        <v>0</v>
      </c>
      <c r="BK408" s="307"/>
      <c r="BL408" s="307"/>
      <c r="BM408" s="445">
        <f t="shared" si="163"/>
        <v>0</v>
      </c>
      <c r="BN408" s="442"/>
      <c r="BO408" s="443"/>
      <c r="BP408" s="444">
        <f t="shared" si="164"/>
        <v>0</v>
      </c>
      <c r="BQ408" s="307"/>
      <c r="BR408" s="307"/>
      <c r="BS408" s="445">
        <f t="shared" si="165"/>
        <v>0</v>
      </c>
      <c r="BT408" s="442">
        <v>2</v>
      </c>
      <c r="BU408" s="443">
        <v>56118</v>
      </c>
      <c r="BV408" s="444">
        <f t="shared" si="166"/>
        <v>91831.495200000005</v>
      </c>
      <c r="BW408" s="307">
        <v>2</v>
      </c>
      <c r="BX408" s="307">
        <v>56718</v>
      </c>
      <c r="BY408" s="449">
        <f t="shared" si="167"/>
        <v>92813.335200000001</v>
      </c>
    </row>
    <row r="409" spans="1:77" s="308" customFormat="1" ht="12.75" customHeight="1">
      <c r="A409" s="352" t="s">
        <v>311</v>
      </c>
      <c r="B409" s="354" t="s">
        <v>703</v>
      </c>
      <c r="C409" s="354"/>
      <c r="D409" s="353">
        <v>375717</v>
      </c>
      <c r="E409" s="415">
        <v>13</v>
      </c>
      <c r="F409" s="453"/>
      <c r="G409" s="454"/>
      <c r="H409" s="439">
        <f t="shared" si="144"/>
        <v>0</v>
      </c>
      <c r="I409" s="311"/>
      <c r="J409" s="311"/>
      <c r="K409" s="441">
        <f t="shared" si="145"/>
        <v>0</v>
      </c>
      <c r="L409" s="442"/>
      <c r="M409" s="443"/>
      <c r="N409" s="444">
        <f t="shared" si="146"/>
        <v>0</v>
      </c>
      <c r="O409" s="307"/>
      <c r="P409" s="307"/>
      <c r="Q409" s="445">
        <f t="shared" si="147"/>
        <v>0</v>
      </c>
      <c r="R409" s="442"/>
      <c r="S409" s="443"/>
      <c r="T409" s="444">
        <f t="shared" si="148"/>
        <v>0</v>
      </c>
      <c r="U409" s="307"/>
      <c r="V409" s="307"/>
      <c r="W409" s="441">
        <f t="shared" si="149"/>
        <v>0</v>
      </c>
      <c r="X409" s="442"/>
      <c r="Y409" s="443"/>
      <c r="Z409" s="444">
        <f t="shared" si="150"/>
        <v>0</v>
      </c>
      <c r="AA409" s="307"/>
      <c r="AB409" s="307"/>
      <c r="AC409" s="445">
        <f t="shared" si="151"/>
        <v>0</v>
      </c>
      <c r="AD409" s="442"/>
      <c r="AE409" s="443"/>
      <c r="AF409" s="444">
        <f t="shared" si="152"/>
        <v>0</v>
      </c>
      <c r="AG409" s="307"/>
      <c r="AH409" s="307"/>
      <c r="AI409" s="445">
        <f t="shared" si="153"/>
        <v>0</v>
      </c>
      <c r="AJ409" s="446">
        <v>9</v>
      </c>
      <c r="AK409" s="443">
        <v>52493</v>
      </c>
      <c r="AL409" s="444">
        <f t="shared" si="154"/>
        <v>472437</v>
      </c>
      <c r="AM409" s="307">
        <v>9</v>
      </c>
      <c r="AN409" s="307">
        <v>53032</v>
      </c>
      <c r="AO409" s="447">
        <f t="shared" si="155"/>
        <v>477288</v>
      </c>
      <c r="AP409" s="448"/>
      <c r="AQ409" s="443"/>
      <c r="AR409" s="444">
        <f t="shared" si="156"/>
        <v>0</v>
      </c>
      <c r="AS409" s="307"/>
      <c r="AT409" s="307"/>
      <c r="AU409" s="441">
        <f t="shared" si="157"/>
        <v>0</v>
      </c>
      <c r="AV409" s="442"/>
      <c r="AW409" s="443"/>
      <c r="AX409" s="444">
        <f t="shared" si="158"/>
        <v>0</v>
      </c>
      <c r="AY409" s="307"/>
      <c r="AZ409" s="307"/>
      <c r="BA409" s="445">
        <f t="shared" si="159"/>
        <v>0</v>
      </c>
      <c r="BB409" s="442"/>
      <c r="BC409" s="443"/>
      <c r="BD409" s="444">
        <f t="shared" si="160"/>
        <v>0</v>
      </c>
      <c r="BE409" s="307"/>
      <c r="BF409" s="307"/>
      <c r="BG409" s="445">
        <f t="shared" si="161"/>
        <v>0</v>
      </c>
      <c r="BH409" s="442"/>
      <c r="BI409" s="443"/>
      <c r="BJ409" s="444">
        <f t="shared" si="162"/>
        <v>0</v>
      </c>
      <c r="BK409" s="307"/>
      <c r="BL409" s="307"/>
      <c r="BM409" s="445">
        <f t="shared" si="163"/>
        <v>0</v>
      </c>
      <c r="BN409" s="442"/>
      <c r="BO409" s="443"/>
      <c r="BP409" s="444">
        <f t="shared" si="164"/>
        <v>0</v>
      </c>
      <c r="BQ409" s="307"/>
      <c r="BR409" s="307"/>
      <c r="BS409" s="445">
        <f t="shared" si="165"/>
        <v>0</v>
      </c>
      <c r="BT409" s="442">
        <v>2</v>
      </c>
      <c r="BU409" s="443">
        <v>58953</v>
      </c>
      <c r="BV409" s="444">
        <f t="shared" si="166"/>
        <v>96470.689200000008</v>
      </c>
      <c r="BW409" s="307">
        <v>3</v>
      </c>
      <c r="BX409" s="307">
        <v>53990</v>
      </c>
      <c r="BY409" s="449">
        <f t="shared" si="167"/>
        <v>132523.85399999999</v>
      </c>
    </row>
    <row r="410" spans="1:77" s="308" customFormat="1" ht="12.75" customHeight="1">
      <c r="A410" s="352" t="s">
        <v>311</v>
      </c>
      <c r="B410" s="354" t="s">
        <v>704</v>
      </c>
      <c r="C410" s="354"/>
      <c r="D410" s="353">
        <v>375735</v>
      </c>
      <c r="E410" s="415">
        <v>13</v>
      </c>
      <c r="F410" s="453"/>
      <c r="G410" s="454"/>
      <c r="H410" s="439">
        <f t="shared" si="144"/>
        <v>0</v>
      </c>
      <c r="I410" s="311"/>
      <c r="J410" s="311"/>
      <c r="K410" s="441">
        <f t="shared" si="145"/>
        <v>0</v>
      </c>
      <c r="L410" s="442"/>
      <c r="M410" s="443"/>
      <c r="N410" s="444">
        <f t="shared" si="146"/>
        <v>0</v>
      </c>
      <c r="O410" s="307"/>
      <c r="P410" s="307"/>
      <c r="Q410" s="445">
        <f t="shared" si="147"/>
        <v>0</v>
      </c>
      <c r="R410" s="442"/>
      <c r="S410" s="443"/>
      <c r="T410" s="444">
        <f t="shared" si="148"/>
        <v>0</v>
      </c>
      <c r="U410" s="307"/>
      <c r="V410" s="307"/>
      <c r="W410" s="441">
        <f t="shared" si="149"/>
        <v>0</v>
      </c>
      <c r="X410" s="442"/>
      <c r="Y410" s="443"/>
      <c r="Z410" s="444">
        <f t="shared" si="150"/>
        <v>0</v>
      </c>
      <c r="AA410" s="307"/>
      <c r="AB410" s="307"/>
      <c r="AC410" s="445">
        <f t="shared" si="151"/>
        <v>0</v>
      </c>
      <c r="AD410" s="442"/>
      <c r="AE410" s="443"/>
      <c r="AF410" s="444">
        <f t="shared" si="152"/>
        <v>0</v>
      </c>
      <c r="AG410" s="307"/>
      <c r="AH410" s="307"/>
      <c r="AI410" s="445">
        <f t="shared" si="153"/>
        <v>0</v>
      </c>
      <c r="AJ410" s="446">
        <v>9</v>
      </c>
      <c r="AK410" s="443">
        <v>49974</v>
      </c>
      <c r="AL410" s="444">
        <f t="shared" si="154"/>
        <v>449766</v>
      </c>
      <c r="AM410" s="307">
        <v>9</v>
      </c>
      <c r="AN410" s="307">
        <v>52238</v>
      </c>
      <c r="AO410" s="447">
        <f t="shared" si="155"/>
        <v>470142</v>
      </c>
      <c r="AP410" s="448"/>
      <c r="AQ410" s="443"/>
      <c r="AR410" s="444">
        <f t="shared" si="156"/>
        <v>0</v>
      </c>
      <c r="AS410" s="307"/>
      <c r="AT410" s="307"/>
      <c r="AU410" s="441">
        <f t="shared" si="157"/>
        <v>0</v>
      </c>
      <c r="AV410" s="442"/>
      <c r="AW410" s="443"/>
      <c r="AX410" s="444">
        <f t="shared" si="158"/>
        <v>0</v>
      </c>
      <c r="AY410" s="307"/>
      <c r="AZ410" s="307"/>
      <c r="BA410" s="445">
        <f t="shared" si="159"/>
        <v>0</v>
      </c>
      <c r="BB410" s="442"/>
      <c r="BC410" s="443"/>
      <c r="BD410" s="444">
        <f t="shared" si="160"/>
        <v>0</v>
      </c>
      <c r="BE410" s="307"/>
      <c r="BF410" s="307"/>
      <c r="BG410" s="445">
        <f t="shared" si="161"/>
        <v>0</v>
      </c>
      <c r="BH410" s="442"/>
      <c r="BI410" s="443"/>
      <c r="BJ410" s="444">
        <f t="shared" si="162"/>
        <v>0</v>
      </c>
      <c r="BK410" s="307"/>
      <c r="BL410" s="307"/>
      <c r="BM410" s="445">
        <f t="shared" si="163"/>
        <v>0</v>
      </c>
      <c r="BN410" s="442"/>
      <c r="BO410" s="443"/>
      <c r="BP410" s="444">
        <f t="shared" si="164"/>
        <v>0</v>
      </c>
      <c r="BQ410" s="307"/>
      <c r="BR410" s="307"/>
      <c r="BS410" s="445">
        <f t="shared" si="165"/>
        <v>0</v>
      </c>
      <c r="BT410" s="442">
        <v>3</v>
      </c>
      <c r="BU410" s="443">
        <v>59513</v>
      </c>
      <c r="BV410" s="444">
        <f t="shared" si="166"/>
        <v>146080.60980000001</v>
      </c>
      <c r="BW410" s="307">
        <v>3</v>
      </c>
      <c r="BX410" s="307">
        <v>59173</v>
      </c>
      <c r="BY410" s="449">
        <f t="shared" si="167"/>
        <v>145246.04579999999</v>
      </c>
    </row>
    <row r="411" spans="1:77" s="308" customFormat="1" ht="12.75" customHeight="1">
      <c r="A411" s="352" t="s">
        <v>311</v>
      </c>
      <c r="B411" s="354" t="s">
        <v>705</v>
      </c>
      <c r="C411" s="354"/>
      <c r="D411" s="353">
        <v>375726</v>
      </c>
      <c r="E411" s="415">
        <v>13</v>
      </c>
      <c r="F411" s="453"/>
      <c r="G411" s="454"/>
      <c r="H411" s="439">
        <f t="shared" si="144"/>
        <v>0</v>
      </c>
      <c r="I411" s="311"/>
      <c r="J411" s="311"/>
      <c r="K411" s="441">
        <f t="shared" si="145"/>
        <v>0</v>
      </c>
      <c r="L411" s="442"/>
      <c r="M411" s="443"/>
      <c r="N411" s="444">
        <f t="shared" si="146"/>
        <v>0</v>
      </c>
      <c r="O411" s="307"/>
      <c r="P411" s="307"/>
      <c r="Q411" s="445">
        <f t="shared" si="147"/>
        <v>0</v>
      </c>
      <c r="R411" s="442"/>
      <c r="S411" s="443"/>
      <c r="T411" s="444">
        <f t="shared" si="148"/>
        <v>0</v>
      </c>
      <c r="U411" s="307"/>
      <c r="V411" s="307"/>
      <c r="W411" s="441">
        <f t="shared" si="149"/>
        <v>0</v>
      </c>
      <c r="X411" s="442"/>
      <c r="Y411" s="443"/>
      <c r="Z411" s="444">
        <f t="shared" si="150"/>
        <v>0</v>
      </c>
      <c r="AA411" s="307"/>
      <c r="AB411" s="307"/>
      <c r="AC411" s="445">
        <f t="shared" si="151"/>
        <v>0</v>
      </c>
      <c r="AD411" s="442"/>
      <c r="AE411" s="443"/>
      <c r="AF411" s="444">
        <f t="shared" si="152"/>
        <v>0</v>
      </c>
      <c r="AG411" s="307"/>
      <c r="AH411" s="307"/>
      <c r="AI411" s="445">
        <f t="shared" si="153"/>
        <v>0</v>
      </c>
      <c r="AJ411" s="446">
        <v>16</v>
      </c>
      <c r="AK411" s="443">
        <v>49599</v>
      </c>
      <c r="AL411" s="444">
        <f t="shared" si="154"/>
        <v>793584</v>
      </c>
      <c r="AM411" s="307">
        <v>16</v>
      </c>
      <c r="AN411" s="307">
        <v>50538</v>
      </c>
      <c r="AO411" s="447">
        <f t="shared" si="155"/>
        <v>808608</v>
      </c>
      <c r="AP411" s="448"/>
      <c r="AQ411" s="443"/>
      <c r="AR411" s="444">
        <f t="shared" si="156"/>
        <v>0</v>
      </c>
      <c r="AS411" s="307"/>
      <c r="AT411" s="307"/>
      <c r="AU411" s="441">
        <f t="shared" si="157"/>
        <v>0</v>
      </c>
      <c r="AV411" s="442"/>
      <c r="AW411" s="443"/>
      <c r="AX411" s="444">
        <f t="shared" si="158"/>
        <v>0</v>
      </c>
      <c r="AY411" s="307"/>
      <c r="AZ411" s="307"/>
      <c r="BA411" s="445">
        <f t="shared" si="159"/>
        <v>0</v>
      </c>
      <c r="BB411" s="442"/>
      <c r="BC411" s="443"/>
      <c r="BD411" s="444">
        <f t="shared" si="160"/>
        <v>0</v>
      </c>
      <c r="BE411" s="307"/>
      <c r="BF411" s="307"/>
      <c r="BG411" s="445">
        <f t="shared" si="161"/>
        <v>0</v>
      </c>
      <c r="BH411" s="442"/>
      <c r="BI411" s="443"/>
      <c r="BJ411" s="444">
        <f t="shared" si="162"/>
        <v>0</v>
      </c>
      <c r="BK411" s="307"/>
      <c r="BL411" s="307"/>
      <c r="BM411" s="445">
        <f t="shared" si="163"/>
        <v>0</v>
      </c>
      <c r="BN411" s="442"/>
      <c r="BO411" s="443"/>
      <c r="BP411" s="444">
        <f t="shared" si="164"/>
        <v>0</v>
      </c>
      <c r="BQ411" s="307"/>
      <c r="BR411" s="307"/>
      <c r="BS411" s="445">
        <f t="shared" si="165"/>
        <v>0</v>
      </c>
      <c r="BT411" s="442">
        <v>4</v>
      </c>
      <c r="BU411" s="443">
        <v>59454</v>
      </c>
      <c r="BV411" s="444">
        <f t="shared" si="166"/>
        <v>194581.05120000002</v>
      </c>
      <c r="BW411" s="307">
        <v>4</v>
      </c>
      <c r="BX411" s="307">
        <v>59754</v>
      </c>
      <c r="BY411" s="449">
        <f t="shared" si="167"/>
        <v>195562.89120000001</v>
      </c>
    </row>
    <row r="412" spans="1:77" s="308" customFormat="1" ht="12.75" customHeight="1">
      <c r="A412" s="352" t="s">
        <v>311</v>
      </c>
      <c r="B412" s="354" t="s">
        <v>706</v>
      </c>
      <c r="C412" s="354"/>
      <c r="D412" s="353">
        <v>375744</v>
      </c>
      <c r="E412" s="415">
        <v>13</v>
      </c>
      <c r="F412" s="453"/>
      <c r="G412" s="454"/>
      <c r="H412" s="439">
        <f t="shared" si="144"/>
        <v>0</v>
      </c>
      <c r="I412" s="311"/>
      <c r="J412" s="311"/>
      <c r="K412" s="441">
        <f t="shared" si="145"/>
        <v>0</v>
      </c>
      <c r="L412" s="442"/>
      <c r="M412" s="443"/>
      <c r="N412" s="444">
        <f t="shared" si="146"/>
        <v>0</v>
      </c>
      <c r="O412" s="307"/>
      <c r="P412" s="307"/>
      <c r="Q412" s="445">
        <f t="shared" si="147"/>
        <v>0</v>
      </c>
      <c r="R412" s="442"/>
      <c r="S412" s="443"/>
      <c r="T412" s="444">
        <f t="shared" si="148"/>
        <v>0</v>
      </c>
      <c r="U412" s="307"/>
      <c r="V412" s="307"/>
      <c r="W412" s="441">
        <f t="shared" si="149"/>
        <v>0</v>
      </c>
      <c r="X412" s="442"/>
      <c r="Y412" s="443"/>
      <c r="Z412" s="444">
        <f t="shared" si="150"/>
        <v>0</v>
      </c>
      <c r="AA412" s="307"/>
      <c r="AB412" s="307"/>
      <c r="AC412" s="445">
        <f t="shared" si="151"/>
        <v>0</v>
      </c>
      <c r="AD412" s="442"/>
      <c r="AE412" s="443"/>
      <c r="AF412" s="444">
        <f t="shared" si="152"/>
        <v>0</v>
      </c>
      <c r="AG412" s="307"/>
      <c r="AH412" s="307"/>
      <c r="AI412" s="445">
        <f t="shared" si="153"/>
        <v>0</v>
      </c>
      <c r="AJ412" s="446">
        <v>9</v>
      </c>
      <c r="AK412" s="443">
        <v>50351</v>
      </c>
      <c r="AL412" s="444">
        <f t="shared" si="154"/>
        <v>453159</v>
      </c>
      <c r="AM412" s="307">
        <v>10</v>
      </c>
      <c r="AN412" s="307">
        <v>50781</v>
      </c>
      <c r="AO412" s="447">
        <f t="shared" si="155"/>
        <v>507810</v>
      </c>
      <c r="AP412" s="448"/>
      <c r="AQ412" s="443"/>
      <c r="AR412" s="444">
        <f t="shared" si="156"/>
        <v>0</v>
      </c>
      <c r="AS412" s="307"/>
      <c r="AT412" s="307"/>
      <c r="AU412" s="441">
        <f t="shared" si="157"/>
        <v>0</v>
      </c>
      <c r="AV412" s="442"/>
      <c r="AW412" s="443"/>
      <c r="AX412" s="444">
        <f t="shared" si="158"/>
        <v>0</v>
      </c>
      <c r="AY412" s="307"/>
      <c r="AZ412" s="307"/>
      <c r="BA412" s="445">
        <f t="shared" si="159"/>
        <v>0</v>
      </c>
      <c r="BB412" s="442"/>
      <c r="BC412" s="443"/>
      <c r="BD412" s="444">
        <f t="shared" si="160"/>
        <v>0</v>
      </c>
      <c r="BE412" s="307"/>
      <c r="BF412" s="307"/>
      <c r="BG412" s="445">
        <f t="shared" si="161"/>
        <v>0</v>
      </c>
      <c r="BH412" s="442"/>
      <c r="BI412" s="443"/>
      <c r="BJ412" s="444">
        <f t="shared" si="162"/>
        <v>0</v>
      </c>
      <c r="BK412" s="307"/>
      <c r="BL412" s="307"/>
      <c r="BM412" s="445">
        <f t="shared" si="163"/>
        <v>0</v>
      </c>
      <c r="BN412" s="442"/>
      <c r="BO412" s="443"/>
      <c r="BP412" s="444">
        <f t="shared" si="164"/>
        <v>0</v>
      </c>
      <c r="BQ412" s="307"/>
      <c r="BR412" s="307"/>
      <c r="BS412" s="445">
        <f t="shared" si="165"/>
        <v>0</v>
      </c>
      <c r="BT412" s="442">
        <v>3</v>
      </c>
      <c r="BU412" s="443">
        <v>52998</v>
      </c>
      <c r="BV412" s="444">
        <f t="shared" si="166"/>
        <v>130088.89080000001</v>
      </c>
      <c r="BW412" s="307">
        <v>3</v>
      </c>
      <c r="BX412" s="307">
        <v>53738</v>
      </c>
      <c r="BY412" s="449">
        <f t="shared" si="167"/>
        <v>131905.2948</v>
      </c>
    </row>
    <row r="413" spans="1:77" s="308" customFormat="1" ht="12.75" customHeight="1">
      <c r="A413" s="352" t="s">
        <v>311</v>
      </c>
      <c r="B413" s="354" t="s">
        <v>707</v>
      </c>
      <c r="C413" s="354"/>
      <c r="D413" s="353">
        <v>375753</v>
      </c>
      <c r="E413" s="415">
        <v>13</v>
      </c>
      <c r="F413" s="453"/>
      <c r="G413" s="454"/>
      <c r="H413" s="439">
        <f t="shared" si="144"/>
        <v>0</v>
      </c>
      <c r="I413" s="311"/>
      <c r="J413" s="311"/>
      <c r="K413" s="441">
        <f t="shared" si="145"/>
        <v>0</v>
      </c>
      <c r="L413" s="442"/>
      <c r="M413" s="443"/>
      <c r="N413" s="444">
        <f t="shared" si="146"/>
        <v>0</v>
      </c>
      <c r="O413" s="307"/>
      <c r="P413" s="307"/>
      <c r="Q413" s="445">
        <f t="shared" si="147"/>
        <v>0</v>
      </c>
      <c r="R413" s="442"/>
      <c r="S413" s="443"/>
      <c r="T413" s="444">
        <f t="shared" si="148"/>
        <v>0</v>
      </c>
      <c r="U413" s="307"/>
      <c r="V413" s="307"/>
      <c r="W413" s="441">
        <f t="shared" si="149"/>
        <v>0</v>
      </c>
      <c r="X413" s="442"/>
      <c r="Y413" s="443"/>
      <c r="Z413" s="444">
        <f t="shared" si="150"/>
        <v>0</v>
      </c>
      <c r="AA413" s="307"/>
      <c r="AB413" s="307"/>
      <c r="AC413" s="445">
        <f t="shared" si="151"/>
        <v>0</v>
      </c>
      <c r="AD413" s="442"/>
      <c r="AE413" s="443"/>
      <c r="AF413" s="444">
        <f t="shared" si="152"/>
        <v>0</v>
      </c>
      <c r="AG413" s="307"/>
      <c r="AH413" s="307"/>
      <c r="AI413" s="445">
        <f t="shared" si="153"/>
        <v>0</v>
      </c>
      <c r="AJ413" s="446">
        <v>2</v>
      </c>
      <c r="AK413" s="443">
        <v>47425</v>
      </c>
      <c r="AL413" s="444">
        <f t="shared" si="154"/>
        <v>94850</v>
      </c>
      <c r="AM413" s="307">
        <v>2</v>
      </c>
      <c r="AN413" s="307">
        <v>47925</v>
      </c>
      <c r="AO413" s="447">
        <f t="shared" si="155"/>
        <v>95850</v>
      </c>
      <c r="AP413" s="448"/>
      <c r="AQ413" s="443"/>
      <c r="AR413" s="444">
        <f t="shared" si="156"/>
        <v>0</v>
      </c>
      <c r="AS413" s="307"/>
      <c r="AT413" s="307"/>
      <c r="AU413" s="441">
        <f t="shared" si="157"/>
        <v>0</v>
      </c>
      <c r="AV413" s="442"/>
      <c r="AW413" s="443"/>
      <c r="AX413" s="444">
        <f t="shared" si="158"/>
        <v>0</v>
      </c>
      <c r="AY413" s="307"/>
      <c r="AZ413" s="307"/>
      <c r="BA413" s="445">
        <f t="shared" si="159"/>
        <v>0</v>
      </c>
      <c r="BB413" s="442"/>
      <c r="BC413" s="443"/>
      <c r="BD413" s="444">
        <f t="shared" si="160"/>
        <v>0</v>
      </c>
      <c r="BE413" s="307"/>
      <c r="BF413" s="307"/>
      <c r="BG413" s="445">
        <f t="shared" si="161"/>
        <v>0</v>
      </c>
      <c r="BH413" s="442"/>
      <c r="BI413" s="443"/>
      <c r="BJ413" s="444">
        <f t="shared" si="162"/>
        <v>0</v>
      </c>
      <c r="BK413" s="307"/>
      <c r="BL413" s="307"/>
      <c r="BM413" s="445">
        <f t="shared" si="163"/>
        <v>0</v>
      </c>
      <c r="BN413" s="442"/>
      <c r="BO413" s="443"/>
      <c r="BP413" s="444">
        <f t="shared" si="164"/>
        <v>0</v>
      </c>
      <c r="BQ413" s="307"/>
      <c r="BR413" s="307"/>
      <c r="BS413" s="445">
        <f t="shared" si="165"/>
        <v>0</v>
      </c>
      <c r="BT413" s="442"/>
      <c r="BU413" s="443"/>
      <c r="BV413" s="444">
        <f t="shared" si="166"/>
        <v>0</v>
      </c>
      <c r="BW413" s="307"/>
      <c r="BX413" s="307"/>
      <c r="BY413" s="449">
        <f t="shared" si="167"/>
        <v>0</v>
      </c>
    </row>
    <row r="414" spans="1:77" s="308" customFormat="1" ht="12.75" customHeight="1">
      <c r="A414" s="352" t="s">
        <v>311</v>
      </c>
      <c r="B414" s="354" t="s">
        <v>708</v>
      </c>
      <c r="C414" s="354"/>
      <c r="D414" s="353">
        <v>405748</v>
      </c>
      <c r="E414" s="415">
        <v>13</v>
      </c>
      <c r="F414" s="453"/>
      <c r="G414" s="454"/>
      <c r="H414" s="439">
        <f t="shared" si="144"/>
        <v>0</v>
      </c>
      <c r="I414" s="311"/>
      <c r="J414" s="311"/>
      <c r="K414" s="441">
        <f t="shared" si="145"/>
        <v>0</v>
      </c>
      <c r="L414" s="442"/>
      <c r="M414" s="443"/>
      <c r="N414" s="444">
        <f t="shared" si="146"/>
        <v>0</v>
      </c>
      <c r="O414" s="307"/>
      <c r="P414" s="307"/>
      <c r="Q414" s="445">
        <f t="shared" si="147"/>
        <v>0</v>
      </c>
      <c r="R414" s="442"/>
      <c r="S414" s="443"/>
      <c r="T414" s="444">
        <f t="shared" si="148"/>
        <v>0</v>
      </c>
      <c r="U414" s="307"/>
      <c r="V414" s="307"/>
      <c r="W414" s="441">
        <f t="shared" si="149"/>
        <v>0</v>
      </c>
      <c r="X414" s="442"/>
      <c r="Y414" s="443"/>
      <c r="Z414" s="444">
        <f t="shared" si="150"/>
        <v>0</v>
      </c>
      <c r="AA414" s="307"/>
      <c r="AB414" s="307"/>
      <c r="AC414" s="445">
        <f t="shared" si="151"/>
        <v>0</v>
      </c>
      <c r="AD414" s="442"/>
      <c r="AE414" s="443"/>
      <c r="AF414" s="444">
        <f t="shared" si="152"/>
        <v>0</v>
      </c>
      <c r="AG414" s="307"/>
      <c r="AH414" s="307"/>
      <c r="AI414" s="445">
        <f t="shared" si="153"/>
        <v>0</v>
      </c>
      <c r="AJ414" s="446">
        <v>5</v>
      </c>
      <c r="AK414" s="443">
        <v>55580</v>
      </c>
      <c r="AL414" s="444">
        <f t="shared" si="154"/>
        <v>277900</v>
      </c>
      <c r="AM414" s="307">
        <v>6</v>
      </c>
      <c r="AN414" s="307">
        <v>48369</v>
      </c>
      <c r="AO414" s="447">
        <f t="shared" si="155"/>
        <v>290214</v>
      </c>
      <c r="AP414" s="448"/>
      <c r="AQ414" s="443"/>
      <c r="AR414" s="444">
        <f t="shared" si="156"/>
        <v>0</v>
      </c>
      <c r="AS414" s="307"/>
      <c r="AT414" s="307"/>
      <c r="AU414" s="441">
        <f t="shared" si="157"/>
        <v>0</v>
      </c>
      <c r="AV414" s="442"/>
      <c r="AW414" s="443"/>
      <c r="AX414" s="444">
        <f t="shared" si="158"/>
        <v>0</v>
      </c>
      <c r="AY414" s="307"/>
      <c r="AZ414" s="307"/>
      <c r="BA414" s="445">
        <f t="shared" si="159"/>
        <v>0</v>
      </c>
      <c r="BB414" s="442"/>
      <c r="BC414" s="443"/>
      <c r="BD414" s="444">
        <f t="shared" si="160"/>
        <v>0</v>
      </c>
      <c r="BE414" s="307"/>
      <c r="BF414" s="307"/>
      <c r="BG414" s="445">
        <f t="shared" si="161"/>
        <v>0</v>
      </c>
      <c r="BH414" s="442"/>
      <c r="BI414" s="443"/>
      <c r="BJ414" s="444">
        <f t="shared" si="162"/>
        <v>0</v>
      </c>
      <c r="BK414" s="307"/>
      <c r="BL414" s="307"/>
      <c r="BM414" s="445">
        <f t="shared" si="163"/>
        <v>0</v>
      </c>
      <c r="BN414" s="442"/>
      <c r="BO414" s="443"/>
      <c r="BP414" s="444">
        <f t="shared" si="164"/>
        <v>0</v>
      </c>
      <c r="BQ414" s="307"/>
      <c r="BR414" s="307"/>
      <c r="BS414" s="445">
        <f t="shared" si="165"/>
        <v>0</v>
      </c>
      <c r="BT414" s="442"/>
      <c r="BU414" s="443"/>
      <c r="BV414" s="444">
        <f t="shared" si="166"/>
        <v>0</v>
      </c>
      <c r="BW414" s="307"/>
      <c r="BX414" s="307"/>
      <c r="BY414" s="449">
        <f t="shared" si="167"/>
        <v>0</v>
      </c>
    </row>
    <row r="415" spans="1:77" s="308" customFormat="1" ht="12.75" customHeight="1">
      <c r="A415" s="352" t="s">
        <v>311</v>
      </c>
      <c r="B415" s="354" t="s">
        <v>709</v>
      </c>
      <c r="C415" s="354"/>
      <c r="D415" s="353">
        <v>375762</v>
      </c>
      <c r="E415" s="415">
        <v>13</v>
      </c>
      <c r="F415" s="453"/>
      <c r="G415" s="454"/>
      <c r="H415" s="439">
        <f t="shared" si="144"/>
        <v>0</v>
      </c>
      <c r="I415" s="311"/>
      <c r="J415" s="311"/>
      <c r="K415" s="441">
        <f t="shared" si="145"/>
        <v>0</v>
      </c>
      <c r="L415" s="442"/>
      <c r="M415" s="443"/>
      <c r="N415" s="444">
        <f t="shared" si="146"/>
        <v>0</v>
      </c>
      <c r="O415" s="307"/>
      <c r="P415" s="307"/>
      <c r="Q415" s="445">
        <f t="shared" si="147"/>
        <v>0</v>
      </c>
      <c r="R415" s="442"/>
      <c r="S415" s="443"/>
      <c r="T415" s="444">
        <f t="shared" si="148"/>
        <v>0</v>
      </c>
      <c r="U415" s="307"/>
      <c r="V415" s="307"/>
      <c r="W415" s="441">
        <f t="shared" si="149"/>
        <v>0</v>
      </c>
      <c r="X415" s="442"/>
      <c r="Y415" s="443"/>
      <c r="Z415" s="444">
        <f t="shared" si="150"/>
        <v>0</v>
      </c>
      <c r="AA415" s="307"/>
      <c r="AB415" s="307"/>
      <c r="AC415" s="445">
        <f t="shared" si="151"/>
        <v>0</v>
      </c>
      <c r="AD415" s="442"/>
      <c r="AE415" s="443"/>
      <c r="AF415" s="444">
        <f t="shared" si="152"/>
        <v>0</v>
      </c>
      <c r="AG415" s="307"/>
      <c r="AH415" s="307"/>
      <c r="AI415" s="445">
        <f t="shared" si="153"/>
        <v>0</v>
      </c>
      <c r="AJ415" s="446">
        <v>5</v>
      </c>
      <c r="AK415" s="443">
        <v>51120</v>
      </c>
      <c r="AL415" s="444">
        <f t="shared" si="154"/>
        <v>255600</v>
      </c>
      <c r="AM415" s="307">
        <v>4</v>
      </c>
      <c r="AN415" s="307">
        <v>50096</v>
      </c>
      <c r="AO415" s="447">
        <f t="shared" si="155"/>
        <v>200384</v>
      </c>
      <c r="AP415" s="448"/>
      <c r="AQ415" s="443"/>
      <c r="AR415" s="444">
        <f t="shared" si="156"/>
        <v>0</v>
      </c>
      <c r="AS415" s="307"/>
      <c r="AT415" s="307"/>
      <c r="AU415" s="441">
        <f t="shared" si="157"/>
        <v>0</v>
      </c>
      <c r="AV415" s="442"/>
      <c r="AW415" s="443"/>
      <c r="AX415" s="444">
        <f t="shared" si="158"/>
        <v>0</v>
      </c>
      <c r="AY415" s="307"/>
      <c r="AZ415" s="307"/>
      <c r="BA415" s="445">
        <f t="shared" si="159"/>
        <v>0</v>
      </c>
      <c r="BB415" s="442"/>
      <c r="BC415" s="443"/>
      <c r="BD415" s="444">
        <f t="shared" si="160"/>
        <v>0</v>
      </c>
      <c r="BE415" s="307"/>
      <c r="BF415" s="307"/>
      <c r="BG415" s="445">
        <f t="shared" si="161"/>
        <v>0</v>
      </c>
      <c r="BH415" s="442"/>
      <c r="BI415" s="443"/>
      <c r="BJ415" s="444">
        <f t="shared" si="162"/>
        <v>0</v>
      </c>
      <c r="BK415" s="307"/>
      <c r="BL415" s="307"/>
      <c r="BM415" s="445">
        <f t="shared" si="163"/>
        <v>0</v>
      </c>
      <c r="BN415" s="442"/>
      <c r="BO415" s="443"/>
      <c r="BP415" s="444">
        <f t="shared" si="164"/>
        <v>0</v>
      </c>
      <c r="BQ415" s="307"/>
      <c r="BR415" s="307"/>
      <c r="BS415" s="445">
        <f t="shared" si="165"/>
        <v>0</v>
      </c>
      <c r="BT415" s="442"/>
      <c r="BU415" s="443"/>
      <c r="BV415" s="444">
        <f t="shared" si="166"/>
        <v>0</v>
      </c>
      <c r="BW415" s="307"/>
      <c r="BX415" s="307"/>
      <c r="BY415" s="449">
        <f t="shared" si="167"/>
        <v>0</v>
      </c>
    </row>
    <row r="416" spans="1:77" s="308" customFormat="1" ht="12.75" customHeight="1">
      <c r="A416" s="352" t="s">
        <v>311</v>
      </c>
      <c r="B416" s="354" t="s">
        <v>710</v>
      </c>
      <c r="C416" s="354"/>
      <c r="D416" s="353">
        <v>365480</v>
      </c>
      <c r="E416" s="415">
        <v>13</v>
      </c>
      <c r="F416" s="453"/>
      <c r="G416" s="454"/>
      <c r="H416" s="439">
        <f t="shared" si="144"/>
        <v>0</v>
      </c>
      <c r="I416" s="311"/>
      <c r="J416" s="311"/>
      <c r="K416" s="441">
        <f t="shared" si="145"/>
        <v>0</v>
      </c>
      <c r="L416" s="442"/>
      <c r="M416" s="443"/>
      <c r="N416" s="444">
        <f t="shared" si="146"/>
        <v>0</v>
      </c>
      <c r="O416" s="307"/>
      <c r="P416" s="307"/>
      <c r="Q416" s="445">
        <f t="shared" si="147"/>
        <v>0</v>
      </c>
      <c r="R416" s="442"/>
      <c r="S416" s="443"/>
      <c r="T416" s="444">
        <f t="shared" si="148"/>
        <v>0</v>
      </c>
      <c r="U416" s="307"/>
      <c r="V416" s="307"/>
      <c r="W416" s="441">
        <f t="shared" si="149"/>
        <v>0</v>
      </c>
      <c r="X416" s="442"/>
      <c r="Y416" s="443"/>
      <c r="Z416" s="444">
        <f t="shared" si="150"/>
        <v>0</v>
      </c>
      <c r="AA416" s="307"/>
      <c r="AB416" s="307"/>
      <c r="AC416" s="445">
        <f t="shared" si="151"/>
        <v>0</v>
      </c>
      <c r="AD416" s="442"/>
      <c r="AE416" s="443"/>
      <c r="AF416" s="444">
        <f t="shared" si="152"/>
        <v>0</v>
      </c>
      <c r="AG416" s="307"/>
      <c r="AH416" s="307"/>
      <c r="AI416" s="445">
        <f t="shared" si="153"/>
        <v>0</v>
      </c>
      <c r="AJ416" s="446">
        <v>24</v>
      </c>
      <c r="AK416" s="443">
        <v>49949</v>
      </c>
      <c r="AL416" s="444">
        <f t="shared" si="154"/>
        <v>1198776</v>
      </c>
      <c r="AM416" s="307">
        <v>24</v>
      </c>
      <c r="AN416" s="307">
        <v>49029</v>
      </c>
      <c r="AO416" s="447">
        <f t="shared" si="155"/>
        <v>1176696</v>
      </c>
      <c r="AP416" s="448"/>
      <c r="AQ416" s="443"/>
      <c r="AR416" s="444">
        <f t="shared" si="156"/>
        <v>0</v>
      </c>
      <c r="AS416" s="307"/>
      <c r="AT416" s="307"/>
      <c r="AU416" s="441">
        <f t="shared" si="157"/>
        <v>0</v>
      </c>
      <c r="AV416" s="442"/>
      <c r="AW416" s="443"/>
      <c r="AX416" s="444">
        <f t="shared" si="158"/>
        <v>0</v>
      </c>
      <c r="AY416" s="307"/>
      <c r="AZ416" s="307"/>
      <c r="BA416" s="445">
        <f t="shared" si="159"/>
        <v>0</v>
      </c>
      <c r="BB416" s="442"/>
      <c r="BC416" s="443"/>
      <c r="BD416" s="444">
        <f t="shared" si="160"/>
        <v>0</v>
      </c>
      <c r="BE416" s="307"/>
      <c r="BF416" s="307"/>
      <c r="BG416" s="445">
        <f t="shared" si="161"/>
        <v>0</v>
      </c>
      <c r="BH416" s="442"/>
      <c r="BI416" s="443"/>
      <c r="BJ416" s="444">
        <f t="shared" si="162"/>
        <v>0</v>
      </c>
      <c r="BK416" s="307"/>
      <c r="BL416" s="307"/>
      <c r="BM416" s="445">
        <f t="shared" si="163"/>
        <v>0</v>
      </c>
      <c r="BN416" s="442"/>
      <c r="BO416" s="443"/>
      <c r="BP416" s="444">
        <f t="shared" si="164"/>
        <v>0</v>
      </c>
      <c r="BQ416" s="307"/>
      <c r="BR416" s="307"/>
      <c r="BS416" s="445">
        <f t="shared" si="165"/>
        <v>0</v>
      </c>
      <c r="BT416" s="442">
        <v>10</v>
      </c>
      <c r="BU416" s="443">
        <v>58832</v>
      </c>
      <c r="BV416" s="444">
        <f t="shared" si="166"/>
        <v>481363.424</v>
      </c>
      <c r="BW416" s="307">
        <v>11</v>
      </c>
      <c r="BX416" s="307">
        <v>58497</v>
      </c>
      <c r="BY416" s="449">
        <f t="shared" si="167"/>
        <v>526484.69940000004</v>
      </c>
    </row>
    <row r="417" spans="1:77" s="308" customFormat="1" ht="12.75" customHeight="1">
      <c r="A417" s="352" t="s">
        <v>311</v>
      </c>
      <c r="B417" s="354" t="s">
        <v>711</v>
      </c>
      <c r="C417" s="354"/>
      <c r="D417" s="353">
        <v>418320</v>
      </c>
      <c r="E417" s="415">
        <v>13</v>
      </c>
      <c r="F417" s="453"/>
      <c r="G417" s="454"/>
      <c r="H417" s="439">
        <f t="shared" si="144"/>
        <v>0</v>
      </c>
      <c r="I417" s="311"/>
      <c r="J417" s="311"/>
      <c r="K417" s="441">
        <f t="shared" si="145"/>
        <v>0</v>
      </c>
      <c r="L417" s="442"/>
      <c r="M417" s="443"/>
      <c r="N417" s="444">
        <f t="shared" si="146"/>
        <v>0</v>
      </c>
      <c r="O417" s="307"/>
      <c r="P417" s="307"/>
      <c r="Q417" s="445">
        <f t="shared" si="147"/>
        <v>0</v>
      </c>
      <c r="R417" s="442"/>
      <c r="S417" s="443"/>
      <c r="T417" s="444">
        <f t="shared" si="148"/>
        <v>0</v>
      </c>
      <c r="U417" s="307"/>
      <c r="V417" s="307"/>
      <c r="W417" s="441">
        <f t="shared" si="149"/>
        <v>0</v>
      </c>
      <c r="X417" s="442"/>
      <c r="Y417" s="443"/>
      <c r="Z417" s="444">
        <f t="shared" si="150"/>
        <v>0</v>
      </c>
      <c r="AA417" s="307"/>
      <c r="AB417" s="307"/>
      <c r="AC417" s="445">
        <f t="shared" si="151"/>
        <v>0</v>
      </c>
      <c r="AD417" s="442"/>
      <c r="AE417" s="443"/>
      <c r="AF417" s="444">
        <f t="shared" si="152"/>
        <v>0</v>
      </c>
      <c r="AG417" s="307"/>
      <c r="AH417" s="307"/>
      <c r="AI417" s="445">
        <f t="shared" si="153"/>
        <v>0</v>
      </c>
      <c r="AJ417" s="446">
        <v>21</v>
      </c>
      <c r="AK417" s="443">
        <v>48643</v>
      </c>
      <c r="AL417" s="444">
        <f t="shared" si="154"/>
        <v>1021503</v>
      </c>
      <c r="AM417" s="307">
        <v>20</v>
      </c>
      <c r="AN417" s="307">
        <v>49124</v>
      </c>
      <c r="AO417" s="447">
        <f t="shared" si="155"/>
        <v>982480</v>
      </c>
      <c r="AP417" s="448"/>
      <c r="AQ417" s="443"/>
      <c r="AR417" s="444">
        <f t="shared" si="156"/>
        <v>0</v>
      </c>
      <c r="AS417" s="307"/>
      <c r="AT417" s="307"/>
      <c r="AU417" s="441">
        <f t="shared" si="157"/>
        <v>0</v>
      </c>
      <c r="AV417" s="442"/>
      <c r="AW417" s="443"/>
      <c r="AX417" s="444">
        <f t="shared" si="158"/>
        <v>0</v>
      </c>
      <c r="AY417" s="307"/>
      <c r="AZ417" s="307"/>
      <c r="BA417" s="445">
        <f t="shared" si="159"/>
        <v>0</v>
      </c>
      <c r="BB417" s="442"/>
      <c r="BC417" s="443"/>
      <c r="BD417" s="444">
        <f t="shared" si="160"/>
        <v>0</v>
      </c>
      <c r="BE417" s="307"/>
      <c r="BF417" s="307"/>
      <c r="BG417" s="445">
        <f t="shared" si="161"/>
        <v>0</v>
      </c>
      <c r="BH417" s="442"/>
      <c r="BI417" s="443"/>
      <c r="BJ417" s="444">
        <f t="shared" si="162"/>
        <v>0</v>
      </c>
      <c r="BK417" s="307"/>
      <c r="BL417" s="307"/>
      <c r="BM417" s="445">
        <f t="shared" si="163"/>
        <v>0</v>
      </c>
      <c r="BN417" s="442"/>
      <c r="BO417" s="443"/>
      <c r="BP417" s="444">
        <f t="shared" si="164"/>
        <v>0</v>
      </c>
      <c r="BQ417" s="307"/>
      <c r="BR417" s="307"/>
      <c r="BS417" s="445">
        <f t="shared" si="165"/>
        <v>0</v>
      </c>
      <c r="BT417" s="442">
        <v>7</v>
      </c>
      <c r="BU417" s="443">
        <v>64794</v>
      </c>
      <c r="BV417" s="444">
        <f t="shared" si="166"/>
        <v>371101.1556</v>
      </c>
      <c r="BW417" s="307">
        <v>7</v>
      </c>
      <c r="BX417" s="307">
        <v>62308</v>
      </c>
      <c r="BY417" s="449">
        <f t="shared" si="167"/>
        <v>356862.83920000005</v>
      </c>
    </row>
    <row r="418" spans="1:77" s="308" customFormat="1" ht="12.75" customHeight="1">
      <c r="A418" s="352" t="s">
        <v>311</v>
      </c>
      <c r="B418" s="354" t="s">
        <v>712</v>
      </c>
      <c r="C418" s="354"/>
      <c r="D418" s="353">
        <v>431017</v>
      </c>
      <c r="E418" s="415">
        <v>13</v>
      </c>
      <c r="F418" s="453"/>
      <c r="G418" s="454"/>
      <c r="H418" s="439">
        <f t="shared" si="144"/>
        <v>0</v>
      </c>
      <c r="I418" s="311"/>
      <c r="J418" s="311"/>
      <c r="K418" s="441">
        <f t="shared" si="145"/>
        <v>0</v>
      </c>
      <c r="L418" s="442"/>
      <c r="M418" s="443"/>
      <c r="N418" s="444">
        <f t="shared" si="146"/>
        <v>0</v>
      </c>
      <c r="O418" s="307"/>
      <c r="P418" s="307"/>
      <c r="Q418" s="445">
        <f t="shared" si="147"/>
        <v>0</v>
      </c>
      <c r="R418" s="442"/>
      <c r="S418" s="443"/>
      <c r="T418" s="444">
        <f t="shared" si="148"/>
        <v>0</v>
      </c>
      <c r="U418" s="307"/>
      <c r="V418" s="307"/>
      <c r="W418" s="441">
        <f t="shared" si="149"/>
        <v>0</v>
      </c>
      <c r="X418" s="442"/>
      <c r="Y418" s="443"/>
      <c r="Z418" s="444">
        <f t="shared" si="150"/>
        <v>0</v>
      </c>
      <c r="AA418" s="307"/>
      <c r="AB418" s="307"/>
      <c r="AC418" s="445">
        <f t="shared" si="151"/>
        <v>0</v>
      </c>
      <c r="AD418" s="442"/>
      <c r="AE418" s="443"/>
      <c r="AF418" s="444">
        <f t="shared" si="152"/>
        <v>0</v>
      </c>
      <c r="AG418" s="307"/>
      <c r="AH418" s="307"/>
      <c r="AI418" s="445">
        <f t="shared" si="153"/>
        <v>0</v>
      </c>
      <c r="AJ418" s="446">
        <v>21</v>
      </c>
      <c r="AK418" s="443">
        <v>51648</v>
      </c>
      <c r="AL418" s="444">
        <f t="shared" si="154"/>
        <v>1084608</v>
      </c>
      <c r="AM418" s="307">
        <v>19</v>
      </c>
      <c r="AN418" s="307">
        <v>52087</v>
      </c>
      <c r="AO418" s="447">
        <f t="shared" si="155"/>
        <v>989653</v>
      </c>
      <c r="AP418" s="448"/>
      <c r="AQ418" s="443"/>
      <c r="AR418" s="444">
        <f t="shared" si="156"/>
        <v>0</v>
      </c>
      <c r="AS418" s="307"/>
      <c r="AT418" s="307"/>
      <c r="AU418" s="441">
        <f t="shared" si="157"/>
        <v>0</v>
      </c>
      <c r="AV418" s="442"/>
      <c r="AW418" s="443"/>
      <c r="AX418" s="444">
        <f t="shared" si="158"/>
        <v>0</v>
      </c>
      <c r="AY418" s="307"/>
      <c r="AZ418" s="307"/>
      <c r="BA418" s="445">
        <f t="shared" si="159"/>
        <v>0</v>
      </c>
      <c r="BB418" s="442"/>
      <c r="BC418" s="443"/>
      <c r="BD418" s="444">
        <f t="shared" si="160"/>
        <v>0</v>
      </c>
      <c r="BE418" s="307"/>
      <c r="BF418" s="307"/>
      <c r="BG418" s="445">
        <f t="shared" si="161"/>
        <v>0</v>
      </c>
      <c r="BH418" s="442"/>
      <c r="BI418" s="443"/>
      <c r="BJ418" s="444">
        <f t="shared" si="162"/>
        <v>0</v>
      </c>
      <c r="BK418" s="307"/>
      <c r="BL418" s="307"/>
      <c r="BM418" s="445">
        <f t="shared" si="163"/>
        <v>0</v>
      </c>
      <c r="BN418" s="442"/>
      <c r="BO418" s="443"/>
      <c r="BP418" s="444">
        <f t="shared" si="164"/>
        <v>0</v>
      </c>
      <c r="BQ418" s="307"/>
      <c r="BR418" s="307"/>
      <c r="BS418" s="445">
        <f t="shared" si="165"/>
        <v>0</v>
      </c>
      <c r="BT418" s="442">
        <v>6</v>
      </c>
      <c r="BU418" s="443">
        <v>62447</v>
      </c>
      <c r="BV418" s="444">
        <f t="shared" si="166"/>
        <v>306564.8124</v>
      </c>
      <c r="BW418" s="307">
        <v>6</v>
      </c>
      <c r="BX418" s="307">
        <v>62447</v>
      </c>
      <c r="BY418" s="449">
        <f t="shared" si="167"/>
        <v>306564.8124</v>
      </c>
    </row>
    <row r="419" spans="1:77" s="308" customFormat="1" ht="12.75" customHeight="1">
      <c r="A419" s="352" t="s">
        <v>311</v>
      </c>
      <c r="B419" s="480" t="s">
        <v>131</v>
      </c>
      <c r="C419" s="480"/>
      <c r="D419" s="353">
        <v>248606</v>
      </c>
      <c r="E419" s="415">
        <v>13</v>
      </c>
      <c r="F419" s="453"/>
      <c r="G419" s="454"/>
      <c r="H419" s="439">
        <f t="shared" si="144"/>
        <v>0</v>
      </c>
      <c r="I419" s="311"/>
      <c r="J419" s="311"/>
      <c r="K419" s="441">
        <f t="shared" si="145"/>
        <v>0</v>
      </c>
      <c r="L419" s="442"/>
      <c r="M419" s="443"/>
      <c r="N419" s="444">
        <f t="shared" si="146"/>
        <v>0</v>
      </c>
      <c r="O419" s="307"/>
      <c r="P419" s="307"/>
      <c r="Q419" s="445">
        <f t="shared" si="147"/>
        <v>0</v>
      </c>
      <c r="R419" s="442"/>
      <c r="S419" s="443"/>
      <c r="T419" s="444">
        <f t="shared" si="148"/>
        <v>0</v>
      </c>
      <c r="U419" s="307"/>
      <c r="V419" s="307"/>
      <c r="W419" s="441">
        <f t="shared" si="149"/>
        <v>0</v>
      </c>
      <c r="X419" s="442"/>
      <c r="Y419" s="443"/>
      <c r="Z419" s="444">
        <f t="shared" si="150"/>
        <v>0</v>
      </c>
      <c r="AA419" s="307"/>
      <c r="AB419" s="307"/>
      <c r="AC419" s="445">
        <f t="shared" si="151"/>
        <v>0</v>
      </c>
      <c r="AD419" s="442"/>
      <c r="AE419" s="443"/>
      <c r="AF419" s="444">
        <f t="shared" si="152"/>
        <v>0</v>
      </c>
      <c r="AG419" s="307"/>
      <c r="AH419" s="307"/>
      <c r="AI419" s="445">
        <f t="shared" si="153"/>
        <v>0</v>
      </c>
      <c r="AJ419" s="446">
        <v>46</v>
      </c>
      <c r="AK419" s="443">
        <v>56723</v>
      </c>
      <c r="AL419" s="444">
        <f t="shared" si="154"/>
        <v>2609258</v>
      </c>
      <c r="AM419" s="307">
        <v>45</v>
      </c>
      <c r="AN419" s="307">
        <v>56781</v>
      </c>
      <c r="AO419" s="447">
        <f t="shared" si="155"/>
        <v>2555145</v>
      </c>
      <c r="AP419" s="448"/>
      <c r="AQ419" s="443"/>
      <c r="AR419" s="444">
        <f t="shared" si="156"/>
        <v>0</v>
      </c>
      <c r="AS419" s="307"/>
      <c r="AT419" s="307"/>
      <c r="AU419" s="441">
        <f t="shared" si="157"/>
        <v>0</v>
      </c>
      <c r="AV419" s="442"/>
      <c r="AW419" s="443"/>
      <c r="AX419" s="444">
        <f t="shared" si="158"/>
        <v>0</v>
      </c>
      <c r="AY419" s="307"/>
      <c r="AZ419" s="307"/>
      <c r="BA419" s="445">
        <f t="shared" si="159"/>
        <v>0</v>
      </c>
      <c r="BB419" s="442"/>
      <c r="BC419" s="443"/>
      <c r="BD419" s="444">
        <f t="shared" si="160"/>
        <v>0</v>
      </c>
      <c r="BE419" s="307"/>
      <c r="BF419" s="307"/>
      <c r="BG419" s="445">
        <f t="shared" si="161"/>
        <v>0</v>
      </c>
      <c r="BH419" s="442"/>
      <c r="BI419" s="443"/>
      <c r="BJ419" s="444">
        <f t="shared" si="162"/>
        <v>0</v>
      </c>
      <c r="BK419" s="307"/>
      <c r="BL419" s="307"/>
      <c r="BM419" s="445">
        <f t="shared" si="163"/>
        <v>0</v>
      </c>
      <c r="BN419" s="442"/>
      <c r="BO419" s="443"/>
      <c r="BP419" s="444">
        <f t="shared" si="164"/>
        <v>0</v>
      </c>
      <c r="BQ419" s="307"/>
      <c r="BR419" s="307"/>
      <c r="BS419" s="445">
        <f t="shared" si="165"/>
        <v>0</v>
      </c>
      <c r="BT419" s="442">
        <v>1</v>
      </c>
      <c r="BU419" s="443">
        <v>48628</v>
      </c>
      <c r="BV419" s="444">
        <f t="shared" si="166"/>
        <v>39787.429600000003</v>
      </c>
      <c r="BW419" s="307">
        <v>1</v>
      </c>
      <c r="BX419" s="307">
        <v>48628</v>
      </c>
      <c r="BY419" s="449">
        <f t="shared" si="167"/>
        <v>39787.429600000003</v>
      </c>
    </row>
    <row r="420" spans="1:77" s="308" customFormat="1" ht="12.75" customHeight="1">
      <c r="A420" s="352" t="s">
        <v>311</v>
      </c>
      <c r="B420" s="354" t="s">
        <v>713</v>
      </c>
      <c r="C420" s="354"/>
      <c r="D420" s="353">
        <v>420459</v>
      </c>
      <c r="E420" s="415">
        <v>13</v>
      </c>
      <c r="F420" s="453"/>
      <c r="G420" s="454"/>
      <c r="H420" s="439">
        <f t="shared" si="144"/>
        <v>0</v>
      </c>
      <c r="I420" s="311"/>
      <c r="J420" s="311"/>
      <c r="K420" s="441">
        <f t="shared" si="145"/>
        <v>0</v>
      </c>
      <c r="L420" s="442"/>
      <c r="M420" s="443"/>
      <c r="N420" s="444">
        <f t="shared" si="146"/>
        <v>0</v>
      </c>
      <c r="O420" s="307"/>
      <c r="P420" s="307"/>
      <c r="Q420" s="445">
        <f t="shared" si="147"/>
        <v>0</v>
      </c>
      <c r="R420" s="442"/>
      <c r="S420" s="443"/>
      <c r="T420" s="444">
        <f t="shared" si="148"/>
        <v>0</v>
      </c>
      <c r="U420" s="307"/>
      <c r="V420" s="307"/>
      <c r="W420" s="441">
        <f t="shared" si="149"/>
        <v>0</v>
      </c>
      <c r="X420" s="442"/>
      <c r="Y420" s="443"/>
      <c r="Z420" s="444">
        <f t="shared" si="150"/>
        <v>0</v>
      </c>
      <c r="AA420" s="307"/>
      <c r="AB420" s="307"/>
      <c r="AC420" s="445">
        <f t="shared" si="151"/>
        <v>0</v>
      </c>
      <c r="AD420" s="442"/>
      <c r="AE420" s="443"/>
      <c r="AF420" s="444">
        <f t="shared" si="152"/>
        <v>0</v>
      </c>
      <c r="AG420" s="307"/>
      <c r="AH420" s="307"/>
      <c r="AI420" s="445">
        <f t="shared" si="153"/>
        <v>0</v>
      </c>
      <c r="AJ420" s="446">
        <v>16</v>
      </c>
      <c r="AK420" s="443">
        <v>53112</v>
      </c>
      <c r="AL420" s="444">
        <f t="shared" si="154"/>
        <v>849792</v>
      </c>
      <c r="AM420" s="307">
        <v>15</v>
      </c>
      <c r="AN420" s="307">
        <v>54746</v>
      </c>
      <c r="AO420" s="447">
        <f t="shared" si="155"/>
        <v>821190</v>
      </c>
      <c r="AP420" s="448"/>
      <c r="AQ420" s="443"/>
      <c r="AR420" s="444">
        <f t="shared" si="156"/>
        <v>0</v>
      </c>
      <c r="AS420" s="307"/>
      <c r="AT420" s="307"/>
      <c r="AU420" s="441">
        <f t="shared" si="157"/>
        <v>0</v>
      </c>
      <c r="AV420" s="442"/>
      <c r="AW420" s="443"/>
      <c r="AX420" s="444">
        <f t="shared" si="158"/>
        <v>0</v>
      </c>
      <c r="AY420" s="307"/>
      <c r="AZ420" s="307"/>
      <c r="BA420" s="445">
        <f t="shared" si="159"/>
        <v>0</v>
      </c>
      <c r="BB420" s="442"/>
      <c r="BC420" s="443"/>
      <c r="BD420" s="444">
        <f t="shared" si="160"/>
        <v>0</v>
      </c>
      <c r="BE420" s="307"/>
      <c r="BF420" s="307"/>
      <c r="BG420" s="445">
        <f t="shared" si="161"/>
        <v>0</v>
      </c>
      <c r="BH420" s="442"/>
      <c r="BI420" s="443"/>
      <c r="BJ420" s="444">
        <f t="shared" si="162"/>
        <v>0</v>
      </c>
      <c r="BK420" s="307"/>
      <c r="BL420" s="307"/>
      <c r="BM420" s="445">
        <f t="shared" si="163"/>
        <v>0</v>
      </c>
      <c r="BN420" s="442"/>
      <c r="BO420" s="443"/>
      <c r="BP420" s="444">
        <f t="shared" si="164"/>
        <v>0</v>
      </c>
      <c r="BQ420" s="307"/>
      <c r="BR420" s="307"/>
      <c r="BS420" s="445">
        <f t="shared" si="165"/>
        <v>0</v>
      </c>
      <c r="BT420" s="442">
        <v>4</v>
      </c>
      <c r="BU420" s="443">
        <v>62323</v>
      </c>
      <c r="BV420" s="444">
        <f t="shared" si="166"/>
        <v>203970.7144</v>
      </c>
      <c r="BW420" s="307">
        <v>4</v>
      </c>
      <c r="BX420" s="307">
        <v>64766</v>
      </c>
      <c r="BY420" s="449">
        <f t="shared" si="167"/>
        <v>211966.1648</v>
      </c>
    </row>
    <row r="421" spans="1:77" s="308" customFormat="1" ht="12.75" customHeight="1">
      <c r="A421" s="352" t="s">
        <v>311</v>
      </c>
      <c r="B421" s="355" t="s">
        <v>715</v>
      </c>
      <c r="C421" s="355"/>
      <c r="D421" s="356">
        <v>432074</v>
      </c>
      <c r="E421" s="415">
        <v>13</v>
      </c>
      <c r="F421" s="453"/>
      <c r="G421" s="454"/>
      <c r="H421" s="439">
        <f t="shared" si="144"/>
        <v>0</v>
      </c>
      <c r="I421" s="311"/>
      <c r="J421" s="311"/>
      <c r="K421" s="441">
        <f t="shared" si="145"/>
        <v>0</v>
      </c>
      <c r="L421" s="442"/>
      <c r="M421" s="443"/>
      <c r="N421" s="444">
        <f t="shared" si="146"/>
        <v>0</v>
      </c>
      <c r="O421" s="307"/>
      <c r="P421" s="307"/>
      <c r="Q421" s="445">
        <f t="shared" si="147"/>
        <v>0</v>
      </c>
      <c r="R421" s="442"/>
      <c r="S421" s="443"/>
      <c r="T421" s="444">
        <f t="shared" si="148"/>
        <v>0</v>
      </c>
      <c r="U421" s="307"/>
      <c r="V421" s="307"/>
      <c r="W421" s="441">
        <f t="shared" si="149"/>
        <v>0</v>
      </c>
      <c r="X421" s="442"/>
      <c r="Y421" s="443"/>
      <c r="Z421" s="444">
        <f t="shared" si="150"/>
        <v>0</v>
      </c>
      <c r="AA421" s="307"/>
      <c r="AB421" s="307"/>
      <c r="AC421" s="445">
        <f t="shared" si="151"/>
        <v>0</v>
      </c>
      <c r="AD421" s="442"/>
      <c r="AE421" s="443"/>
      <c r="AF421" s="444">
        <f t="shared" si="152"/>
        <v>0</v>
      </c>
      <c r="AG421" s="307"/>
      <c r="AH421" s="307"/>
      <c r="AI421" s="445">
        <f t="shared" si="153"/>
        <v>0</v>
      </c>
      <c r="AJ421" s="446">
        <v>6</v>
      </c>
      <c r="AK421" s="443">
        <v>50511</v>
      </c>
      <c r="AL421" s="444">
        <f t="shared" si="154"/>
        <v>303066</v>
      </c>
      <c r="AM421" s="307">
        <v>6</v>
      </c>
      <c r="AN421" s="307">
        <v>50328</v>
      </c>
      <c r="AO421" s="447">
        <f t="shared" si="155"/>
        <v>301968</v>
      </c>
      <c r="AP421" s="448"/>
      <c r="AQ421" s="443"/>
      <c r="AR421" s="444">
        <f t="shared" si="156"/>
        <v>0</v>
      </c>
      <c r="AS421" s="307"/>
      <c r="AT421" s="307"/>
      <c r="AU421" s="441">
        <f t="shared" si="157"/>
        <v>0</v>
      </c>
      <c r="AV421" s="442"/>
      <c r="AW421" s="443"/>
      <c r="AX421" s="444">
        <f t="shared" si="158"/>
        <v>0</v>
      </c>
      <c r="AY421" s="307"/>
      <c r="AZ421" s="307"/>
      <c r="BA421" s="445">
        <f t="shared" si="159"/>
        <v>0</v>
      </c>
      <c r="BB421" s="442"/>
      <c r="BC421" s="443"/>
      <c r="BD421" s="444">
        <f t="shared" si="160"/>
        <v>0</v>
      </c>
      <c r="BE421" s="307"/>
      <c r="BF421" s="307"/>
      <c r="BG421" s="445">
        <f t="shared" si="161"/>
        <v>0</v>
      </c>
      <c r="BH421" s="442"/>
      <c r="BI421" s="443"/>
      <c r="BJ421" s="444">
        <f t="shared" si="162"/>
        <v>0</v>
      </c>
      <c r="BK421" s="307"/>
      <c r="BL421" s="307"/>
      <c r="BM421" s="445">
        <f t="shared" si="163"/>
        <v>0</v>
      </c>
      <c r="BN421" s="442"/>
      <c r="BO421" s="443"/>
      <c r="BP421" s="444">
        <f t="shared" si="164"/>
        <v>0</v>
      </c>
      <c r="BQ421" s="307"/>
      <c r="BR421" s="307"/>
      <c r="BS421" s="445">
        <f t="shared" si="165"/>
        <v>0</v>
      </c>
      <c r="BT421" s="442">
        <v>3</v>
      </c>
      <c r="BU421" s="443">
        <v>63708</v>
      </c>
      <c r="BV421" s="444">
        <f t="shared" si="166"/>
        <v>156377.6568</v>
      </c>
      <c r="BW421" s="307">
        <v>3</v>
      </c>
      <c r="BX421" s="307">
        <v>64983</v>
      </c>
      <c r="BY421" s="449">
        <f t="shared" si="167"/>
        <v>159507.27180000002</v>
      </c>
    </row>
    <row r="422" spans="1:77" s="308" customFormat="1" ht="12.75" customHeight="1">
      <c r="A422" s="352" t="s">
        <v>311</v>
      </c>
      <c r="B422" s="355" t="s">
        <v>716</v>
      </c>
      <c r="C422" s="355"/>
      <c r="D422" s="356">
        <v>418339</v>
      </c>
      <c r="E422" s="415">
        <v>13</v>
      </c>
      <c r="F422" s="453"/>
      <c r="G422" s="454"/>
      <c r="H422" s="439">
        <f t="shared" si="144"/>
        <v>0</v>
      </c>
      <c r="I422" s="311"/>
      <c r="J422" s="311"/>
      <c r="K422" s="441">
        <f t="shared" si="145"/>
        <v>0</v>
      </c>
      <c r="L422" s="442"/>
      <c r="M422" s="443"/>
      <c r="N422" s="444">
        <f t="shared" si="146"/>
        <v>0</v>
      </c>
      <c r="O422" s="307"/>
      <c r="P422" s="307"/>
      <c r="Q422" s="445">
        <f t="shared" si="147"/>
        <v>0</v>
      </c>
      <c r="R422" s="442"/>
      <c r="S422" s="443"/>
      <c r="T422" s="444">
        <f t="shared" si="148"/>
        <v>0</v>
      </c>
      <c r="U422" s="307"/>
      <c r="V422" s="307"/>
      <c r="W422" s="441">
        <f t="shared" si="149"/>
        <v>0</v>
      </c>
      <c r="X422" s="442"/>
      <c r="Y422" s="443"/>
      <c r="Z422" s="444">
        <f t="shared" si="150"/>
        <v>0</v>
      </c>
      <c r="AA422" s="307"/>
      <c r="AB422" s="307"/>
      <c r="AC422" s="445">
        <f t="shared" si="151"/>
        <v>0</v>
      </c>
      <c r="AD422" s="442"/>
      <c r="AE422" s="443"/>
      <c r="AF422" s="444">
        <f t="shared" si="152"/>
        <v>0</v>
      </c>
      <c r="AG422" s="307"/>
      <c r="AH422" s="307"/>
      <c r="AI422" s="445">
        <f t="shared" si="153"/>
        <v>0</v>
      </c>
      <c r="AJ422" s="446">
        <v>15</v>
      </c>
      <c r="AK422" s="443">
        <v>53564</v>
      </c>
      <c r="AL422" s="444">
        <f t="shared" si="154"/>
        <v>803460</v>
      </c>
      <c r="AM422" s="307">
        <v>14</v>
      </c>
      <c r="AN422" s="307">
        <v>55037</v>
      </c>
      <c r="AO422" s="447">
        <f t="shared" si="155"/>
        <v>770518</v>
      </c>
      <c r="AP422" s="448"/>
      <c r="AQ422" s="443"/>
      <c r="AR422" s="444">
        <f t="shared" si="156"/>
        <v>0</v>
      </c>
      <c r="AS422" s="307"/>
      <c r="AT422" s="307"/>
      <c r="AU422" s="441">
        <f t="shared" si="157"/>
        <v>0</v>
      </c>
      <c r="AV422" s="442"/>
      <c r="AW422" s="443"/>
      <c r="AX422" s="444">
        <f t="shared" si="158"/>
        <v>0</v>
      </c>
      <c r="AY422" s="307"/>
      <c r="AZ422" s="307"/>
      <c r="BA422" s="445">
        <f t="shared" si="159"/>
        <v>0</v>
      </c>
      <c r="BB422" s="442"/>
      <c r="BC422" s="443"/>
      <c r="BD422" s="444">
        <f t="shared" si="160"/>
        <v>0</v>
      </c>
      <c r="BE422" s="307"/>
      <c r="BF422" s="307"/>
      <c r="BG422" s="445">
        <f t="shared" si="161"/>
        <v>0</v>
      </c>
      <c r="BH422" s="442"/>
      <c r="BI422" s="443"/>
      <c r="BJ422" s="444">
        <f t="shared" si="162"/>
        <v>0</v>
      </c>
      <c r="BK422" s="307"/>
      <c r="BL422" s="307"/>
      <c r="BM422" s="445">
        <f t="shared" si="163"/>
        <v>0</v>
      </c>
      <c r="BN422" s="442"/>
      <c r="BO422" s="443"/>
      <c r="BP422" s="444">
        <f t="shared" si="164"/>
        <v>0</v>
      </c>
      <c r="BQ422" s="307"/>
      <c r="BR422" s="307"/>
      <c r="BS422" s="445">
        <f t="shared" si="165"/>
        <v>0</v>
      </c>
      <c r="BT422" s="442">
        <v>4</v>
      </c>
      <c r="BU422" s="443">
        <v>60080</v>
      </c>
      <c r="BV422" s="444">
        <f t="shared" si="166"/>
        <v>196629.82400000002</v>
      </c>
      <c r="BW422" s="307">
        <v>3</v>
      </c>
      <c r="BX422" s="307">
        <v>62244</v>
      </c>
      <c r="BY422" s="449">
        <f t="shared" si="167"/>
        <v>152784.12239999999</v>
      </c>
    </row>
    <row r="423" spans="1:77" s="308" customFormat="1" ht="12.75" customHeight="1">
      <c r="A423" s="352" t="s">
        <v>311</v>
      </c>
      <c r="B423" s="355" t="s">
        <v>717</v>
      </c>
      <c r="C423" s="355"/>
      <c r="D423" s="356">
        <v>366623</v>
      </c>
      <c r="E423" s="415">
        <v>13</v>
      </c>
      <c r="F423" s="453"/>
      <c r="G423" s="454"/>
      <c r="H423" s="439">
        <f t="shared" si="144"/>
        <v>0</v>
      </c>
      <c r="I423" s="311"/>
      <c r="J423" s="311"/>
      <c r="K423" s="441">
        <f t="shared" si="145"/>
        <v>0</v>
      </c>
      <c r="L423" s="442"/>
      <c r="M423" s="443"/>
      <c r="N423" s="444">
        <f t="shared" si="146"/>
        <v>0</v>
      </c>
      <c r="O423" s="307"/>
      <c r="P423" s="307"/>
      <c r="Q423" s="445">
        <f t="shared" si="147"/>
        <v>0</v>
      </c>
      <c r="R423" s="442"/>
      <c r="S423" s="443"/>
      <c r="T423" s="444">
        <f t="shared" si="148"/>
        <v>0</v>
      </c>
      <c r="U423" s="307"/>
      <c r="V423" s="307"/>
      <c r="W423" s="441">
        <f t="shared" si="149"/>
        <v>0</v>
      </c>
      <c r="X423" s="442"/>
      <c r="Y423" s="443"/>
      <c r="Z423" s="444">
        <f t="shared" si="150"/>
        <v>0</v>
      </c>
      <c r="AA423" s="307"/>
      <c r="AB423" s="307"/>
      <c r="AC423" s="445">
        <f t="shared" si="151"/>
        <v>0</v>
      </c>
      <c r="AD423" s="442"/>
      <c r="AE423" s="443"/>
      <c r="AF423" s="444">
        <f t="shared" si="152"/>
        <v>0</v>
      </c>
      <c r="AG423" s="307"/>
      <c r="AH423" s="307"/>
      <c r="AI423" s="445">
        <f t="shared" si="153"/>
        <v>0</v>
      </c>
      <c r="AJ423" s="446">
        <v>5</v>
      </c>
      <c r="AK423" s="443">
        <v>50480</v>
      </c>
      <c r="AL423" s="444">
        <f t="shared" si="154"/>
        <v>252400</v>
      </c>
      <c r="AM423" s="307">
        <v>5</v>
      </c>
      <c r="AN423" s="307">
        <v>50580</v>
      </c>
      <c r="AO423" s="447">
        <f t="shared" si="155"/>
        <v>252900</v>
      </c>
      <c r="AP423" s="448"/>
      <c r="AQ423" s="443"/>
      <c r="AR423" s="444">
        <f t="shared" si="156"/>
        <v>0</v>
      </c>
      <c r="AS423" s="307"/>
      <c r="AT423" s="307"/>
      <c r="AU423" s="441">
        <f t="shared" si="157"/>
        <v>0</v>
      </c>
      <c r="AV423" s="442"/>
      <c r="AW423" s="443"/>
      <c r="AX423" s="444">
        <f t="shared" si="158"/>
        <v>0</v>
      </c>
      <c r="AY423" s="307"/>
      <c r="AZ423" s="307"/>
      <c r="BA423" s="445">
        <f t="shared" si="159"/>
        <v>0</v>
      </c>
      <c r="BB423" s="442"/>
      <c r="BC423" s="443"/>
      <c r="BD423" s="444">
        <f t="shared" si="160"/>
        <v>0</v>
      </c>
      <c r="BE423" s="307"/>
      <c r="BF423" s="307"/>
      <c r="BG423" s="445">
        <f t="shared" si="161"/>
        <v>0</v>
      </c>
      <c r="BH423" s="442"/>
      <c r="BI423" s="443"/>
      <c r="BJ423" s="444">
        <f t="shared" si="162"/>
        <v>0</v>
      </c>
      <c r="BK423" s="307"/>
      <c r="BL423" s="307"/>
      <c r="BM423" s="445">
        <f t="shared" si="163"/>
        <v>0</v>
      </c>
      <c r="BN423" s="442"/>
      <c r="BO423" s="443"/>
      <c r="BP423" s="444">
        <f t="shared" si="164"/>
        <v>0</v>
      </c>
      <c r="BQ423" s="307"/>
      <c r="BR423" s="307"/>
      <c r="BS423" s="445">
        <f t="shared" si="165"/>
        <v>0</v>
      </c>
      <c r="BT423" s="442">
        <v>1</v>
      </c>
      <c r="BU423" s="443">
        <v>60432</v>
      </c>
      <c r="BV423" s="444">
        <f t="shared" si="166"/>
        <v>49445.462400000004</v>
      </c>
      <c r="BW423" s="307">
        <v>1</v>
      </c>
      <c r="BX423" s="307">
        <v>60552</v>
      </c>
      <c r="BY423" s="449">
        <f t="shared" si="167"/>
        <v>49543.646400000005</v>
      </c>
    </row>
    <row r="424" spans="1:77" s="308" customFormat="1" ht="12.75" customHeight="1">
      <c r="A424" s="352" t="s">
        <v>311</v>
      </c>
      <c r="B424" s="355" t="s">
        <v>718</v>
      </c>
      <c r="C424" s="355"/>
      <c r="D424" s="356">
        <v>407601</v>
      </c>
      <c r="E424" s="415">
        <v>13</v>
      </c>
      <c r="F424" s="453"/>
      <c r="G424" s="454"/>
      <c r="H424" s="439">
        <f t="shared" si="144"/>
        <v>0</v>
      </c>
      <c r="I424" s="311"/>
      <c r="J424" s="311"/>
      <c r="K424" s="441">
        <f t="shared" si="145"/>
        <v>0</v>
      </c>
      <c r="L424" s="442"/>
      <c r="M424" s="443"/>
      <c r="N424" s="444">
        <f t="shared" si="146"/>
        <v>0</v>
      </c>
      <c r="O424" s="307"/>
      <c r="P424" s="307"/>
      <c r="Q424" s="445">
        <f t="shared" si="147"/>
        <v>0</v>
      </c>
      <c r="R424" s="442"/>
      <c r="S424" s="443"/>
      <c r="T424" s="444">
        <f t="shared" si="148"/>
        <v>0</v>
      </c>
      <c r="U424" s="307"/>
      <c r="V424" s="307"/>
      <c r="W424" s="441">
        <f t="shared" si="149"/>
        <v>0</v>
      </c>
      <c r="X424" s="442"/>
      <c r="Y424" s="443"/>
      <c r="Z424" s="444">
        <f t="shared" si="150"/>
        <v>0</v>
      </c>
      <c r="AA424" s="307"/>
      <c r="AB424" s="307"/>
      <c r="AC424" s="445">
        <f t="shared" si="151"/>
        <v>0</v>
      </c>
      <c r="AD424" s="442"/>
      <c r="AE424" s="443"/>
      <c r="AF424" s="444">
        <f t="shared" si="152"/>
        <v>0</v>
      </c>
      <c r="AG424" s="307"/>
      <c r="AH424" s="307"/>
      <c r="AI424" s="445">
        <f t="shared" si="153"/>
        <v>0</v>
      </c>
      <c r="AJ424" s="446">
        <v>5</v>
      </c>
      <c r="AK424" s="443">
        <v>50340</v>
      </c>
      <c r="AL424" s="444">
        <f t="shared" si="154"/>
        <v>251700</v>
      </c>
      <c r="AM424" s="307">
        <v>6</v>
      </c>
      <c r="AN424" s="307">
        <v>50260</v>
      </c>
      <c r="AO424" s="447">
        <f t="shared" si="155"/>
        <v>301560</v>
      </c>
      <c r="AP424" s="448"/>
      <c r="AQ424" s="443"/>
      <c r="AR424" s="444">
        <f t="shared" si="156"/>
        <v>0</v>
      </c>
      <c r="AS424" s="307"/>
      <c r="AT424" s="307"/>
      <c r="AU424" s="441">
        <f t="shared" si="157"/>
        <v>0</v>
      </c>
      <c r="AV424" s="442"/>
      <c r="AW424" s="443"/>
      <c r="AX424" s="444">
        <f t="shared" si="158"/>
        <v>0</v>
      </c>
      <c r="AY424" s="307"/>
      <c r="AZ424" s="307"/>
      <c r="BA424" s="445">
        <f t="shared" si="159"/>
        <v>0</v>
      </c>
      <c r="BB424" s="442"/>
      <c r="BC424" s="443"/>
      <c r="BD424" s="444">
        <f t="shared" si="160"/>
        <v>0</v>
      </c>
      <c r="BE424" s="307"/>
      <c r="BF424" s="307"/>
      <c r="BG424" s="445">
        <f t="shared" si="161"/>
        <v>0</v>
      </c>
      <c r="BH424" s="442"/>
      <c r="BI424" s="443"/>
      <c r="BJ424" s="444">
        <f t="shared" si="162"/>
        <v>0</v>
      </c>
      <c r="BK424" s="307"/>
      <c r="BL424" s="307"/>
      <c r="BM424" s="445">
        <f t="shared" si="163"/>
        <v>0</v>
      </c>
      <c r="BN424" s="442"/>
      <c r="BO424" s="443"/>
      <c r="BP424" s="444">
        <f t="shared" si="164"/>
        <v>0</v>
      </c>
      <c r="BQ424" s="307"/>
      <c r="BR424" s="307"/>
      <c r="BS424" s="445">
        <f t="shared" si="165"/>
        <v>0</v>
      </c>
      <c r="BT424" s="442"/>
      <c r="BU424" s="443"/>
      <c r="BV424" s="444">
        <f t="shared" si="166"/>
        <v>0</v>
      </c>
      <c r="BW424" s="307"/>
      <c r="BX424" s="307"/>
      <c r="BY424" s="449">
        <f t="shared" si="167"/>
        <v>0</v>
      </c>
    </row>
    <row r="425" spans="1:77" s="308" customFormat="1" ht="12.75" customHeight="1">
      <c r="A425" s="352" t="s">
        <v>311</v>
      </c>
      <c r="B425" s="355" t="s">
        <v>719</v>
      </c>
      <c r="C425" s="355"/>
      <c r="D425" s="356">
        <v>364627</v>
      </c>
      <c r="E425" s="415">
        <v>13</v>
      </c>
      <c r="F425" s="453"/>
      <c r="G425" s="454"/>
      <c r="H425" s="439">
        <f t="shared" si="144"/>
        <v>0</v>
      </c>
      <c r="I425" s="311"/>
      <c r="J425" s="311"/>
      <c r="K425" s="441">
        <f t="shared" si="145"/>
        <v>0</v>
      </c>
      <c r="L425" s="442"/>
      <c r="M425" s="443"/>
      <c r="N425" s="444">
        <f t="shared" si="146"/>
        <v>0</v>
      </c>
      <c r="O425" s="307"/>
      <c r="P425" s="307"/>
      <c r="Q425" s="445">
        <f t="shared" si="147"/>
        <v>0</v>
      </c>
      <c r="R425" s="442"/>
      <c r="S425" s="443"/>
      <c r="T425" s="444">
        <f t="shared" si="148"/>
        <v>0</v>
      </c>
      <c r="U425" s="307"/>
      <c r="V425" s="307"/>
      <c r="W425" s="441">
        <f t="shared" si="149"/>
        <v>0</v>
      </c>
      <c r="X425" s="442"/>
      <c r="Y425" s="443"/>
      <c r="Z425" s="444">
        <f t="shared" si="150"/>
        <v>0</v>
      </c>
      <c r="AA425" s="307"/>
      <c r="AB425" s="307"/>
      <c r="AC425" s="445">
        <f t="shared" si="151"/>
        <v>0</v>
      </c>
      <c r="AD425" s="442"/>
      <c r="AE425" s="443"/>
      <c r="AF425" s="444">
        <f t="shared" si="152"/>
        <v>0</v>
      </c>
      <c r="AG425" s="307"/>
      <c r="AH425" s="307"/>
      <c r="AI425" s="445">
        <f t="shared" si="153"/>
        <v>0</v>
      </c>
      <c r="AJ425" s="446">
        <v>15</v>
      </c>
      <c r="AK425" s="443">
        <v>50208</v>
      </c>
      <c r="AL425" s="444">
        <f t="shared" si="154"/>
        <v>753120</v>
      </c>
      <c r="AM425" s="307">
        <v>12</v>
      </c>
      <c r="AN425" s="307">
        <v>49405</v>
      </c>
      <c r="AO425" s="447">
        <f t="shared" si="155"/>
        <v>592860</v>
      </c>
      <c r="AP425" s="448"/>
      <c r="AQ425" s="443"/>
      <c r="AR425" s="444">
        <f t="shared" si="156"/>
        <v>0</v>
      </c>
      <c r="AS425" s="307"/>
      <c r="AT425" s="307"/>
      <c r="AU425" s="441">
        <f t="shared" si="157"/>
        <v>0</v>
      </c>
      <c r="AV425" s="442"/>
      <c r="AW425" s="443"/>
      <c r="AX425" s="444">
        <f t="shared" si="158"/>
        <v>0</v>
      </c>
      <c r="AY425" s="307"/>
      <c r="AZ425" s="307"/>
      <c r="BA425" s="445">
        <f t="shared" si="159"/>
        <v>0</v>
      </c>
      <c r="BB425" s="442"/>
      <c r="BC425" s="443"/>
      <c r="BD425" s="444">
        <f t="shared" si="160"/>
        <v>0</v>
      </c>
      <c r="BE425" s="307"/>
      <c r="BF425" s="307"/>
      <c r="BG425" s="445">
        <f t="shared" si="161"/>
        <v>0</v>
      </c>
      <c r="BH425" s="442"/>
      <c r="BI425" s="443"/>
      <c r="BJ425" s="444">
        <f t="shared" si="162"/>
        <v>0</v>
      </c>
      <c r="BK425" s="307"/>
      <c r="BL425" s="307"/>
      <c r="BM425" s="445">
        <f t="shared" si="163"/>
        <v>0</v>
      </c>
      <c r="BN425" s="442"/>
      <c r="BO425" s="443"/>
      <c r="BP425" s="444">
        <f t="shared" si="164"/>
        <v>0</v>
      </c>
      <c r="BQ425" s="307"/>
      <c r="BR425" s="307"/>
      <c r="BS425" s="445">
        <f t="shared" si="165"/>
        <v>0</v>
      </c>
      <c r="BT425" s="442">
        <v>10</v>
      </c>
      <c r="BU425" s="443">
        <v>54441</v>
      </c>
      <c r="BV425" s="444">
        <f t="shared" si="166"/>
        <v>445436.26200000005</v>
      </c>
      <c r="BW425" s="307">
        <v>13</v>
      </c>
      <c r="BX425" s="307">
        <v>54695</v>
      </c>
      <c r="BY425" s="449">
        <f t="shared" si="167"/>
        <v>581768.83700000006</v>
      </c>
    </row>
    <row r="426" spans="1:77" s="308" customFormat="1" ht="12.75" customHeight="1">
      <c r="A426" s="352" t="s">
        <v>311</v>
      </c>
      <c r="B426" s="355" t="s">
        <v>720</v>
      </c>
      <c r="C426" s="355"/>
      <c r="D426" s="356">
        <v>206905</v>
      </c>
      <c r="E426" s="415">
        <v>13</v>
      </c>
      <c r="F426" s="453"/>
      <c r="G426" s="454"/>
      <c r="H426" s="439">
        <f t="shared" si="144"/>
        <v>0</v>
      </c>
      <c r="I426" s="311"/>
      <c r="J426" s="311"/>
      <c r="K426" s="441">
        <f t="shared" si="145"/>
        <v>0</v>
      </c>
      <c r="L426" s="442"/>
      <c r="M426" s="443"/>
      <c r="N426" s="444">
        <f t="shared" si="146"/>
        <v>0</v>
      </c>
      <c r="O426" s="307"/>
      <c r="P426" s="307"/>
      <c r="Q426" s="445">
        <f t="shared" si="147"/>
        <v>0</v>
      </c>
      <c r="R426" s="442"/>
      <c r="S426" s="443"/>
      <c r="T426" s="444">
        <f t="shared" si="148"/>
        <v>0</v>
      </c>
      <c r="U426" s="307"/>
      <c r="V426" s="307"/>
      <c r="W426" s="441">
        <f t="shared" si="149"/>
        <v>0</v>
      </c>
      <c r="X426" s="442"/>
      <c r="Y426" s="443"/>
      <c r="Z426" s="444">
        <f t="shared" si="150"/>
        <v>0</v>
      </c>
      <c r="AA426" s="307"/>
      <c r="AB426" s="307"/>
      <c r="AC426" s="445">
        <f t="shared" si="151"/>
        <v>0</v>
      </c>
      <c r="AD426" s="442"/>
      <c r="AE426" s="443"/>
      <c r="AF426" s="444">
        <f t="shared" si="152"/>
        <v>0</v>
      </c>
      <c r="AG426" s="307"/>
      <c r="AH426" s="307"/>
      <c r="AI426" s="445">
        <f t="shared" si="153"/>
        <v>0</v>
      </c>
      <c r="AJ426" s="446">
        <v>6</v>
      </c>
      <c r="AK426" s="443">
        <v>45963</v>
      </c>
      <c r="AL426" s="444">
        <f t="shared" si="154"/>
        <v>275778</v>
      </c>
      <c r="AM426" s="307">
        <v>6</v>
      </c>
      <c r="AN426" s="307">
        <v>43420</v>
      </c>
      <c r="AO426" s="447">
        <f t="shared" si="155"/>
        <v>260520</v>
      </c>
      <c r="AP426" s="448"/>
      <c r="AQ426" s="443"/>
      <c r="AR426" s="444">
        <f t="shared" si="156"/>
        <v>0</v>
      </c>
      <c r="AS426" s="307"/>
      <c r="AT426" s="307"/>
      <c r="AU426" s="441">
        <f t="shared" si="157"/>
        <v>0</v>
      </c>
      <c r="AV426" s="442"/>
      <c r="AW426" s="443"/>
      <c r="AX426" s="444">
        <f t="shared" si="158"/>
        <v>0</v>
      </c>
      <c r="AY426" s="307"/>
      <c r="AZ426" s="307"/>
      <c r="BA426" s="445">
        <f t="shared" si="159"/>
        <v>0</v>
      </c>
      <c r="BB426" s="442"/>
      <c r="BC426" s="443"/>
      <c r="BD426" s="444">
        <f t="shared" si="160"/>
        <v>0</v>
      </c>
      <c r="BE426" s="307"/>
      <c r="BF426" s="307"/>
      <c r="BG426" s="445">
        <f t="shared" si="161"/>
        <v>0</v>
      </c>
      <c r="BH426" s="442"/>
      <c r="BI426" s="443"/>
      <c r="BJ426" s="444">
        <f t="shared" si="162"/>
        <v>0</v>
      </c>
      <c r="BK426" s="307"/>
      <c r="BL426" s="307"/>
      <c r="BM426" s="445">
        <f t="shared" si="163"/>
        <v>0</v>
      </c>
      <c r="BN426" s="442"/>
      <c r="BO426" s="443"/>
      <c r="BP426" s="444">
        <f t="shared" si="164"/>
        <v>0</v>
      </c>
      <c r="BQ426" s="307"/>
      <c r="BR426" s="307"/>
      <c r="BS426" s="445">
        <f t="shared" si="165"/>
        <v>0</v>
      </c>
      <c r="BT426" s="442">
        <v>8</v>
      </c>
      <c r="BU426" s="443">
        <v>51020</v>
      </c>
      <c r="BV426" s="444">
        <f t="shared" si="166"/>
        <v>333956.51199999999</v>
      </c>
      <c r="BW426" s="307">
        <v>7</v>
      </c>
      <c r="BX426" s="307">
        <v>51915</v>
      </c>
      <c r="BY426" s="449">
        <f t="shared" si="167"/>
        <v>297337.97100000002</v>
      </c>
    </row>
    <row r="427" spans="1:77" s="308" customFormat="1" ht="12.75" customHeight="1">
      <c r="A427" s="352" t="s">
        <v>311</v>
      </c>
      <c r="B427" s="355" t="s">
        <v>721</v>
      </c>
      <c r="C427" s="355"/>
      <c r="D427" s="356">
        <v>250993</v>
      </c>
      <c r="E427" s="415">
        <v>13</v>
      </c>
      <c r="F427" s="453"/>
      <c r="G427" s="454"/>
      <c r="H427" s="439">
        <f t="shared" si="144"/>
        <v>0</v>
      </c>
      <c r="I427" s="311"/>
      <c r="J427" s="311"/>
      <c r="K427" s="441">
        <f t="shared" si="145"/>
        <v>0</v>
      </c>
      <c r="L427" s="442"/>
      <c r="M427" s="443"/>
      <c r="N427" s="444">
        <f t="shared" si="146"/>
        <v>0</v>
      </c>
      <c r="O427" s="307"/>
      <c r="P427" s="307"/>
      <c r="Q427" s="445">
        <f t="shared" si="147"/>
        <v>0</v>
      </c>
      <c r="R427" s="442"/>
      <c r="S427" s="443"/>
      <c r="T427" s="444">
        <f t="shared" si="148"/>
        <v>0</v>
      </c>
      <c r="U427" s="307"/>
      <c r="V427" s="307"/>
      <c r="W427" s="441">
        <f t="shared" si="149"/>
        <v>0</v>
      </c>
      <c r="X427" s="442"/>
      <c r="Y427" s="443"/>
      <c r="Z427" s="444">
        <f t="shared" si="150"/>
        <v>0</v>
      </c>
      <c r="AA427" s="307"/>
      <c r="AB427" s="307"/>
      <c r="AC427" s="445">
        <f t="shared" si="151"/>
        <v>0</v>
      </c>
      <c r="AD427" s="442"/>
      <c r="AE427" s="443"/>
      <c r="AF427" s="444">
        <f t="shared" si="152"/>
        <v>0</v>
      </c>
      <c r="AG427" s="307"/>
      <c r="AH427" s="307"/>
      <c r="AI427" s="445">
        <f t="shared" si="153"/>
        <v>0</v>
      </c>
      <c r="AJ427" s="446">
        <v>15</v>
      </c>
      <c r="AK427" s="443">
        <v>49398</v>
      </c>
      <c r="AL427" s="444">
        <f t="shared" si="154"/>
        <v>740970</v>
      </c>
      <c r="AM427" s="307">
        <v>16</v>
      </c>
      <c r="AN427" s="307">
        <v>49092</v>
      </c>
      <c r="AO427" s="447">
        <f t="shared" si="155"/>
        <v>785472</v>
      </c>
      <c r="AP427" s="448"/>
      <c r="AQ427" s="443"/>
      <c r="AR427" s="444">
        <f t="shared" si="156"/>
        <v>0</v>
      </c>
      <c r="AS427" s="307"/>
      <c r="AT427" s="307"/>
      <c r="AU427" s="441">
        <f t="shared" si="157"/>
        <v>0</v>
      </c>
      <c r="AV427" s="442"/>
      <c r="AW427" s="443"/>
      <c r="AX427" s="444">
        <f t="shared" si="158"/>
        <v>0</v>
      </c>
      <c r="AY427" s="307"/>
      <c r="AZ427" s="307"/>
      <c r="BA427" s="445">
        <f t="shared" si="159"/>
        <v>0</v>
      </c>
      <c r="BB427" s="442"/>
      <c r="BC427" s="443"/>
      <c r="BD427" s="444">
        <f t="shared" si="160"/>
        <v>0</v>
      </c>
      <c r="BE427" s="307"/>
      <c r="BF427" s="307"/>
      <c r="BG427" s="445">
        <f t="shared" si="161"/>
        <v>0</v>
      </c>
      <c r="BH427" s="442"/>
      <c r="BI427" s="443"/>
      <c r="BJ427" s="444">
        <f t="shared" si="162"/>
        <v>0</v>
      </c>
      <c r="BK427" s="307"/>
      <c r="BL427" s="307"/>
      <c r="BM427" s="445">
        <f t="shared" si="163"/>
        <v>0</v>
      </c>
      <c r="BN427" s="442"/>
      <c r="BO427" s="443"/>
      <c r="BP427" s="444">
        <f t="shared" si="164"/>
        <v>0</v>
      </c>
      <c r="BQ427" s="307"/>
      <c r="BR427" s="307"/>
      <c r="BS427" s="445">
        <f t="shared" si="165"/>
        <v>0</v>
      </c>
      <c r="BT427" s="442">
        <v>6</v>
      </c>
      <c r="BU427" s="443">
        <v>50622</v>
      </c>
      <c r="BV427" s="444">
        <f t="shared" si="166"/>
        <v>248513.52240000002</v>
      </c>
      <c r="BW427" s="307">
        <v>6</v>
      </c>
      <c r="BX427" s="307">
        <v>51662</v>
      </c>
      <c r="BY427" s="449">
        <f t="shared" si="167"/>
        <v>253619.09040000002</v>
      </c>
    </row>
    <row r="428" spans="1:77" s="308" customFormat="1" ht="12.75" customHeight="1">
      <c r="A428" s="352" t="s">
        <v>311</v>
      </c>
      <c r="B428" s="355" t="s">
        <v>722</v>
      </c>
      <c r="C428" s="355"/>
      <c r="D428" s="356">
        <v>365198</v>
      </c>
      <c r="E428" s="415">
        <v>13</v>
      </c>
      <c r="F428" s="453"/>
      <c r="G428" s="454"/>
      <c r="H428" s="439">
        <f t="shared" si="144"/>
        <v>0</v>
      </c>
      <c r="I428" s="311"/>
      <c r="J428" s="311"/>
      <c r="K428" s="441">
        <f t="shared" si="145"/>
        <v>0</v>
      </c>
      <c r="L428" s="442"/>
      <c r="M428" s="443"/>
      <c r="N428" s="444">
        <f t="shared" si="146"/>
        <v>0</v>
      </c>
      <c r="O428" s="307"/>
      <c r="P428" s="307"/>
      <c r="Q428" s="445">
        <f t="shared" si="147"/>
        <v>0</v>
      </c>
      <c r="R428" s="442"/>
      <c r="S428" s="443"/>
      <c r="T428" s="444">
        <f t="shared" si="148"/>
        <v>0</v>
      </c>
      <c r="U428" s="307"/>
      <c r="V428" s="307"/>
      <c r="W428" s="441">
        <f t="shared" si="149"/>
        <v>0</v>
      </c>
      <c r="X428" s="442"/>
      <c r="Y428" s="443"/>
      <c r="Z428" s="444">
        <f t="shared" si="150"/>
        <v>0</v>
      </c>
      <c r="AA428" s="307"/>
      <c r="AB428" s="307"/>
      <c r="AC428" s="445">
        <f t="shared" si="151"/>
        <v>0</v>
      </c>
      <c r="AD428" s="442"/>
      <c r="AE428" s="443"/>
      <c r="AF428" s="444">
        <f t="shared" si="152"/>
        <v>0</v>
      </c>
      <c r="AG428" s="307"/>
      <c r="AH428" s="307"/>
      <c r="AI428" s="445">
        <f t="shared" si="153"/>
        <v>0</v>
      </c>
      <c r="AJ428" s="446"/>
      <c r="AK428" s="443"/>
      <c r="AL428" s="444">
        <f t="shared" si="154"/>
        <v>0</v>
      </c>
      <c r="AM428" s="307">
        <v>1</v>
      </c>
      <c r="AN428" s="307">
        <v>46020</v>
      </c>
      <c r="AO428" s="447">
        <f t="shared" si="155"/>
        <v>46020</v>
      </c>
      <c r="AP428" s="448"/>
      <c r="AQ428" s="443"/>
      <c r="AR428" s="444">
        <f t="shared" si="156"/>
        <v>0</v>
      </c>
      <c r="AS428" s="307"/>
      <c r="AT428" s="307"/>
      <c r="AU428" s="441">
        <f t="shared" si="157"/>
        <v>0</v>
      </c>
      <c r="AV428" s="442"/>
      <c r="AW428" s="443"/>
      <c r="AX428" s="444">
        <f t="shared" si="158"/>
        <v>0</v>
      </c>
      <c r="AY428" s="307"/>
      <c r="AZ428" s="307"/>
      <c r="BA428" s="445">
        <f t="shared" si="159"/>
        <v>0</v>
      </c>
      <c r="BB428" s="442"/>
      <c r="BC428" s="443"/>
      <c r="BD428" s="444">
        <f t="shared" si="160"/>
        <v>0</v>
      </c>
      <c r="BE428" s="307"/>
      <c r="BF428" s="307"/>
      <c r="BG428" s="445">
        <f t="shared" si="161"/>
        <v>0</v>
      </c>
      <c r="BH428" s="442"/>
      <c r="BI428" s="443"/>
      <c r="BJ428" s="444">
        <f t="shared" si="162"/>
        <v>0</v>
      </c>
      <c r="BK428" s="307"/>
      <c r="BL428" s="307"/>
      <c r="BM428" s="445">
        <f t="shared" si="163"/>
        <v>0</v>
      </c>
      <c r="BN428" s="442"/>
      <c r="BO428" s="443"/>
      <c r="BP428" s="444">
        <f t="shared" si="164"/>
        <v>0</v>
      </c>
      <c r="BQ428" s="307"/>
      <c r="BR428" s="307"/>
      <c r="BS428" s="445">
        <f t="shared" si="165"/>
        <v>0</v>
      </c>
      <c r="BT428" s="442">
        <v>25</v>
      </c>
      <c r="BU428" s="443">
        <v>48634</v>
      </c>
      <c r="BV428" s="444">
        <f t="shared" si="166"/>
        <v>994808.47000000009</v>
      </c>
      <c r="BW428" s="307">
        <v>23</v>
      </c>
      <c r="BX428" s="307">
        <v>50209</v>
      </c>
      <c r="BY428" s="449">
        <f t="shared" si="167"/>
        <v>944863.08740000008</v>
      </c>
    </row>
    <row r="429" spans="1:77" s="308" customFormat="1" ht="12.75" customHeight="1">
      <c r="A429" s="352" t="s">
        <v>311</v>
      </c>
      <c r="B429" s="355" t="s">
        <v>723</v>
      </c>
      <c r="C429" s="355"/>
      <c r="D429" s="356">
        <v>368364</v>
      </c>
      <c r="E429" s="415">
        <v>13</v>
      </c>
      <c r="F429" s="453"/>
      <c r="G429" s="454"/>
      <c r="H429" s="439">
        <f t="shared" si="144"/>
        <v>0</v>
      </c>
      <c r="I429" s="311"/>
      <c r="J429" s="311"/>
      <c r="K429" s="441">
        <f t="shared" si="145"/>
        <v>0</v>
      </c>
      <c r="L429" s="442"/>
      <c r="M429" s="443"/>
      <c r="N429" s="444">
        <f t="shared" si="146"/>
        <v>0</v>
      </c>
      <c r="O429" s="307"/>
      <c r="P429" s="307"/>
      <c r="Q429" s="445">
        <f t="shared" si="147"/>
        <v>0</v>
      </c>
      <c r="R429" s="442"/>
      <c r="S429" s="443"/>
      <c r="T429" s="444">
        <f t="shared" si="148"/>
        <v>0</v>
      </c>
      <c r="U429" s="307"/>
      <c r="V429" s="307"/>
      <c r="W429" s="441">
        <f t="shared" si="149"/>
        <v>0</v>
      </c>
      <c r="X429" s="442"/>
      <c r="Y429" s="443"/>
      <c r="Z429" s="444">
        <f t="shared" si="150"/>
        <v>0</v>
      </c>
      <c r="AA429" s="307"/>
      <c r="AB429" s="307"/>
      <c r="AC429" s="445">
        <f t="shared" si="151"/>
        <v>0</v>
      </c>
      <c r="AD429" s="442"/>
      <c r="AE429" s="443"/>
      <c r="AF429" s="444">
        <f t="shared" si="152"/>
        <v>0</v>
      </c>
      <c r="AG429" s="307"/>
      <c r="AH429" s="307"/>
      <c r="AI429" s="445">
        <f t="shared" si="153"/>
        <v>0</v>
      </c>
      <c r="AJ429" s="446">
        <v>8</v>
      </c>
      <c r="AK429" s="443">
        <v>41984</v>
      </c>
      <c r="AL429" s="444">
        <f t="shared" si="154"/>
        <v>335872</v>
      </c>
      <c r="AM429" s="307">
        <v>8</v>
      </c>
      <c r="AN429" s="307">
        <v>42362</v>
      </c>
      <c r="AO429" s="447">
        <f t="shared" si="155"/>
        <v>338896</v>
      </c>
      <c r="AP429" s="448"/>
      <c r="AQ429" s="443"/>
      <c r="AR429" s="444">
        <f t="shared" si="156"/>
        <v>0</v>
      </c>
      <c r="AS429" s="307"/>
      <c r="AT429" s="307"/>
      <c r="AU429" s="441">
        <f t="shared" si="157"/>
        <v>0</v>
      </c>
      <c r="AV429" s="442"/>
      <c r="AW429" s="443"/>
      <c r="AX429" s="444">
        <f t="shared" si="158"/>
        <v>0</v>
      </c>
      <c r="AY429" s="307"/>
      <c r="AZ429" s="307"/>
      <c r="BA429" s="445">
        <f t="shared" si="159"/>
        <v>0</v>
      </c>
      <c r="BB429" s="442"/>
      <c r="BC429" s="443"/>
      <c r="BD429" s="444">
        <f t="shared" si="160"/>
        <v>0</v>
      </c>
      <c r="BE429" s="307"/>
      <c r="BF429" s="307"/>
      <c r="BG429" s="445">
        <f t="shared" si="161"/>
        <v>0</v>
      </c>
      <c r="BH429" s="442"/>
      <c r="BI429" s="443"/>
      <c r="BJ429" s="444">
        <f t="shared" si="162"/>
        <v>0</v>
      </c>
      <c r="BK429" s="307"/>
      <c r="BL429" s="307"/>
      <c r="BM429" s="445">
        <f t="shared" si="163"/>
        <v>0</v>
      </c>
      <c r="BN429" s="442"/>
      <c r="BO429" s="443"/>
      <c r="BP429" s="444">
        <f t="shared" si="164"/>
        <v>0</v>
      </c>
      <c r="BQ429" s="307"/>
      <c r="BR429" s="307"/>
      <c r="BS429" s="445">
        <f t="shared" si="165"/>
        <v>0</v>
      </c>
      <c r="BT429" s="442">
        <v>8</v>
      </c>
      <c r="BU429" s="443">
        <v>48222</v>
      </c>
      <c r="BV429" s="444">
        <f t="shared" si="166"/>
        <v>315641.92320000002</v>
      </c>
      <c r="BW429" s="307">
        <v>8</v>
      </c>
      <c r="BX429" s="307">
        <v>48913</v>
      </c>
      <c r="BY429" s="449">
        <f t="shared" si="167"/>
        <v>320164.93280000001</v>
      </c>
    </row>
    <row r="430" spans="1:77" s="308" customFormat="1" ht="12.75" customHeight="1">
      <c r="A430" s="352" t="s">
        <v>311</v>
      </c>
      <c r="B430" s="355" t="s">
        <v>724</v>
      </c>
      <c r="C430" s="355"/>
      <c r="D430" s="356">
        <v>418287</v>
      </c>
      <c r="E430" s="415">
        <v>13</v>
      </c>
      <c r="F430" s="453"/>
      <c r="G430" s="454"/>
      <c r="H430" s="439">
        <f t="shared" si="144"/>
        <v>0</v>
      </c>
      <c r="I430" s="311"/>
      <c r="J430" s="311"/>
      <c r="K430" s="441">
        <f t="shared" si="145"/>
        <v>0</v>
      </c>
      <c r="L430" s="442"/>
      <c r="M430" s="443"/>
      <c r="N430" s="444">
        <f t="shared" si="146"/>
        <v>0</v>
      </c>
      <c r="O430" s="307"/>
      <c r="P430" s="307"/>
      <c r="Q430" s="445">
        <f t="shared" si="147"/>
        <v>0</v>
      </c>
      <c r="R430" s="442"/>
      <c r="S430" s="443"/>
      <c r="T430" s="444">
        <f t="shared" si="148"/>
        <v>0</v>
      </c>
      <c r="U430" s="307"/>
      <c r="V430" s="307"/>
      <c r="W430" s="441">
        <f t="shared" si="149"/>
        <v>0</v>
      </c>
      <c r="X430" s="442"/>
      <c r="Y430" s="443"/>
      <c r="Z430" s="444">
        <f t="shared" si="150"/>
        <v>0</v>
      </c>
      <c r="AA430" s="307"/>
      <c r="AB430" s="307"/>
      <c r="AC430" s="445">
        <f t="shared" si="151"/>
        <v>0</v>
      </c>
      <c r="AD430" s="442"/>
      <c r="AE430" s="443"/>
      <c r="AF430" s="444">
        <f t="shared" si="152"/>
        <v>0</v>
      </c>
      <c r="AG430" s="307"/>
      <c r="AH430" s="307"/>
      <c r="AI430" s="445">
        <f t="shared" si="153"/>
        <v>0</v>
      </c>
      <c r="AJ430" s="446">
        <v>14</v>
      </c>
      <c r="AK430" s="443">
        <v>47734</v>
      </c>
      <c r="AL430" s="444">
        <f t="shared" si="154"/>
        <v>668276</v>
      </c>
      <c r="AM430" s="307">
        <v>13</v>
      </c>
      <c r="AN430" s="307">
        <v>47317</v>
      </c>
      <c r="AO430" s="447">
        <f t="shared" si="155"/>
        <v>615121</v>
      </c>
      <c r="AP430" s="448"/>
      <c r="AQ430" s="443"/>
      <c r="AR430" s="444">
        <f t="shared" si="156"/>
        <v>0</v>
      </c>
      <c r="AS430" s="307"/>
      <c r="AT430" s="307"/>
      <c r="AU430" s="441">
        <f t="shared" si="157"/>
        <v>0</v>
      </c>
      <c r="AV430" s="442"/>
      <c r="AW430" s="443"/>
      <c r="AX430" s="444">
        <f t="shared" si="158"/>
        <v>0</v>
      </c>
      <c r="AY430" s="307"/>
      <c r="AZ430" s="307"/>
      <c r="BA430" s="445">
        <f t="shared" si="159"/>
        <v>0</v>
      </c>
      <c r="BB430" s="442"/>
      <c r="BC430" s="443"/>
      <c r="BD430" s="444">
        <f t="shared" si="160"/>
        <v>0</v>
      </c>
      <c r="BE430" s="307"/>
      <c r="BF430" s="307"/>
      <c r="BG430" s="445">
        <f t="shared" si="161"/>
        <v>0</v>
      </c>
      <c r="BH430" s="442"/>
      <c r="BI430" s="443"/>
      <c r="BJ430" s="444">
        <f t="shared" si="162"/>
        <v>0</v>
      </c>
      <c r="BK430" s="307"/>
      <c r="BL430" s="307"/>
      <c r="BM430" s="445">
        <f t="shared" si="163"/>
        <v>0</v>
      </c>
      <c r="BN430" s="442"/>
      <c r="BO430" s="443"/>
      <c r="BP430" s="444">
        <f t="shared" si="164"/>
        <v>0</v>
      </c>
      <c r="BQ430" s="307"/>
      <c r="BR430" s="307"/>
      <c r="BS430" s="445">
        <f t="shared" si="165"/>
        <v>0</v>
      </c>
      <c r="BT430" s="442">
        <v>15</v>
      </c>
      <c r="BU430" s="443">
        <v>54092</v>
      </c>
      <c r="BV430" s="444">
        <f t="shared" si="166"/>
        <v>663871.11600000004</v>
      </c>
      <c r="BW430" s="307">
        <v>15</v>
      </c>
      <c r="BX430" s="307">
        <v>53190</v>
      </c>
      <c r="BY430" s="449">
        <f t="shared" si="167"/>
        <v>652800.87</v>
      </c>
    </row>
    <row r="431" spans="1:77" s="308" customFormat="1" ht="12.75" customHeight="1">
      <c r="A431" s="352" t="s">
        <v>311</v>
      </c>
      <c r="B431" s="355" t="s">
        <v>463</v>
      </c>
      <c r="C431" s="355"/>
      <c r="D431" s="356">
        <v>207607</v>
      </c>
      <c r="E431" s="415">
        <v>13</v>
      </c>
      <c r="F431" s="453"/>
      <c r="G431" s="454"/>
      <c r="H431" s="439">
        <f t="shared" si="144"/>
        <v>0</v>
      </c>
      <c r="I431" s="311"/>
      <c r="J431" s="311"/>
      <c r="K431" s="441">
        <f t="shared" si="145"/>
        <v>0</v>
      </c>
      <c r="L431" s="442"/>
      <c r="M431" s="443"/>
      <c r="N431" s="444">
        <f t="shared" si="146"/>
        <v>0</v>
      </c>
      <c r="O431" s="307"/>
      <c r="P431" s="307"/>
      <c r="Q431" s="445">
        <f t="shared" si="147"/>
        <v>0</v>
      </c>
      <c r="R431" s="442"/>
      <c r="S431" s="443"/>
      <c r="T431" s="444">
        <f t="shared" si="148"/>
        <v>0</v>
      </c>
      <c r="U431" s="307"/>
      <c r="V431" s="307"/>
      <c r="W431" s="441">
        <f t="shared" si="149"/>
        <v>0</v>
      </c>
      <c r="X431" s="442"/>
      <c r="Y431" s="443"/>
      <c r="Z431" s="444">
        <f t="shared" si="150"/>
        <v>0</v>
      </c>
      <c r="AA431" s="307"/>
      <c r="AB431" s="307"/>
      <c r="AC431" s="445">
        <f t="shared" si="151"/>
        <v>0</v>
      </c>
      <c r="AD431" s="442"/>
      <c r="AE431" s="443"/>
      <c r="AF431" s="444">
        <f t="shared" si="152"/>
        <v>0</v>
      </c>
      <c r="AG431" s="307"/>
      <c r="AH431" s="307"/>
      <c r="AI431" s="445">
        <f t="shared" si="153"/>
        <v>0</v>
      </c>
      <c r="AJ431" s="446"/>
      <c r="AK431" s="443"/>
      <c r="AL431" s="444">
        <f t="shared" si="154"/>
        <v>0</v>
      </c>
      <c r="AM431" s="307"/>
      <c r="AN431" s="307"/>
      <c r="AO431" s="447">
        <f t="shared" si="155"/>
        <v>0</v>
      </c>
      <c r="AP431" s="448"/>
      <c r="AQ431" s="443"/>
      <c r="AR431" s="444">
        <f t="shared" si="156"/>
        <v>0</v>
      </c>
      <c r="AS431" s="307"/>
      <c r="AT431" s="307"/>
      <c r="AU431" s="441">
        <f t="shared" si="157"/>
        <v>0</v>
      </c>
      <c r="AV431" s="442"/>
      <c r="AW431" s="443"/>
      <c r="AX431" s="444">
        <f t="shared" si="158"/>
        <v>0</v>
      </c>
      <c r="AY431" s="307"/>
      <c r="AZ431" s="307"/>
      <c r="BA431" s="445">
        <f t="shared" si="159"/>
        <v>0</v>
      </c>
      <c r="BB431" s="442"/>
      <c r="BC431" s="443"/>
      <c r="BD431" s="444">
        <f t="shared" si="160"/>
        <v>0</v>
      </c>
      <c r="BE431" s="307"/>
      <c r="BF431" s="307"/>
      <c r="BG431" s="445">
        <f t="shared" si="161"/>
        <v>0</v>
      </c>
      <c r="BH431" s="442"/>
      <c r="BI431" s="443"/>
      <c r="BJ431" s="444">
        <f t="shared" si="162"/>
        <v>0</v>
      </c>
      <c r="BK431" s="307"/>
      <c r="BL431" s="307"/>
      <c r="BM431" s="445">
        <f t="shared" si="163"/>
        <v>0</v>
      </c>
      <c r="BN431" s="442"/>
      <c r="BO431" s="443"/>
      <c r="BP431" s="444">
        <f t="shared" si="164"/>
        <v>0</v>
      </c>
      <c r="BQ431" s="307"/>
      <c r="BR431" s="307"/>
      <c r="BS431" s="445">
        <f t="shared" si="165"/>
        <v>0</v>
      </c>
      <c r="BT431" s="442">
        <v>25</v>
      </c>
      <c r="BU431" s="443">
        <v>55142</v>
      </c>
      <c r="BV431" s="444">
        <f t="shared" si="166"/>
        <v>1127929.6100000001</v>
      </c>
      <c r="BW431" s="307">
        <v>27</v>
      </c>
      <c r="BX431" s="307">
        <v>51516</v>
      </c>
      <c r="BY431" s="449">
        <f t="shared" si="167"/>
        <v>1138060.5623999999</v>
      </c>
    </row>
    <row r="432" spans="1:77" s="308" customFormat="1" ht="12.75" customHeight="1">
      <c r="A432" s="352" t="s">
        <v>311</v>
      </c>
      <c r="B432" s="355" t="s">
        <v>464</v>
      </c>
      <c r="C432" s="355"/>
      <c r="D432" s="356">
        <v>261375</v>
      </c>
      <c r="E432" s="415">
        <v>13</v>
      </c>
      <c r="F432" s="453"/>
      <c r="G432" s="454"/>
      <c r="H432" s="439">
        <f t="shared" si="144"/>
        <v>0</v>
      </c>
      <c r="I432" s="311"/>
      <c r="J432" s="311"/>
      <c r="K432" s="441">
        <f t="shared" si="145"/>
        <v>0</v>
      </c>
      <c r="L432" s="442"/>
      <c r="M432" s="443"/>
      <c r="N432" s="444">
        <f t="shared" si="146"/>
        <v>0</v>
      </c>
      <c r="O432" s="307"/>
      <c r="P432" s="307"/>
      <c r="Q432" s="445">
        <f t="shared" si="147"/>
        <v>0</v>
      </c>
      <c r="R432" s="442"/>
      <c r="S432" s="443"/>
      <c r="T432" s="444">
        <f t="shared" si="148"/>
        <v>0</v>
      </c>
      <c r="U432" s="307"/>
      <c r="V432" s="307"/>
      <c r="W432" s="441">
        <f t="shared" si="149"/>
        <v>0</v>
      </c>
      <c r="X432" s="442"/>
      <c r="Y432" s="443"/>
      <c r="Z432" s="444">
        <f t="shared" si="150"/>
        <v>0</v>
      </c>
      <c r="AA432" s="307"/>
      <c r="AB432" s="307"/>
      <c r="AC432" s="445">
        <f t="shared" si="151"/>
        <v>0</v>
      </c>
      <c r="AD432" s="442"/>
      <c r="AE432" s="443"/>
      <c r="AF432" s="444">
        <f t="shared" si="152"/>
        <v>0</v>
      </c>
      <c r="AG432" s="307"/>
      <c r="AH432" s="307"/>
      <c r="AI432" s="445">
        <f t="shared" si="153"/>
        <v>0</v>
      </c>
      <c r="AJ432" s="446">
        <v>1</v>
      </c>
      <c r="AK432" s="443">
        <v>52750</v>
      </c>
      <c r="AL432" s="444">
        <f t="shared" si="154"/>
        <v>52750</v>
      </c>
      <c r="AM432" s="307">
        <v>1</v>
      </c>
      <c r="AN432" s="307">
        <v>52750</v>
      </c>
      <c r="AO432" s="447">
        <f t="shared" si="155"/>
        <v>52750</v>
      </c>
      <c r="AP432" s="448"/>
      <c r="AQ432" s="443"/>
      <c r="AR432" s="444">
        <f t="shared" si="156"/>
        <v>0</v>
      </c>
      <c r="AS432" s="307"/>
      <c r="AT432" s="307"/>
      <c r="AU432" s="441">
        <f t="shared" si="157"/>
        <v>0</v>
      </c>
      <c r="AV432" s="442"/>
      <c r="AW432" s="443"/>
      <c r="AX432" s="444">
        <f t="shared" si="158"/>
        <v>0</v>
      </c>
      <c r="AY432" s="307"/>
      <c r="AZ432" s="307"/>
      <c r="BA432" s="445">
        <f t="shared" si="159"/>
        <v>0</v>
      </c>
      <c r="BB432" s="442"/>
      <c r="BC432" s="443"/>
      <c r="BD432" s="444">
        <f t="shared" si="160"/>
        <v>0</v>
      </c>
      <c r="BE432" s="307"/>
      <c r="BF432" s="307"/>
      <c r="BG432" s="445">
        <f t="shared" si="161"/>
        <v>0</v>
      </c>
      <c r="BH432" s="442"/>
      <c r="BI432" s="443"/>
      <c r="BJ432" s="444">
        <f t="shared" si="162"/>
        <v>0</v>
      </c>
      <c r="BK432" s="307"/>
      <c r="BL432" s="307"/>
      <c r="BM432" s="445">
        <f t="shared" si="163"/>
        <v>0</v>
      </c>
      <c r="BN432" s="442"/>
      <c r="BO432" s="443"/>
      <c r="BP432" s="444">
        <f t="shared" si="164"/>
        <v>0</v>
      </c>
      <c r="BQ432" s="307"/>
      <c r="BR432" s="307"/>
      <c r="BS432" s="445">
        <f t="shared" si="165"/>
        <v>0</v>
      </c>
      <c r="BT432" s="442">
        <v>55</v>
      </c>
      <c r="BU432" s="443">
        <v>54977</v>
      </c>
      <c r="BV432" s="444">
        <f t="shared" si="166"/>
        <v>2474019.977</v>
      </c>
      <c r="BW432" s="307">
        <v>58</v>
      </c>
      <c r="BX432" s="307">
        <v>54799</v>
      </c>
      <c r="BY432" s="449">
        <f t="shared" si="167"/>
        <v>2600519.4243999999</v>
      </c>
    </row>
    <row r="433" spans="1:77" s="308" customFormat="1" ht="12.75" customHeight="1">
      <c r="A433" s="352" t="s">
        <v>311</v>
      </c>
      <c r="B433" s="355" t="s">
        <v>725</v>
      </c>
      <c r="C433" s="355"/>
      <c r="D433" s="356">
        <v>261384</v>
      </c>
      <c r="E433" s="415">
        <v>13</v>
      </c>
      <c r="F433" s="453"/>
      <c r="G433" s="454"/>
      <c r="H433" s="439">
        <f t="shared" si="144"/>
        <v>0</v>
      </c>
      <c r="I433" s="311"/>
      <c r="J433" s="311"/>
      <c r="K433" s="441">
        <f t="shared" si="145"/>
        <v>0</v>
      </c>
      <c r="L433" s="442"/>
      <c r="M433" s="443"/>
      <c r="N433" s="444">
        <f t="shared" si="146"/>
        <v>0</v>
      </c>
      <c r="O433" s="307"/>
      <c r="P433" s="307"/>
      <c r="Q433" s="445">
        <f t="shared" si="147"/>
        <v>0</v>
      </c>
      <c r="R433" s="442"/>
      <c r="S433" s="443"/>
      <c r="T433" s="444">
        <f t="shared" si="148"/>
        <v>0</v>
      </c>
      <c r="U433" s="307"/>
      <c r="V433" s="307"/>
      <c r="W433" s="441">
        <f t="shared" si="149"/>
        <v>0</v>
      </c>
      <c r="X433" s="442"/>
      <c r="Y433" s="443"/>
      <c r="Z433" s="444">
        <f t="shared" si="150"/>
        <v>0</v>
      </c>
      <c r="AA433" s="307"/>
      <c r="AB433" s="307"/>
      <c r="AC433" s="445">
        <f t="shared" si="151"/>
        <v>0</v>
      </c>
      <c r="AD433" s="442"/>
      <c r="AE433" s="443"/>
      <c r="AF433" s="444">
        <f t="shared" si="152"/>
        <v>0</v>
      </c>
      <c r="AG433" s="307"/>
      <c r="AH433" s="307"/>
      <c r="AI433" s="445">
        <f t="shared" si="153"/>
        <v>0</v>
      </c>
      <c r="AJ433" s="446"/>
      <c r="AK433" s="443"/>
      <c r="AL433" s="444">
        <f t="shared" si="154"/>
        <v>0</v>
      </c>
      <c r="AM433" s="307"/>
      <c r="AN433" s="307"/>
      <c r="AO433" s="447">
        <f t="shared" si="155"/>
        <v>0</v>
      </c>
      <c r="AP433" s="448"/>
      <c r="AQ433" s="443"/>
      <c r="AR433" s="444">
        <f t="shared" si="156"/>
        <v>0</v>
      </c>
      <c r="AS433" s="307"/>
      <c r="AT433" s="307"/>
      <c r="AU433" s="441">
        <f t="shared" si="157"/>
        <v>0</v>
      </c>
      <c r="AV433" s="442"/>
      <c r="AW433" s="443"/>
      <c r="AX433" s="444">
        <f t="shared" si="158"/>
        <v>0</v>
      </c>
      <c r="AY433" s="307"/>
      <c r="AZ433" s="307"/>
      <c r="BA433" s="445">
        <f t="shared" si="159"/>
        <v>0</v>
      </c>
      <c r="BB433" s="442"/>
      <c r="BC433" s="443"/>
      <c r="BD433" s="444">
        <f t="shared" si="160"/>
        <v>0</v>
      </c>
      <c r="BE433" s="307"/>
      <c r="BF433" s="307"/>
      <c r="BG433" s="445">
        <f t="shared" si="161"/>
        <v>0</v>
      </c>
      <c r="BH433" s="442"/>
      <c r="BI433" s="443"/>
      <c r="BJ433" s="444">
        <f t="shared" si="162"/>
        <v>0</v>
      </c>
      <c r="BK433" s="307"/>
      <c r="BL433" s="307"/>
      <c r="BM433" s="445">
        <f t="shared" si="163"/>
        <v>0</v>
      </c>
      <c r="BN433" s="442"/>
      <c r="BO433" s="443"/>
      <c r="BP433" s="444">
        <f t="shared" si="164"/>
        <v>0</v>
      </c>
      <c r="BQ433" s="307"/>
      <c r="BR433" s="307"/>
      <c r="BS433" s="445">
        <f t="shared" si="165"/>
        <v>0</v>
      </c>
      <c r="BT433" s="442">
        <v>24</v>
      </c>
      <c r="BU433" s="443">
        <v>55474</v>
      </c>
      <c r="BV433" s="444">
        <f t="shared" si="166"/>
        <v>1089331.8432</v>
      </c>
      <c r="BW433" s="307">
        <v>23</v>
      </c>
      <c r="BX433" s="307">
        <v>55122</v>
      </c>
      <c r="BY433" s="449">
        <f t="shared" si="167"/>
        <v>1037318.8692000001</v>
      </c>
    </row>
    <row r="434" spans="1:77" s="308" customFormat="1" ht="12.75" customHeight="1">
      <c r="A434" s="352" t="s">
        <v>311</v>
      </c>
      <c r="B434" s="355" t="s">
        <v>726</v>
      </c>
      <c r="C434" s="355"/>
      <c r="D434" s="356">
        <v>418357</v>
      </c>
      <c r="E434" s="415">
        <v>13</v>
      </c>
      <c r="F434" s="453"/>
      <c r="G434" s="454"/>
      <c r="H434" s="439">
        <f t="shared" si="144"/>
        <v>0</v>
      </c>
      <c r="I434" s="311"/>
      <c r="J434" s="311"/>
      <c r="K434" s="441">
        <f t="shared" si="145"/>
        <v>0</v>
      </c>
      <c r="L434" s="442"/>
      <c r="M434" s="443"/>
      <c r="N434" s="444">
        <f t="shared" si="146"/>
        <v>0</v>
      </c>
      <c r="O434" s="307"/>
      <c r="P434" s="307"/>
      <c r="Q434" s="445">
        <f t="shared" si="147"/>
        <v>0</v>
      </c>
      <c r="R434" s="442"/>
      <c r="S434" s="443"/>
      <c r="T434" s="444">
        <f t="shared" si="148"/>
        <v>0</v>
      </c>
      <c r="U434" s="307"/>
      <c r="V434" s="307"/>
      <c r="W434" s="441">
        <f t="shared" si="149"/>
        <v>0</v>
      </c>
      <c r="X434" s="442"/>
      <c r="Y434" s="443"/>
      <c r="Z434" s="444">
        <f t="shared" si="150"/>
        <v>0</v>
      </c>
      <c r="AA434" s="307"/>
      <c r="AB434" s="307"/>
      <c r="AC434" s="445">
        <f t="shared" si="151"/>
        <v>0</v>
      </c>
      <c r="AD434" s="442"/>
      <c r="AE434" s="443"/>
      <c r="AF434" s="444">
        <f t="shared" si="152"/>
        <v>0</v>
      </c>
      <c r="AG434" s="307"/>
      <c r="AH434" s="307"/>
      <c r="AI434" s="445">
        <f t="shared" si="153"/>
        <v>0</v>
      </c>
      <c r="AJ434" s="446">
        <v>9</v>
      </c>
      <c r="AK434" s="443">
        <v>42633</v>
      </c>
      <c r="AL434" s="444">
        <f t="shared" si="154"/>
        <v>383697</v>
      </c>
      <c r="AM434" s="307">
        <v>10</v>
      </c>
      <c r="AN434" s="307">
        <v>42490</v>
      </c>
      <c r="AO434" s="447">
        <f t="shared" si="155"/>
        <v>424900</v>
      </c>
      <c r="AP434" s="448"/>
      <c r="AQ434" s="443"/>
      <c r="AR434" s="444">
        <f t="shared" si="156"/>
        <v>0</v>
      </c>
      <c r="AS434" s="307"/>
      <c r="AT434" s="307"/>
      <c r="AU434" s="441">
        <f t="shared" si="157"/>
        <v>0</v>
      </c>
      <c r="AV434" s="442"/>
      <c r="AW434" s="443"/>
      <c r="AX434" s="444">
        <f t="shared" si="158"/>
        <v>0</v>
      </c>
      <c r="AY434" s="307"/>
      <c r="AZ434" s="307"/>
      <c r="BA434" s="445">
        <f t="shared" si="159"/>
        <v>0</v>
      </c>
      <c r="BB434" s="442"/>
      <c r="BC434" s="443"/>
      <c r="BD434" s="444">
        <f t="shared" si="160"/>
        <v>0</v>
      </c>
      <c r="BE434" s="307"/>
      <c r="BF434" s="307"/>
      <c r="BG434" s="445">
        <f t="shared" si="161"/>
        <v>0</v>
      </c>
      <c r="BH434" s="442"/>
      <c r="BI434" s="443"/>
      <c r="BJ434" s="444">
        <f t="shared" si="162"/>
        <v>0</v>
      </c>
      <c r="BK434" s="307"/>
      <c r="BL434" s="307"/>
      <c r="BM434" s="445">
        <f t="shared" si="163"/>
        <v>0</v>
      </c>
      <c r="BN434" s="442"/>
      <c r="BO434" s="443"/>
      <c r="BP434" s="444">
        <f t="shared" si="164"/>
        <v>0</v>
      </c>
      <c r="BQ434" s="307"/>
      <c r="BR434" s="307"/>
      <c r="BS434" s="445">
        <f t="shared" si="165"/>
        <v>0</v>
      </c>
      <c r="BT434" s="442">
        <v>5</v>
      </c>
      <c r="BU434" s="443">
        <v>48072</v>
      </c>
      <c r="BV434" s="444">
        <f t="shared" si="166"/>
        <v>196662.552</v>
      </c>
      <c r="BW434" s="307">
        <v>4</v>
      </c>
      <c r="BX434" s="307">
        <v>52505</v>
      </c>
      <c r="BY434" s="449">
        <f t="shared" si="167"/>
        <v>171838.364</v>
      </c>
    </row>
    <row r="435" spans="1:77" s="308" customFormat="1" ht="12.75" customHeight="1">
      <c r="A435" s="353" t="s">
        <v>311</v>
      </c>
      <c r="B435" s="355" t="s">
        <v>727</v>
      </c>
      <c r="C435" s="355"/>
      <c r="D435" s="356">
        <v>418302</v>
      </c>
      <c r="E435" s="415">
        <v>13</v>
      </c>
      <c r="F435" s="453"/>
      <c r="G435" s="454"/>
      <c r="H435" s="439">
        <f t="shared" si="144"/>
        <v>0</v>
      </c>
      <c r="I435" s="311"/>
      <c r="J435" s="311"/>
      <c r="K435" s="441">
        <f t="shared" si="145"/>
        <v>0</v>
      </c>
      <c r="L435" s="442"/>
      <c r="M435" s="443"/>
      <c r="N435" s="444">
        <f t="shared" si="146"/>
        <v>0</v>
      </c>
      <c r="O435" s="307"/>
      <c r="P435" s="307"/>
      <c r="Q435" s="445">
        <f t="shared" si="147"/>
        <v>0</v>
      </c>
      <c r="R435" s="442"/>
      <c r="S435" s="443"/>
      <c r="T435" s="444">
        <f t="shared" si="148"/>
        <v>0</v>
      </c>
      <c r="U435" s="307"/>
      <c r="V435" s="307"/>
      <c r="W435" s="441">
        <f t="shared" si="149"/>
        <v>0</v>
      </c>
      <c r="X435" s="442"/>
      <c r="Y435" s="443"/>
      <c r="Z435" s="444">
        <f t="shared" si="150"/>
        <v>0</v>
      </c>
      <c r="AA435" s="307"/>
      <c r="AB435" s="307"/>
      <c r="AC435" s="445">
        <f t="shared" si="151"/>
        <v>0</v>
      </c>
      <c r="AD435" s="442"/>
      <c r="AE435" s="443"/>
      <c r="AF435" s="444">
        <f t="shared" si="152"/>
        <v>0</v>
      </c>
      <c r="AG435" s="307"/>
      <c r="AH435" s="307"/>
      <c r="AI435" s="445">
        <f t="shared" si="153"/>
        <v>0</v>
      </c>
      <c r="AJ435" s="446">
        <v>20</v>
      </c>
      <c r="AK435" s="443">
        <v>44636</v>
      </c>
      <c r="AL435" s="444">
        <f t="shared" si="154"/>
        <v>892720</v>
      </c>
      <c r="AM435" s="307">
        <v>20</v>
      </c>
      <c r="AN435" s="307">
        <v>46020</v>
      </c>
      <c r="AO435" s="447">
        <f t="shared" si="155"/>
        <v>920400</v>
      </c>
      <c r="AP435" s="448"/>
      <c r="AQ435" s="443"/>
      <c r="AR435" s="444">
        <f t="shared" si="156"/>
        <v>0</v>
      </c>
      <c r="AS435" s="307"/>
      <c r="AT435" s="307"/>
      <c r="AU435" s="441">
        <f t="shared" si="157"/>
        <v>0</v>
      </c>
      <c r="AV435" s="442"/>
      <c r="AW435" s="443"/>
      <c r="AX435" s="444">
        <f t="shared" si="158"/>
        <v>0</v>
      </c>
      <c r="AY435" s="307"/>
      <c r="AZ435" s="307"/>
      <c r="BA435" s="445">
        <f t="shared" si="159"/>
        <v>0</v>
      </c>
      <c r="BB435" s="442"/>
      <c r="BC435" s="443"/>
      <c r="BD435" s="444">
        <f t="shared" si="160"/>
        <v>0</v>
      </c>
      <c r="BE435" s="307"/>
      <c r="BF435" s="307"/>
      <c r="BG435" s="445">
        <f t="shared" si="161"/>
        <v>0</v>
      </c>
      <c r="BH435" s="442"/>
      <c r="BI435" s="443"/>
      <c r="BJ435" s="444">
        <f t="shared" si="162"/>
        <v>0</v>
      </c>
      <c r="BK435" s="307"/>
      <c r="BL435" s="307"/>
      <c r="BM435" s="445">
        <f t="shared" si="163"/>
        <v>0</v>
      </c>
      <c r="BN435" s="442"/>
      <c r="BO435" s="443"/>
      <c r="BP435" s="444">
        <f t="shared" si="164"/>
        <v>0</v>
      </c>
      <c r="BQ435" s="307"/>
      <c r="BR435" s="307"/>
      <c r="BS435" s="445">
        <f t="shared" si="165"/>
        <v>0</v>
      </c>
      <c r="BT435" s="442">
        <v>5</v>
      </c>
      <c r="BU435" s="443">
        <v>50979</v>
      </c>
      <c r="BV435" s="444">
        <f t="shared" si="166"/>
        <v>208555.08900000001</v>
      </c>
      <c r="BW435" s="307">
        <v>5</v>
      </c>
      <c r="BX435" s="307">
        <v>52763</v>
      </c>
      <c r="BY435" s="449">
        <f t="shared" si="167"/>
        <v>215853.43300000002</v>
      </c>
    </row>
    <row r="436" spans="1:77" s="308" customFormat="1" ht="12.75" customHeight="1">
      <c r="A436" s="357" t="s">
        <v>311</v>
      </c>
      <c r="B436" s="358" t="s">
        <v>714</v>
      </c>
      <c r="C436" s="543" t="s">
        <v>1127</v>
      </c>
      <c r="D436" s="544">
        <v>456560</v>
      </c>
      <c r="E436" s="545">
        <v>14</v>
      </c>
      <c r="F436" s="453"/>
      <c r="G436" s="454"/>
      <c r="H436" s="439">
        <f t="shared" si="144"/>
        <v>0</v>
      </c>
      <c r="I436" s="311"/>
      <c r="J436" s="311"/>
      <c r="K436" s="441">
        <f t="shared" si="145"/>
        <v>0</v>
      </c>
      <c r="L436" s="442"/>
      <c r="M436" s="443"/>
      <c r="N436" s="444">
        <f t="shared" si="146"/>
        <v>0</v>
      </c>
      <c r="O436" s="307"/>
      <c r="P436" s="307"/>
      <c r="Q436" s="445">
        <f t="shared" si="147"/>
        <v>0</v>
      </c>
      <c r="R436" s="442"/>
      <c r="S436" s="443"/>
      <c r="T436" s="444">
        <f t="shared" si="148"/>
        <v>0</v>
      </c>
      <c r="U436" s="307"/>
      <c r="V436" s="307"/>
      <c r="W436" s="441">
        <f t="shared" si="149"/>
        <v>0</v>
      </c>
      <c r="X436" s="442"/>
      <c r="Y436" s="443"/>
      <c r="Z436" s="444">
        <f t="shared" si="150"/>
        <v>0</v>
      </c>
      <c r="AA436" s="307"/>
      <c r="AB436" s="307"/>
      <c r="AC436" s="445">
        <f t="shared" si="151"/>
        <v>0</v>
      </c>
      <c r="AD436" s="442"/>
      <c r="AE436" s="443"/>
      <c r="AF436" s="444">
        <f t="shared" si="152"/>
        <v>0</v>
      </c>
      <c r="AG436" s="307"/>
      <c r="AH436" s="307"/>
      <c r="AI436" s="445">
        <f t="shared" si="153"/>
        <v>0</v>
      </c>
      <c r="AJ436" s="446">
        <v>4</v>
      </c>
      <c r="AK436" s="443">
        <v>46730</v>
      </c>
      <c r="AL436" s="444">
        <f t="shared" si="154"/>
        <v>186920</v>
      </c>
      <c r="AM436" s="307">
        <v>4</v>
      </c>
      <c r="AN436" s="307">
        <v>49487</v>
      </c>
      <c r="AO436" s="447">
        <f t="shared" si="155"/>
        <v>197948</v>
      </c>
      <c r="AP436" s="448"/>
      <c r="AQ436" s="443"/>
      <c r="AR436" s="444">
        <f t="shared" si="156"/>
        <v>0</v>
      </c>
      <c r="AS436" s="307"/>
      <c r="AT436" s="307"/>
      <c r="AU436" s="441">
        <f t="shared" si="157"/>
        <v>0</v>
      </c>
      <c r="AV436" s="442"/>
      <c r="AW436" s="443"/>
      <c r="AX436" s="444">
        <f t="shared" si="158"/>
        <v>0</v>
      </c>
      <c r="AY436" s="307"/>
      <c r="AZ436" s="307"/>
      <c r="BA436" s="445">
        <f t="shared" si="159"/>
        <v>0</v>
      </c>
      <c r="BB436" s="442"/>
      <c r="BC436" s="443"/>
      <c r="BD436" s="444">
        <f t="shared" si="160"/>
        <v>0</v>
      </c>
      <c r="BE436" s="307"/>
      <c r="BF436" s="307"/>
      <c r="BG436" s="445">
        <f t="shared" si="161"/>
        <v>0</v>
      </c>
      <c r="BH436" s="442"/>
      <c r="BI436" s="443"/>
      <c r="BJ436" s="444">
        <f t="shared" si="162"/>
        <v>0</v>
      </c>
      <c r="BK436" s="307"/>
      <c r="BL436" s="307"/>
      <c r="BM436" s="445">
        <f t="shared" si="163"/>
        <v>0</v>
      </c>
      <c r="BN436" s="442"/>
      <c r="BO436" s="443"/>
      <c r="BP436" s="444">
        <f t="shared" si="164"/>
        <v>0</v>
      </c>
      <c r="BQ436" s="307"/>
      <c r="BR436" s="307"/>
      <c r="BS436" s="445">
        <f t="shared" si="165"/>
        <v>0</v>
      </c>
      <c r="BT436" s="442">
        <v>2</v>
      </c>
      <c r="BU436" s="443">
        <v>57226</v>
      </c>
      <c r="BV436" s="444">
        <f t="shared" si="166"/>
        <v>93644.626400000008</v>
      </c>
      <c r="BW436" s="307">
        <v>2</v>
      </c>
      <c r="BX436" s="307">
        <v>59010</v>
      </c>
      <c r="BY436" s="449">
        <f t="shared" si="167"/>
        <v>96563.964000000007</v>
      </c>
    </row>
    <row r="437" spans="1:77" s="308" customFormat="1" ht="12.75" customHeight="1">
      <c r="A437" s="359" t="s">
        <v>346</v>
      </c>
      <c r="B437" s="360" t="s">
        <v>588</v>
      </c>
      <c r="C437" s="547"/>
      <c r="D437" s="361">
        <v>217882</v>
      </c>
      <c r="E437" s="362">
        <v>1</v>
      </c>
      <c r="F437" s="453">
        <v>298</v>
      </c>
      <c r="G437" s="454">
        <v>108059.3389261745</v>
      </c>
      <c r="H437" s="439">
        <f t="shared" si="144"/>
        <v>32201683.000000004</v>
      </c>
      <c r="I437" s="311">
        <v>298</v>
      </c>
      <c r="J437" s="311">
        <v>108668.20805369127</v>
      </c>
      <c r="K437" s="441">
        <f t="shared" si="145"/>
        <v>32383126</v>
      </c>
      <c r="L437" s="442">
        <v>232</v>
      </c>
      <c r="M437" s="443">
        <v>76397.012931034478</v>
      </c>
      <c r="N437" s="444">
        <f t="shared" si="146"/>
        <v>17724107</v>
      </c>
      <c r="O437" s="307">
        <v>230</v>
      </c>
      <c r="P437" s="307">
        <v>76880.373913043484</v>
      </c>
      <c r="Q437" s="445">
        <f t="shared" si="147"/>
        <v>17682486</v>
      </c>
      <c r="R437" s="442">
        <v>255</v>
      </c>
      <c r="S437" s="443">
        <v>68415.345098039223</v>
      </c>
      <c r="T437" s="444">
        <f t="shared" si="148"/>
        <v>17445913</v>
      </c>
      <c r="U437" s="307">
        <v>249</v>
      </c>
      <c r="V437" s="307">
        <v>68180.630522088351</v>
      </c>
      <c r="W437" s="441">
        <f t="shared" si="149"/>
        <v>16976977</v>
      </c>
      <c r="X437" s="442">
        <v>4</v>
      </c>
      <c r="Y437" s="443">
        <v>50778.5</v>
      </c>
      <c r="Z437" s="444">
        <f t="shared" si="150"/>
        <v>203114</v>
      </c>
      <c r="AA437" s="307">
        <v>3</v>
      </c>
      <c r="AB437" s="307">
        <v>49074.666666666664</v>
      </c>
      <c r="AC437" s="445">
        <f t="shared" si="151"/>
        <v>147224</v>
      </c>
      <c r="AD437" s="442">
        <v>172</v>
      </c>
      <c r="AE437" s="443">
        <v>44514.784883720931</v>
      </c>
      <c r="AF437" s="444">
        <f t="shared" si="152"/>
        <v>7656543</v>
      </c>
      <c r="AG437" s="307">
        <v>175</v>
      </c>
      <c r="AH437" s="307">
        <v>44522.588571428569</v>
      </c>
      <c r="AI437" s="445">
        <f t="shared" si="153"/>
        <v>7791452.9999999991</v>
      </c>
      <c r="AJ437" s="446"/>
      <c r="AK437" s="443"/>
      <c r="AL437" s="444">
        <f t="shared" si="154"/>
        <v>0</v>
      </c>
      <c r="AM437" s="307"/>
      <c r="AN437" s="307"/>
      <c r="AO437" s="447">
        <f t="shared" si="155"/>
        <v>0</v>
      </c>
      <c r="AP437" s="448">
        <v>47</v>
      </c>
      <c r="AQ437" s="443">
        <v>109413.68085106384</v>
      </c>
      <c r="AR437" s="444">
        <f t="shared" si="156"/>
        <v>4207546.8626000006</v>
      </c>
      <c r="AS437" s="307">
        <v>45</v>
      </c>
      <c r="AT437" s="307">
        <v>109452.44444444444</v>
      </c>
      <c r="AU437" s="441">
        <f t="shared" si="157"/>
        <v>4029929.5520000001</v>
      </c>
      <c r="AV437" s="442">
        <v>20</v>
      </c>
      <c r="AW437" s="443">
        <v>84909.9</v>
      </c>
      <c r="AX437" s="444">
        <f t="shared" si="158"/>
        <v>1389465.6036</v>
      </c>
      <c r="AY437" s="307">
        <v>18</v>
      </c>
      <c r="AZ437" s="307">
        <v>85644.388888888891</v>
      </c>
      <c r="BA437" s="445">
        <f t="shared" si="159"/>
        <v>1261336.3018</v>
      </c>
      <c r="BB437" s="442">
        <v>13</v>
      </c>
      <c r="BC437" s="443">
        <v>71208.38461538461</v>
      </c>
      <c r="BD437" s="444">
        <f t="shared" si="160"/>
        <v>757415.10379999992</v>
      </c>
      <c r="BE437" s="307">
        <v>13</v>
      </c>
      <c r="BF437" s="307">
        <v>71208.38461538461</v>
      </c>
      <c r="BG437" s="445">
        <f t="shared" si="161"/>
        <v>757415.10379999992</v>
      </c>
      <c r="BH437" s="442"/>
      <c r="BI437" s="443"/>
      <c r="BJ437" s="444">
        <f t="shared" si="162"/>
        <v>0</v>
      </c>
      <c r="BK437" s="307"/>
      <c r="BL437" s="307"/>
      <c r="BM437" s="445">
        <f t="shared" si="163"/>
        <v>0</v>
      </c>
      <c r="BN437" s="442">
        <v>11</v>
      </c>
      <c r="BO437" s="443">
        <v>56734.63636363636</v>
      </c>
      <c r="BP437" s="444">
        <f t="shared" si="164"/>
        <v>510623.07420000003</v>
      </c>
      <c r="BQ437" s="307">
        <v>12</v>
      </c>
      <c r="BR437" s="307">
        <v>60325.166666666664</v>
      </c>
      <c r="BS437" s="445">
        <f t="shared" si="165"/>
        <v>592296.61640000006</v>
      </c>
      <c r="BT437" s="442"/>
      <c r="BU437" s="443"/>
      <c r="BV437" s="444">
        <f t="shared" si="166"/>
        <v>0</v>
      </c>
      <c r="BW437" s="307"/>
      <c r="BX437" s="307"/>
      <c r="BY437" s="449">
        <f t="shared" si="167"/>
        <v>0</v>
      </c>
    </row>
    <row r="438" spans="1:77" s="308" customFormat="1" ht="12.75" customHeight="1">
      <c r="A438" s="359" t="s">
        <v>346</v>
      </c>
      <c r="B438" s="360" t="s">
        <v>589</v>
      </c>
      <c r="C438" s="547"/>
      <c r="D438" s="361">
        <v>218663</v>
      </c>
      <c r="E438" s="362">
        <v>1</v>
      </c>
      <c r="F438" s="453">
        <v>241</v>
      </c>
      <c r="G438" s="454">
        <v>109737.51037344398</v>
      </c>
      <c r="H438" s="439">
        <f t="shared" si="144"/>
        <v>26446740</v>
      </c>
      <c r="I438" s="311">
        <v>264</v>
      </c>
      <c r="J438" s="311">
        <v>109042.57196969698</v>
      </c>
      <c r="K438" s="441">
        <f t="shared" si="145"/>
        <v>28787239</v>
      </c>
      <c r="L438" s="442">
        <v>319</v>
      </c>
      <c r="M438" s="443">
        <v>77693.507836990597</v>
      </c>
      <c r="N438" s="444">
        <f t="shared" si="146"/>
        <v>24784229</v>
      </c>
      <c r="O438" s="307">
        <v>329</v>
      </c>
      <c r="P438" s="307">
        <v>79229.787234042553</v>
      </c>
      <c r="Q438" s="445">
        <f t="shared" si="147"/>
        <v>26066600</v>
      </c>
      <c r="R438" s="442">
        <v>325</v>
      </c>
      <c r="S438" s="443">
        <v>70457.763076923075</v>
      </c>
      <c r="T438" s="444">
        <f t="shared" si="148"/>
        <v>22898773</v>
      </c>
      <c r="U438" s="307">
        <v>308</v>
      </c>
      <c r="V438" s="307">
        <v>71319.766233766233</v>
      </c>
      <c r="W438" s="441">
        <f t="shared" si="149"/>
        <v>21966488</v>
      </c>
      <c r="X438" s="442">
        <v>106</v>
      </c>
      <c r="Y438" s="443">
        <v>43352.933962264149</v>
      </c>
      <c r="Z438" s="444">
        <f t="shared" si="150"/>
        <v>4595411</v>
      </c>
      <c r="AA438" s="307">
        <v>101</v>
      </c>
      <c r="AB438" s="307">
        <v>43387.019801980197</v>
      </c>
      <c r="AC438" s="445">
        <f t="shared" si="151"/>
        <v>4382089</v>
      </c>
      <c r="AD438" s="442">
        <v>20</v>
      </c>
      <c r="AE438" s="443">
        <v>58462.75</v>
      </c>
      <c r="AF438" s="444">
        <f t="shared" si="152"/>
        <v>1169255</v>
      </c>
      <c r="AG438" s="307">
        <v>20</v>
      </c>
      <c r="AH438" s="307">
        <v>59502.85</v>
      </c>
      <c r="AI438" s="445">
        <f t="shared" si="153"/>
        <v>1190057</v>
      </c>
      <c r="AJ438" s="446"/>
      <c r="AK438" s="443"/>
      <c r="AL438" s="444">
        <f t="shared" si="154"/>
        <v>0</v>
      </c>
      <c r="AM438" s="307"/>
      <c r="AN438" s="307"/>
      <c r="AO438" s="447">
        <f t="shared" si="155"/>
        <v>0</v>
      </c>
      <c r="AP438" s="448">
        <v>60</v>
      </c>
      <c r="AQ438" s="443">
        <v>140986.29999999999</v>
      </c>
      <c r="AR438" s="444">
        <f t="shared" si="156"/>
        <v>6921299.4396000002</v>
      </c>
      <c r="AS438" s="307">
        <v>59</v>
      </c>
      <c r="AT438" s="307">
        <v>151395.74576271186</v>
      </c>
      <c r="AU438" s="441">
        <f t="shared" si="157"/>
        <v>7308447.9517999999</v>
      </c>
      <c r="AV438" s="442">
        <v>16</v>
      </c>
      <c r="AW438" s="443">
        <v>93503.8125</v>
      </c>
      <c r="AX438" s="444">
        <f t="shared" si="158"/>
        <v>1224077.1102</v>
      </c>
      <c r="AY438" s="307">
        <v>21</v>
      </c>
      <c r="AZ438" s="307">
        <v>90702.761904761908</v>
      </c>
      <c r="BA438" s="445">
        <f t="shared" si="159"/>
        <v>1558472.9956</v>
      </c>
      <c r="BB438" s="442">
        <v>29</v>
      </c>
      <c r="BC438" s="443">
        <v>81275.31034482758</v>
      </c>
      <c r="BD438" s="444">
        <f t="shared" si="160"/>
        <v>1928484.3088</v>
      </c>
      <c r="BE438" s="307">
        <v>31</v>
      </c>
      <c r="BF438" s="307">
        <v>86268.774193548394</v>
      </c>
      <c r="BG438" s="445">
        <f t="shared" si="161"/>
        <v>2188138.4424000001</v>
      </c>
      <c r="BH438" s="442">
        <v>29</v>
      </c>
      <c r="BI438" s="443">
        <v>55673.827586206899</v>
      </c>
      <c r="BJ438" s="444">
        <f t="shared" si="162"/>
        <v>1321017.4462000001</v>
      </c>
      <c r="BK438" s="307">
        <v>41</v>
      </c>
      <c r="BL438" s="307">
        <v>55498.951219512193</v>
      </c>
      <c r="BM438" s="445">
        <f t="shared" si="163"/>
        <v>1861778.9174000002</v>
      </c>
      <c r="BN438" s="442">
        <v>7</v>
      </c>
      <c r="BO438" s="443">
        <v>74849.571428571435</v>
      </c>
      <c r="BP438" s="444">
        <f t="shared" si="164"/>
        <v>428693.43540000007</v>
      </c>
      <c r="BQ438" s="307">
        <v>4</v>
      </c>
      <c r="BR438" s="307">
        <v>72090.25</v>
      </c>
      <c r="BS438" s="445">
        <f t="shared" si="165"/>
        <v>235936.97020000001</v>
      </c>
      <c r="BT438" s="442"/>
      <c r="BU438" s="443"/>
      <c r="BV438" s="444">
        <f t="shared" si="166"/>
        <v>0</v>
      </c>
      <c r="BW438" s="307"/>
      <c r="BX438" s="307"/>
      <c r="BY438" s="449">
        <f t="shared" si="167"/>
        <v>0</v>
      </c>
    </row>
    <row r="439" spans="1:77" s="308" customFormat="1" ht="12.75" customHeight="1">
      <c r="A439" s="359" t="s">
        <v>346</v>
      </c>
      <c r="B439" s="360" t="s">
        <v>590</v>
      </c>
      <c r="C439" s="547"/>
      <c r="D439" s="361">
        <v>217819</v>
      </c>
      <c r="E439" s="362">
        <v>3</v>
      </c>
      <c r="F439" s="453">
        <v>127</v>
      </c>
      <c r="G439" s="454">
        <v>81225</v>
      </c>
      <c r="H439" s="439">
        <f t="shared" si="144"/>
        <v>10315575</v>
      </c>
      <c r="I439" s="311">
        <v>127</v>
      </c>
      <c r="J439" s="311">
        <v>81074.275590551188</v>
      </c>
      <c r="K439" s="441">
        <f t="shared" si="145"/>
        <v>10296433</v>
      </c>
      <c r="L439" s="442">
        <v>155</v>
      </c>
      <c r="M439" s="443">
        <v>64987.529032258062</v>
      </c>
      <c r="N439" s="444">
        <f t="shared" si="146"/>
        <v>10073067</v>
      </c>
      <c r="O439" s="307">
        <v>151</v>
      </c>
      <c r="P439" s="307">
        <v>63926.708609271525</v>
      </c>
      <c r="Q439" s="445">
        <f t="shared" si="147"/>
        <v>9652933</v>
      </c>
      <c r="R439" s="442">
        <v>161</v>
      </c>
      <c r="S439" s="443">
        <v>58387.720496894413</v>
      </c>
      <c r="T439" s="444">
        <f t="shared" si="148"/>
        <v>9400423</v>
      </c>
      <c r="U439" s="307">
        <v>171</v>
      </c>
      <c r="V439" s="307">
        <v>59189.807017543862</v>
      </c>
      <c r="W439" s="441">
        <f t="shared" si="149"/>
        <v>10121457</v>
      </c>
      <c r="X439" s="442">
        <v>60</v>
      </c>
      <c r="Y439" s="443">
        <v>46437.316666666666</v>
      </c>
      <c r="Z439" s="444">
        <f t="shared" si="150"/>
        <v>2786239</v>
      </c>
      <c r="AA439" s="307">
        <v>61</v>
      </c>
      <c r="AB439" s="307">
        <v>47795.442622950817</v>
      </c>
      <c r="AC439" s="445">
        <f t="shared" si="151"/>
        <v>2915522</v>
      </c>
      <c r="AD439" s="442"/>
      <c r="AE439" s="443"/>
      <c r="AF439" s="444">
        <f t="shared" si="152"/>
        <v>0</v>
      </c>
      <c r="AG439" s="307"/>
      <c r="AH439" s="307"/>
      <c r="AI439" s="445">
        <f t="shared" si="153"/>
        <v>0</v>
      </c>
      <c r="AJ439" s="446"/>
      <c r="AK439" s="443"/>
      <c r="AL439" s="444">
        <f t="shared" si="154"/>
        <v>0</v>
      </c>
      <c r="AM439" s="307"/>
      <c r="AN439" s="307"/>
      <c r="AO439" s="447">
        <f t="shared" si="155"/>
        <v>0</v>
      </c>
      <c r="AP439" s="448"/>
      <c r="AQ439" s="443"/>
      <c r="AR439" s="444">
        <f t="shared" si="156"/>
        <v>0</v>
      </c>
      <c r="AS439" s="307"/>
      <c r="AT439" s="307"/>
      <c r="AU439" s="441">
        <f t="shared" si="157"/>
        <v>0</v>
      </c>
      <c r="AV439" s="442"/>
      <c r="AW439" s="443"/>
      <c r="AX439" s="444">
        <f t="shared" si="158"/>
        <v>0</v>
      </c>
      <c r="AY439" s="307"/>
      <c r="AZ439" s="307"/>
      <c r="BA439" s="445">
        <f t="shared" si="159"/>
        <v>0</v>
      </c>
      <c r="BB439" s="442"/>
      <c r="BC439" s="443"/>
      <c r="BD439" s="444">
        <f t="shared" si="160"/>
        <v>0</v>
      </c>
      <c r="BE439" s="307"/>
      <c r="BF439" s="307"/>
      <c r="BG439" s="445">
        <f t="shared" si="161"/>
        <v>0</v>
      </c>
      <c r="BH439" s="442">
        <v>1</v>
      </c>
      <c r="BI439" s="443">
        <v>45204</v>
      </c>
      <c r="BJ439" s="444">
        <f t="shared" si="162"/>
        <v>36985.912799999998</v>
      </c>
      <c r="BK439" s="307"/>
      <c r="BL439" s="307"/>
      <c r="BM439" s="445">
        <f t="shared" si="163"/>
        <v>0</v>
      </c>
      <c r="BN439" s="442"/>
      <c r="BO439" s="443"/>
      <c r="BP439" s="444">
        <f t="shared" si="164"/>
        <v>0</v>
      </c>
      <c r="BQ439" s="307"/>
      <c r="BR439" s="307"/>
      <c r="BS439" s="445">
        <f t="shared" si="165"/>
        <v>0</v>
      </c>
      <c r="BT439" s="442"/>
      <c r="BU439" s="443"/>
      <c r="BV439" s="444">
        <f t="shared" si="166"/>
        <v>0</v>
      </c>
      <c r="BW439" s="307"/>
      <c r="BX439" s="307"/>
      <c r="BY439" s="449">
        <f t="shared" si="167"/>
        <v>0</v>
      </c>
    </row>
    <row r="440" spans="1:77" s="308" customFormat="1" ht="12.75" customHeight="1">
      <c r="A440" s="359" t="s">
        <v>346</v>
      </c>
      <c r="B440" s="360" t="s">
        <v>591</v>
      </c>
      <c r="C440" s="547"/>
      <c r="D440" s="361">
        <v>218964</v>
      </c>
      <c r="E440" s="362">
        <v>3</v>
      </c>
      <c r="F440" s="453">
        <v>69</v>
      </c>
      <c r="G440" s="454">
        <v>77309</v>
      </c>
      <c r="H440" s="439">
        <f t="shared" si="144"/>
        <v>5334321</v>
      </c>
      <c r="I440" s="546">
        <v>70</v>
      </c>
      <c r="J440" s="311">
        <v>75122</v>
      </c>
      <c r="K440" s="441">
        <f t="shared" si="145"/>
        <v>5258540</v>
      </c>
      <c r="L440" s="442">
        <v>97</v>
      </c>
      <c r="M440" s="443">
        <v>66275</v>
      </c>
      <c r="N440" s="444">
        <f t="shared" si="146"/>
        <v>6428675</v>
      </c>
      <c r="O440" s="307">
        <v>98</v>
      </c>
      <c r="P440" s="307">
        <v>65382.602040816324</v>
      </c>
      <c r="Q440" s="445">
        <f t="shared" si="147"/>
        <v>6407495</v>
      </c>
      <c r="R440" s="442">
        <v>80</v>
      </c>
      <c r="S440" s="443">
        <v>55156.912499999999</v>
      </c>
      <c r="T440" s="444">
        <f t="shared" si="148"/>
        <v>4412553</v>
      </c>
      <c r="U440" s="307">
        <v>85</v>
      </c>
      <c r="V440" s="307">
        <v>54559</v>
      </c>
      <c r="W440" s="441">
        <f t="shared" si="149"/>
        <v>4637515</v>
      </c>
      <c r="X440" s="442">
        <v>29</v>
      </c>
      <c r="Y440" s="443">
        <v>43709</v>
      </c>
      <c r="Z440" s="444">
        <f t="shared" si="150"/>
        <v>1267561</v>
      </c>
      <c r="AA440" s="307">
        <v>28</v>
      </c>
      <c r="AB440" s="307">
        <v>43445</v>
      </c>
      <c r="AC440" s="445">
        <f t="shared" si="151"/>
        <v>1216460</v>
      </c>
      <c r="AD440" s="442"/>
      <c r="AE440" s="443"/>
      <c r="AF440" s="444">
        <f t="shared" si="152"/>
        <v>0</v>
      </c>
      <c r="AG440" s="307"/>
      <c r="AH440" s="307"/>
      <c r="AI440" s="445">
        <f t="shared" si="153"/>
        <v>0</v>
      </c>
      <c r="AJ440" s="446"/>
      <c r="AK440" s="443"/>
      <c r="AL440" s="444">
        <f t="shared" si="154"/>
        <v>0</v>
      </c>
      <c r="AM440" s="307"/>
      <c r="AN440" s="307"/>
      <c r="AO440" s="447">
        <f t="shared" si="155"/>
        <v>0</v>
      </c>
      <c r="AP440" s="448"/>
      <c r="AQ440" s="443"/>
      <c r="AR440" s="444">
        <f t="shared" si="156"/>
        <v>0</v>
      </c>
      <c r="AS440" s="307">
        <v>1</v>
      </c>
      <c r="AT440" s="307">
        <v>96000</v>
      </c>
      <c r="AU440" s="441">
        <f t="shared" si="157"/>
        <v>78547.199999999997</v>
      </c>
      <c r="AV440" s="442">
        <v>1</v>
      </c>
      <c r="AW440" s="443">
        <v>70700</v>
      </c>
      <c r="AX440" s="444">
        <f t="shared" si="158"/>
        <v>57846.740000000005</v>
      </c>
      <c r="AY440" s="307"/>
      <c r="AZ440" s="307"/>
      <c r="BA440" s="445">
        <f t="shared" si="159"/>
        <v>0</v>
      </c>
      <c r="BB440" s="442">
        <v>1</v>
      </c>
      <c r="BC440" s="443">
        <v>53126</v>
      </c>
      <c r="BD440" s="444">
        <f t="shared" si="160"/>
        <v>43467.693200000002</v>
      </c>
      <c r="BE440" s="307">
        <v>2</v>
      </c>
      <c r="BF440" s="307">
        <v>66563</v>
      </c>
      <c r="BG440" s="445">
        <f t="shared" si="161"/>
        <v>108923.69320000001</v>
      </c>
      <c r="BH440" s="442">
        <v>2</v>
      </c>
      <c r="BI440" s="443">
        <v>59590</v>
      </c>
      <c r="BJ440" s="444">
        <f t="shared" si="162"/>
        <v>97513.076000000001</v>
      </c>
      <c r="BK440" s="307">
        <v>2</v>
      </c>
      <c r="BL440" s="307">
        <v>58709</v>
      </c>
      <c r="BM440" s="445">
        <f t="shared" si="163"/>
        <v>96071.407600000006</v>
      </c>
      <c r="BN440" s="442"/>
      <c r="BO440" s="443"/>
      <c r="BP440" s="444">
        <f t="shared" si="164"/>
        <v>0</v>
      </c>
      <c r="BQ440" s="307"/>
      <c r="BR440" s="307"/>
      <c r="BS440" s="445">
        <f t="shared" si="165"/>
        <v>0</v>
      </c>
      <c r="BT440" s="442"/>
      <c r="BU440" s="443"/>
      <c r="BV440" s="444">
        <f t="shared" si="166"/>
        <v>0</v>
      </c>
      <c r="BW440" s="307"/>
      <c r="BX440" s="307"/>
      <c r="BY440" s="449">
        <f t="shared" si="167"/>
        <v>0</v>
      </c>
    </row>
    <row r="441" spans="1:77" s="308" customFormat="1" ht="12.75" customHeight="1">
      <c r="A441" s="359" t="s">
        <v>346</v>
      </c>
      <c r="B441" s="360" t="s">
        <v>592</v>
      </c>
      <c r="C441" s="547"/>
      <c r="D441" s="361">
        <v>217864</v>
      </c>
      <c r="E441" s="362">
        <v>4</v>
      </c>
      <c r="F441" s="453">
        <v>55</v>
      </c>
      <c r="G441" s="454">
        <v>83708.272727272721</v>
      </c>
      <c r="H441" s="439">
        <f t="shared" si="144"/>
        <v>4603955</v>
      </c>
      <c r="I441" s="311">
        <v>53</v>
      </c>
      <c r="J441" s="311">
        <v>84252.528301886792</v>
      </c>
      <c r="K441" s="441">
        <f t="shared" si="145"/>
        <v>4465384</v>
      </c>
      <c r="L441" s="442">
        <v>51</v>
      </c>
      <c r="M441" s="443">
        <v>68951.980392156867</v>
      </c>
      <c r="N441" s="444">
        <f t="shared" si="146"/>
        <v>3516551</v>
      </c>
      <c r="O441" s="307">
        <v>50</v>
      </c>
      <c r="P441" s="307">
        <v>68140.039999999994</v>
      </c>
      <c r="Q441" s="445">
        <f t="shared" si="147"/>
        <v>3407001.9999999995</v>
      </c>
      <c r="R441" s="442">
        <v>65</v>
      </c>
      <c r="S441" s="443">
        <v>55707.24615384615</v>
      </c>
      <c r="T441" s="444">
        <f t="shared" si="148"/>
        <v>3620971</v>
      </c>
      <c r="U441" s="307">
        <v>64</v>
      </c>
      <c r="V441" s="307">
        <v>56117.015625</v>
      </c>
      <c r="W441" s="441">
        <f t="shared" si="149"/>
        <v>3591489</v>
      </c>
      <c r="X441" s="442"/>
      <c r="Y441" s="443"/>
      <c r="Z441" s="444">
        <f t="shared" si="150"/>
        <v>0</v>
      </c>
      <c r="AA441" s="307">
        <v>2</v>
      </c>
      <c r="AB441" s="307">
        <v>49000</v>
      </c>
      <c r="AC441" s="445">
        <f t="shared" si="151"/>
        <v>98000</v>
      </c>
      <c r="AD441" s="442"/>
      <c r="AE441" s="443"/>
      <c r="AF441" s="444">
        <f t="shared" si="152"/>
        <v>0</v>
      </c>
      <c r="AG441" s="307"/>
      <c r="AH441" s="307"/>
      <c r="AI441" s="445">
        <f t="shared" si="153"/>
        <v>0</v>
      </c>
      <c r="AJ441" s="446"/>
      <c r="AK441" s="443"/>
      <c r="AL441" s="444">
        <f t="shared" si="154"/>
        <v>0</v>
      </c>
      <c r="AM441" s="307"/>
      <c r="AN441" s="307"/>
      <c r="AO441" s="447">
        <f t="shared" si="155"/>
        <v>0</v>
      </c>
      <c r="AP441" s="448"/>
      <c r="AQ441" s="443"/>
      <c r="AR441" s="444">
        <f t="shared" si="156"/>
        <v>0</v>
      </c>
      <c r="AS441" s="307"/>
      <c r="AT441" s="307"/>
      <c r="AU441" s="441">
        <f t="shared" si="157"/>
        <v>0</v>
      </c>
      <c r="AV441" s="442">
        <v>1</v>
      </c>
      <c r="AW441" s="443">
        <v>67000</v>
      </c>
      <c r="AX441" s="444">
        <f t="shared" si="158"/>
        <v>54819.4</v>
      </c>
      <c r="AY441" s="307">
        <v>1</v>
      </c>
      <c r="AZ441" s="307">
        <v>67000</v>
      </c>
      <c r="BA441" s="445">
        <f t="shared" si="159"/>
        <v>54819.4</v>
      </c>
      <c r="BB441" s="442"/>
      <c r="BC441" s="443"/>
      <c r="BD441" s="444">
        <f t="shared" si="160"/>
        <v>0</v>
      </c>
      <c r="BE441" s="307"/>
      <c r="BF441" s="307"/>
      <c r="BG441" s="445">
        <f t="shared" si="161"/>
        <v>0</v>
      </c>
      <c r="BH441" s="442"/>
      <c r="BI441" s="443"/>
      <c r="BJ441" s="444">
        <f t="shared" si="162"/>
        <v>0</v>
      </c>
      <c r="BK441" s="307"/>
      <c r="BL441" s="307"/>
      <c r="BM441" s="445">
        <f t="shared" si="163"/>
        <v>0</v>
      </c>
      <c r="BN441" s="442"/>
      <c r="BO441" s="443"/>
      <c r="BP441" s="444">
        <f t="shared" si="164"/>
        <v>0</v>
      </c>
      <c r="BQ441" s="307"/>
      <c r="BR441" s="307"/>
      <c r="BS441" s="445">
        <f t="shared" si="165"/>
        <v>0</v>
      </c>
      <c r="BT441" s="442"/>
      <c r="BU441" s="443"/>
      <c r="BV441" s="444">
        <f t="shared" si="166"/>
        <v>0</v>
      </c>
      <c r="BW441" s="307"/>
      <c r="BX441" s="307"/>
      <c r="BY441" s="449">
        <f t="shared" si="167"/>
        <v>0</v>
      </c>
    </row>
    <row r="442" spans="1:77" s="308" customFormat="1" ht="12.75" customHeight="1">
      <c r="A442" s="359" t="s">
        <v>346</v>
      </c>
      <c r="B442" s="360" t="s">
        <v>593</v>
      </c>
      <c r="C442" s="547"/>
      <c r="D442" s="361">
        <v>218724</v>
      </c>
      <c r="E442" s="362">
        <v>5</v>
      </c>
      <c r="F442" s="453">
        <v>38</v>
      </c>
      <c r="G442" s="454">
        <v>80625.631578947374</v>
      </c>
      <c r="H442" s="439">
        <f t="shared" si="144"/>
        <v>3063774</v>
      </c>
      <c r="I442" s="311">
        <v>43</v>
      </c>
      <c r="J442" s="311">
        <v>80331.395348837206</v>
      </c>
      <c r="K442" s="441">
        <f t="shared" si="145"/>
        <v>3454250</v>
      </c>
      <c r="L442" s="442">
        <v>62</v>
      </c>
      <c r="M442" s="443">
        <v>67857.677419354834</v>
      </c>
      <c r="N442" s="444">
        <f t="shared" si="146"/>
        <v>4207176</v>
      </c>
      <c r="O442" s="307">
        <v>69</v>
      </c>
      <c r="P442" s="307">
        <v>68902.985507246383</v>
      </c>
      <c r="Q442" s="445">
        <f t="shared" si="147"/>
        <v>4754306</v>
      </c>
      <c r="R442" s="442">
        <v>109</v>
      </c>
      <c r="S442" s="443">
        <v>57555.550458715596</v>
      </c>
      <c r="T442" s="444">
        <f t="shared" si="148"/>
        <v>6273555</v>
      </c>
      <c r="U442" s="307">
        <v>113</v>
      </c>
      <c r="V442" s="307">
        <v>56319.115044247788</v>
      </c>
      <c r="W442" s="441">
        <f t="shared" si="149"/>
        <v>6364060</v>
      </c>
      <c r="X442" s="442">
        <v>15</v>
      </c>
      <c r="Y442" s="443">
        <v>44212.666666666664</v>
      </c>
      <c r="Z442" s="444">
        <f t="shared" si="150"/>
        <v>663190</v>
      </c>
      <c r="AA442" s="307">
        <v>14</v>
      </c>
      <c r="AB442" s="307">
        <v>44510.785714285717</v>
      </c>
      <c r="AC442" s="445">
        <f t="shared" si="151"/>
        <v>623151</v>
      </c>
      <c r="AD442" s="442">
        <v>49</v>
      </c>
      <c r="AE442" s="443">
        <v>37801.632653061228</v>
      </c>
      <c r="AF442" s="444">
        <f t="shared" si="152"/>
        <v>1852280.0000000002</v>
      </c>
      <c r="AG442" s="307">
        <v>62</v>
      </c>
      <c r="AH442" s="307">
        <v>38867.112903225803</v>
      </c>
      <c r="AI442" s="445">
        <f t="shared" si="153"/>
        <v>2409761</v>
      </c>
      <c r="AJ442" s="446"/>
      <c r="AK442" s="443"/>
      <c r="AL442" s="444">
        <f t="shared" si="154"/>
        <v>0</v>
      </c>
      <c r="AM442" s="307"/>
      <c r="AN442" s="307"/>
      <c r="AO442" s="447">
        <f t="shared" si="155"/>
        <v>0</v>
      </c>
      <c r="AP442" s="448">
        <v>17</v>
      </c>
      <c r="AQ442" s="443">
        <v>108070</v>
      </c>
      <c r="AR442" s="444">
        <f t="shared" si="156"/>
        <v>1503188.858</v>
      </c>
      <c r="AS442" s="307">
        <v>15</v>
      </c>
      <c r="AT442" s="307">
        <v>109091.8</v>
      </c>
      <c r="AU442" s="441">
        <f t="shared" si="157"/>
        <v>1338883.6614000001</v>
      </c>
      <c r="AV442" s="442">
        <v>13</v>
      </c>
      <c r="AW442" s="443">
        <v>86738.846153846156</v>
      </c>
      <c r="AX442" s="444">
        <f t="shared" si="158"/>
        <v>922606.41100000008</v>
      </c>
      <c r="AY442" s="307">
        <v>15</v>
      </c>
      <c r="AZ442" s="307">
        <v>84038.133333333331</v>
      </c>
      <c r="BA442" s="445">
        <f t="shared" si="159"/>
        <v>1031400.0104</v>
      </c>
      <c r="BB442" s="442">
        <v>2</v>
      </c>
      <c r="BC442" s="443">
        <v>64391.5</v>
      </c>
      <c r="BD442" s="444">
        <f t="shared" si="160"/>
        <v>105370.2506</v>
      </c>
      <c r="BE442" s="307">
        <v>2</v>
      </c>
      <c r="BF442" s="307">
        <v>62706</v>
      </c>
      <c r="BG442" s="445">
        <f t="shared" si="161"/>
        <v>102612.0984</v>
      </c>
      <c r="BH442" s="442">
        <v>3</v>
      </c>
      <c r="BI442" s="443">
        <v>67699.333333333328</v>
      </c>
      <c r="BJ442" s="444">
        <f t="shared" si="162"/>
        <v>166174.7836</v>
      </c>
      <c r="BK442" s="307">
        <v>2</v>
      </c>
      <c r="BL442" s="307">
        <v>64985</v>
      </c>
      <c r="BM442" s="445">
        <f t="shared" si="163"/>
        <v>106341.454</v>
      </c>
      <c r="BN442" s="442">
        <v>7</v>
      </c>
      <c r="BO442" s="443">
        <v>68172.428571428565</v>
      </c>
      <c r="BP442" s="444">
        <f t="shared" si="164"/>
        <v>390450.76739999995</v>
      </c>
      <c r="BQ442" s="307">
        <v>11</v>
      </c>
      <c r="BR442" s="307">
        <v>59048.909090909088</v>
      </c>
      <c r="BS442" s="445">
        <f t="shared" si="165"/>
        <v>531451.99160000007</v>
      </c>
      <c r="BT442" s="442"/>
      <c r="BU442" s="443"/>
      <c r="BV442" s="444">
        <f t="shared" si="166"/>
        <v>0</v>
      </c>
      <c r="BW442" s="307"/>
      <c r="BX442" s="307"/>
      <c r="BY442" s="449">
        <f t="shared" si="167"/>
        <v>0</v>
      </c>
    </row>
    <row r="443" spans="1:77" s="308" customFormat="1" ht="12.75" customHeight="1">
      <c r="A443" s="359" t="s">
        <v>346</v>
      </c>
      <c r="B443" s="360" t="s">
        <v>594</v>
      </c>
      <c r="C443" s="547"/>
      <c r="D443" s="361">
        <v>218061</v>
      </c>
      <c r="E443" s="362">
        <v>5</v>
      </c>
      <c r="F443" s="453">
        <v>52</v>
      </c>
      <c r="G443" s="454">
        <v>75657.13461538461</v>
      </c>
      <c r="H443" s="439">
        <f t="shared" si="144"/>
        <v>3934170.9999999995</v>
      </c>
      <c r="I443" s="311">
        <v>55</v>
      </c>
      <c r="J443" s="311">
        <v>74701.490909090906</v>
      </c>
      <c r="K443" s="441">
        <f t="shared" si="145"/>
        <v>4108582</v>
      </c>
      <c r="L443" s="442">
        <v>50</v>
      </c>
      <c r="M443" s="443">
        <v>58905.5</v>
      </c>
      <c r="N443" s="444">
        <f t="shared" si="146"/>
        <v>2945275</v>
      </c>
      <c r="O443" s="307">
        <v>48</v>
      </c>
      <c r="P443" s="307">
        <v>59881.166666666664</v>
      </c>
      <c r="Q443" s="445">
        <f t="shared" si="147"/>
        <v>2874296</v>
      </c>
      <c r="R443" s="442">
        <v>78</v>
      </c>
      <c r="S443" s="443">
        <v>51680.307692307695</v>
      </c>
      <c r="T443" s="444">
        <f t="shared" si="148"/>
        <v>4031064</v>
      </c>
      <c r="U443" s="307">
        <v>78</v>
      </c>
      <c r="V443" s="307">
        <v>53129.628205128203</v>
      </c>
      <c r="W443" s="441">
        <f t="shared" si="149"/>
        <v>4144111</v>
      </c>
      <c r="X443" s="442">
        <v>12</v>
      </c>
      <c r="Y443" s="443">
        <v>45754.916666666664</v>
      </c>
      <c r="Z443" s="444">
        <f t="shared" si="150"/>
        <v>549059</v>
      </c>
      <c r="AA443" s="307">
        <v>14</v>
      </c>
      <c r="AB443" s="307">
        <v>47499</v>
      </c>
      <c r="AC443" s="445">
        <f t="shared" si="151"/>
        <v>664986</v>
      </c>
      <c r="AD443" s="442"/>
      <c r="AE443" s="443"/>
      <c r="AF443" s="444">
        <f t="shared" si="152"/>
        <v>0</v>
      </c>
      <c r="AG443" s="307"/>
      <c r="AH443" s="307"/>
      <c r="AI443" s="445">
        <f t="shared" si="153"/>
        <v>0</v>
      </c>
      <c r="AJ443" s="446"/>
      <c r="AK443" s="443"/>
      <c r="AL443" s="444">
        <f t="shared" si="154"/>
        <v>0</v>
      </c>
      <c r="AM443" s="307"/>
      <c r="AN443" s="307"/>
      <c r="AO443" s="447">
        <f t="shared" si="155"/>
        <v>0</v>
      </c>
      <c r="AP443" s="448">
        <v>6</v>
      </c>
      <c r="AQ443" s="443">
        <v>93154.5</v>
      </c>
      <c r="AR443" s="444">
        <f t="shared" si="156"/>
        <v>457314.07140000002</v>
      </c>
      <c r="AS443" s="307">
        <v>7</v>
      </c>
      <c r="AT443" s="307">
        <v>92678.571428571435</v>
      </c>
      <c r="AU443" s="441">
        <f t="shared" si="157"/>
        <v>530807.25</v>
      </c>
      <c r="AV443" s="442">
        <v>1</v>
      </c>
      <c r="AW443" s="443">
        <v>76426</v>
      </c>
      <c r="AX443" s="444">
        <f t="shared" si="158"/>
        <v>62531.753200000006</v>
      </c>
      <c r="AY443" s="307"/>
      <c r="AZ443" s="307"/>
      <c r="BA443" s="445">
        <f t="shared" si="159"/>
        <v>0</v>
      </c>
      <c r="BB443" s="442"/>
      <c r="BC443" s="443"/>
      <c r="BD443" s="444">
        <f t="shared" si="160"/>
        <v>0</v>
      </c>
      <c r="BE443" s="307"/>
      <c r="BF443" s="307"/>
      <c r="BG443" s="445">
        <f t="shared" si="161"/>
        <v>0</v>
      </c>
      <c r="BH443" s="442"/>
      <c r="BI443" s="443"/>
      <c r="BJ443" s="444">
        <f t="shared" si="162"/>
        <v>0</v>
      </c>
      <c r="BK443" s="307"/>
      <c r="BL443" s="307"/>
      <c r="BM443" s="445">
        <f t="shared" si="163"/>
        <v>0</v>
      </c>
      <c r="BN443" s="442"/>
      <c r="BO443" s="443"/>
      <c r="BP443" s="444">
        <f t="shared" si="164"/>
        <v>0</v>
      </c>
      <c r="BQ443" s="307"/>
      <c r="BR443" s="307"/>
      <c r="BS443" s="445">
        <f t="shared" si="165"/>
        <v>0</v>
      </c>
      <c r="BT443" s="442"/>
      <c r="BU443" s="443"/>
      <c r="BV443" s="444">
        <f t="shared" si="166"/>
        <v>0</v>
      </c>
      <c r="BW443" s="307"/>
      <c r="BX443" s="307"/>
      <c r="BY443" s="449">
        <f t="shared" si="167"/>
        <v>0</v>
      </c>
    </row>
    <row r="444" spans="1:77" s="308" customFormat="1" ht="12.75" customHeight="1">
      <c r="A444" s="359" t="s">
        <v>346</v>
      </c>
      <c r="B444" s="360" t="s">
        <v>596</v>
      </c>
      <c r="C444" s="547"/>
      <c r="D444" s="361">
        <v>218733</v>
      </c>
      <c r="E444" s="362">
        <v>5</v>
      </c>
      <c r="F444" s="453">
        <v>40</v>
      </c>
      <c r="G444" s="454">
        <v>70807.7</v>
      </c>
      <c r="H444" s="439">
        <f t="shared" si="144"/>
        <v>2832308</v>
      </c>
      <c r="I444" s="311">
        <v>37</v>
      </c>
      <c r="J444" s="311">
        <v>72789.459459459453</v>
      </c>
      <c r="K444" s="441">
        <f t="shared" si="145"/>
        <v>2693209.9999999995</v>
      </c>
      <c r="L444" s="442">
        <v>47</v>
      </c>
      <c r="M444" s="443">
        <v>62893.48936170213</v>
      </c>
      <c r="N444" s="444">
        <f t="shared" si="146"/>
        <v>2955994</v>
      </c>
      <c r="O444" s="307">
        <v>36</v>
      </c>
      <c r="P444" s="307">
        <v>61272.361111111109</v>
      </c>
      <c r="Q444" s="445">
        <f t="shared" si="147"/>
        <v>2205805</v>
      </c>
      <c r="R444" s="442">
        <v>87</v>
      </c>
      <c r="S444" s="443">
        <v>57923</v>
      </c>
      <c r="T444" s="444">
        <f t="shared" si="148"/>
        <v>5039301</v>
      </c>
      <c r="U444" s="307">
        <v>84</v>
      </c>
      <c r="V444" s="307">
        <v>57489.154761904763</v>
      </c>
      <c r="W444" s="441">
        <f t="shared" si="149"/>
        <v>4829089</v>
      </c>
      <c r="X444" s="442">
        <v>28</v>
      </c>
      <c r="Y444" s="443">
        <v>43931.607142857145</v>
      </c>
      <c r="Z444" s="444">
        <f t="shared" si="150"/>
        <v>1230085</v>
      </c>
      <c r="AA444" s="307">
        <v>27</v>
      </c>
      <c r="AB444" s="307">
        <v>43430.333333333336</v>
      </c>
      <c r="AC444" s="445">
        <f t="shared" si="151"/>
        <v>1172619</v>
      </c>
      <c r="AD444" s="442">
        <v>1</v>
      </c>
      <c r="AE444" s="443">
        <v>49672</v>
      </c>
      <c r="AF444" s="444">
        <f t="shared" si="152"/>
        <v>49672</v>
      </c>
      <c r="AG444" s="307"/>
      <c r="AH444" s="307"/>
      <c r="AI444" s="445">
        <f t="shared" si="153"/>
        <v>0</v>
      </c>
      <c r="AJ444" s="446"/>
      <c r="AK444" s="443"/>
      <c r="AL444" s="444">
        <f t="shared" si="154"/>
        <v>0</v>
      </c>
      <c r="AM444" s="307"/>
      <c r="AN444" s="307"/>
      <c r="AO444" s="447">
        <f t="shared" si="155"/>
        <v>0</v>
      </c>
      <c r="AP444" s="448">
        <v>5</v>
      </c>
      <c r="AQ444" s="443">
        <v>100967.2</v>
      </c>
      <c r="AR444" s="444">
        <f t="shared" si="156"/>
        <v>413056.81520000001</v>
      </c>
      <c r="AS444" s="307">
        <v>8</v>
      </c>
      <c r="AT444" s="307">
        <v>94860</v>
      </c>
      <c r="AU444" s="441">
        <f t="shared" si="157"/>
        <v>620915.61600000004</v>
      </c>
      <c r="AV444" s="442">
        <v>9</v>
      </c>
      <c r="AW444" s="443">
        <v>85477.666666666672</v>
      </c>
      <c r="AX444" s="444">
        <f t="shared" si="158"/>
        <v>629440.44180000003</v>
      </c>
      <c r="AY444" s="307">
        <v>13</v>
      </c>
      <c r="AZ444" s="307">
        <v>81946.461538461532</v>
      </c>
      <c r="BA444" s="445">
        <f t="shared" si="159"/>
        <v>871631.7328</v>
      </c>
      <c r="BB444" s="442">
        <v>7</v>
      </c>
      <c r="BC444" s="443">
        <v>77699</v>
      </c>
      <c r="BD444" s="444">
        <f t="shared" si="160"/>
        <v>445013.25260000001</v>
      </c>
      <c r="BE444" s="307">
        <v>6</v>
      </c>
      <c r="BF444" s="307">
        <v>72356.5</v>
      </c>
      <c r="BG444" s="445">
        <f t="shared" si="161"/>
        <v>355212.52980000002</v>
      </c>
      <c r="BH444" s="442">
        <v>5</v>
      </c>
      <c r="BI444" s="443">
        <v>66125.2</v>
      </c>
      <c r="BJ444" s="444">
        <f t="shared" si="162"/>
        <v>270518.19320000004</v>
      </c>
      <c r="BK444" s="307">
        <v>5</v>
      </c>
      <c r="BL444" s="307">
        <v>60951.199999999997</v>
      </c>
      <c r="BM444" s="445">
        <f t="shared" si="163"/>
        <v>249351.35920000001</v>
      </c>
      <c r="BN444" s="442"/>
      <c r="BO444" s="443"/>
      <c r="BP444" s="444">
        <f t="shared" si="164"/>
        <v>0</v>
      </c>
      <c r="BQ444" s="307"/>
      <c r="BR444" s="307"/>
      <c r="BS444" s="445">
        <f t="shared" si="165"/>
        <v>0</v>
      </c>
      <c r="BT444" s="442"/>
      <c r="BU444" s="443"/>
      <c r="BV444" s="444">
        <f t="shared" si="166"/>
        <v>0</v>
      </c>
      <c r="BW444" s="307"/>
      <c r="BX444" s="307"/>
      <c r="BY444" s="449">
        <f t="shared" si="167"/>
        <v>0</v>
      </c>
    </row>
    <row r="445" spans="1:77" s="308" customFormat="1" ht="12.75" customHeight="1">
      <c r="A445" s="359" t="s">
        <v>346</v>
      </c>
      <c r="B445" s="515" t="s">
        <v>595</v>
      </c>
      <c r="C445" s="547"/>
      <c r="D445" s="361">
        <v>218229</v>
      </c>
      <c r="E445" s="362">
        <v>6</v>
      </c>
      <c r="F445" s="453">
        <v>16</v>
      </c>
      <c r="G445" s="454">
        <v>71129.5</v>
      </c>
      <c r="H445" s="439">
        <f t="shared" si="144"/>
        <v>1138072</v>
      </c>
      <c r="I445" s="311">
        <v>12</v>
      </c>
      <c r="J445" s="311">
        <v>69449.666666666672</v>
      </c>
      <c r="K445" s="441">
        <f t="shared" si="145"/>
        <v>833396</v>
      </c>
      <c r="L445" s="442">
        <v>31</v>
      </c>
      <c r="M445" s="443">
        <v>52786</v>
      </c>
      <c r="N445" s="444">
        <f t="shared" si="146"/>
        <v>1636366</v>
      </c>
      <c r="O445" s="307">
        <v>30</v>
      </c>
      <c r="P445" s="307">
        <v>53889.866666666669</v>
      </c>
      <c r="Q445" s="445">
        <f t="shared" si="147"/>
        <v>1616696</v>
      </c>
      <c r="R445" s="442">
        <v>45</v>
      </c>
      <c r="S445" s="443">
        <v>49775.4</v>
      </c>
      <c r="T445" s="444">
        <f t="shared" si="148"/>
        <v>2239893</v>
      </c>
      <c r="U445" s="307">
        <v>42</v>
      </c>
      <c r="V445" s="307">
        <v>50541.214285714283</v>
      </c>
      <c r="W445" s="441">
        <f t="shared" si="149"/>
        <v>2122731</v>
      </c>
      <c r="X445" s="442">
        <v>19</v>
      </c>
      <c r="Y445" s="443">
        <v>42018.631578947367</v>
      </c>
      <c r="Z445" s="444">
        <f t="shared" si="150"/>
        <v>798354</v>
      </c>
      <c r="AA445" s="307">
        <v>16</v>
      </c>
      <c r="AB445" s="307">
        <v>42755.9375</v>
      </c>
      <c r="AC445" s="445">
        <f t="shared" si="151"/>
        <v>684095</v>
      </c>
      <c r="AD445" s="442">
        <v>4</v>
      </c>
      <c r="AE445" s="443">
        <v>40900.25</v>
      </c>
      <c r="AF445" s="444">
        <f t="shared" si="152"/>
        <v>163601</v>
      </c>
      <c r="AG445" s="307">
        <v>2</v>
      </c>
      <c r="AH445" s="307">
        <v>29631</v>
      </c>
      <c r="AI445" s="445">
        <f t="shared" si="153"/>
        <v>59262</v>
      </c>
      <c r="AJ445" s="446"/>
      <c r="AK445" s="443"/>
      <c r="AL445" s="444">
        <f t="shared" si="154"/>
        <v>0</v>
      </c>
      <c r="AM445" s="307"/>
      <c r="AN445" s="307"/>
      <c r="AO445" s="447">
        <f t="shared" si="155"/>
        <v>0</v>
      </c>
      <c r="AP445" s="448">
        <v>1</v>
      </c>
      <c r="AQ445" s="443">
        <v>99961</v>
      </c>
      <c r="AR445" s="444">
        <f t="shared" si="156"/>
        <v>81788.090200000006</v>
      </c>
      <c r="AS445" s="307">
        <v>2</v>
      </c>
      <c r="AT445" s="307">
        <v>92168</v>
      </c>
      <c r="AU445" s="441">
        <f t="shared" si="157"/>
        <v>150823.71520000001</v>
      </c>
      <c r="AV445" s="442">
        <v>1</v>
      </c>
      <c r="AW445" s="443">
        <v>60955</v>
      </c>
      <c r="AX445" s="444">
        <f t="shared" si="158"/>
        <v>49873.381000000001</v>
      </c>
      <c r="AY445" s="307">
        <v>3</v>
      </c>
      <c r="AZ445" s="307">
        <v>53652</v>
      </c>
      <c r="BA445" s="445">
        <f t="shared" si="159"/>
        <v>131694.1992</v>
      </c>
      <c r="BB445" s="442"/>
      <c r="BC445" s="443"/>
      <c r="BD445" s="444">
        <f t="shared" si="160"/>
        <v>0</v>
      </c>
      <c r="BE445" s="307">
        <v>8</v>
      </c>
      <c r="BF445" s="307">
        <v>47875</v>
      </c>
      <c r="BG445" s="445">
        <f t="shared" si="161"/>
        <v>313370.60000000003</v>
      </c>
      <c r="BH445" s="442"/>
      <c r="BI445" s="443"/>
      <c r="BJ445" s="444">
        <f t="shared" si="162"/>
        <v>0</v>
      </c>
      <c r="BK445" s="307">
        <v>7</v>
      </c>
      <c r="BL445" s="307">
        <v>39286</v>
      </c>
      <c r="BM445" s="445">
        <f t="shared" si="163"/>
        <v>225006.63640000002</v>
      </c>
      <c r="BN445" s="442"/>
      <c r="BO445" s="443"/>
      <c r="BP445" s="444">
        <f t="shared" si="164"/>
        <v>0</v>
      </c>
      <c r="BQ445" s="307">
        <v>4</v>
      </c>
      <c r="BR445" s="307">
        <v>44298</v>
      </c>
      <c r="BS445" s="445">
        <f t="shared" si="165"/>
        <v>144978.4944</v>
      </c>
      <c r="BT445" s="442"/>
      <c r="BU445" s="443"/>
      <c r="BV445" s="444">
        <f t="shared" si="166"/>
        <v>0</v>
      </c>
      <c r="BW445" s="307"/>
      <c r="BX445" s="307"/>
      <c r="BY445" s="449">
        <f t="shared" si="167"/>
        <v>0</v>
      </c>
    </row>
    <row r="446" spans="1:77" s="308" customFormat="1" ht="12.75" customHeight="1">
      <c r="A446" s="359" t="s">
        <v>346</v>
      </c>
      <c r="B446" s="360" t="s">
        <v>597</v>
      </c>
      <c r="C446" s="547"/>
      <c r="D446" s="361">
        <v>218645</v>
      </c>
      <c r="E446" s="362">
        <v>6</v>
      </c>
      <c r="F446" s="453">
        <v>22</v>
      </c>
      <c r="G446" s="454">
        <v>73470.636363636368</v>
      </c>
      <c r="H446" s="439">
        <f t="shared" si="144"/>
        <v>1616354</v>
      </c>
      <c r="I446" s="311">
        <v>21</v>
      </c>
      <c r="J446" s="311">
        <v>73421.71428571429</v>
      </c>
      <c r="K446" s="441">
        <f t="shared" si="145"/>
        <v>1541856</v>
      </c>
      <c r="L446" s="442">
        <v>33</v>
      </c>
      <c r="M446" s="443">
        <v>58254.030303030304</v>
      </c>
      <c r="N446" s="444">
        <f t="shared" si="146"/>
        <v>1922383</v>
      </c>
      <c r="O446" s="307">
        <v>29</v>
      </c>
      <c r="P446" s="307">
        <v>59420.793103448275</v>
      </c>
      <c r="Q446" s="445">
        <f t="shared" si="147"/>
        <v>1723203</v>
      </c>
      <c r="R446" s="442">
        <v>37</v>
      </c>
      <c r="S446" s="443">
        <v>51862.810810810814</v>
      </c>
      <c r="T446" s="444">
        <f t="shared" si="148"/>
        <v>1918924</v>
      </c>
      <c r="U446" s="307">
        <v>43</v>
      </c>
      <c r="V446" s="307">
        <v>52349.279069767443</v>
      </c>
      <c r="W446" s="441">
        <f t="shared" si="149"/>
        <v>2251019</v>
      </c>
      <c r="X446" s="442">
        <v>40</v>
      </c>
      <c r="Y446" s="443">
        <v>43061.875</v>
      </c>
      <c r="Z446" s="444">
        <f t="shared" si="150"/>
        <v>1722475</v>
      </c>
      <c r="AA446" s="307">
        <v>37</v>
      </c>
      <c r="AB446" s="307">
        <v>42839.24324324324</v>
      </c>
      <c r="AC446" s="445">
        <f t="shared" si="151"/>
        <v>1585051.9999999998</v>
      </c>
      <c r="AD446" s="442"/>
      <c r="AE446" s="443"/>
      <c r="AF446" s="444">
        <f t="shared" si="152"/>
        <v>0</v>
      </c>
      <c r="AG446" s="307"/>
      <c r="AH446" s="307"/>
      <c r="AI446" s="445">
        <f t="shared" si="153"/>
        <v>0</v>
      </c>
      <c r="AJ446" s="446"/>
      <c r="AK446" s="443"/>
      <c r="AL446" s="444">
        <f t="shared" si="154"/>
        <v>0</v>
      </c>
      <c r="AM446" s="307"/>
      <c r="AN446" s="307"/>
      <c r="AO446" s="447">
        <f t="shared" si="155"/>
        <v>0</v>
      </c>
      <c r="AP446" s="448">
        <v>7</v>
      </c>
      <c r="AQ446" s="443">
        <v>86625.428571428565</v>
      </c>
      <c r="AR446" s="444">
        <f t="shared" si="156"/>
        <v>496138.47960000002</v>
      </c>
      <c r="AS446" s="307">
        <v>8</v>
      </c>
      <c r="AT446" s="307">
        <v>90208</v>
      </c>
      <c r="AU446" s="441">
        <f t="shared" si="157"/>
        <v>590465.48479999998</v>
      </c>
      <c r="AV446" s="442">
        <v>6</v>
      </c>
      <c r="AW446" s="443">
        <v>73456.166666666672</v>
      </c>
      <c r="AX446" s="444">
        <f t="shared" si="158"/>
        <v>360611.0134</v>
      </c>
      <c r="AY446" s="307">
        <v>7</v>
      </c>
      <c r="AZ446" s="307">
        <v>76049.571428571435</v>
      </c>
      <c r="BA446" s="445">
        <f t="shared" si="159"/>
        <v>435566.31540000002</v>
      </c>
      <c r="BB446" s="442"/>
      <c r="BC446" s="443"/>
      <c r="BD446" s="444">
        <f t="shared" si="160"/>
        <v>0</v>
      </c>
      <c r="BE446" s="307">
        <v>3</v>
      </c>
      <c r="BF446" s="307">
        <v>46823.333333333336</v>
      </c>
      <c r="BG446" s="445">
        <f t="shared" si="161"/>
        <v>114932.554</v>
      </c>
      <c r="BH446" s="442">
        <v>3</v>
      </c>
      <c r="BI446" s="443">
        <v>49031.333333333336</v>
      </c>
      <c r="BJ446" s="444">
        <f t="shared" si="162"/>
        <v>120352.31080000001</v>
      </c>
      <c r="BK446" s="307">
        <v>2</v>
      </c>
      <c r="BL446" s="307">
        <v>38160.5</v>
      </c>
      <c r="BM446" s="445">
        <f t="shared" si="163"/>
        <v>62445.842200000006</v>
      </c>
      <c r="BN446" s="442"/>
      <c r="BO446" s="443"/>
      <c r="BP446" s="444">
        <f t="shared" si="164"/>
        <v>0</v>
      </c>
      <c r="BQ446" s="307"/>
      <c r="BR446" s="307"/>
      <c r="BS446" s="445">
        <f t="shared" si="165"/>
        <v>0</v>
      </c>
      <c r="BT446" s="442"/>
      <c r="BU446" s="443"/>
      <c r="BV446" s="444">
        <f t="shared" si="166"/>
        <v>0</v>
      </c>
      <c r="BW446" s="307"/>
      <c r="BX446" s="307"/>
      <c r="BY446" s="449">
        <f t="shared" si="167"/>
        <v>0</v>
      </c>
    </row>
    <row r="447" spans="1:77" s="308" customFormat="1" ht="12.75" customHeight="1">
      <c r="A447" s="359" t="s">
        <v>346</v>
      </c>
      <c r="B447" s="360" t="s">
        <v>598</v>
      </c>
      <c r="C447" s="547"/>
      <c r="D447" s="361">
        <v>218742</v>
      </c>
      <c r="E447" s="362">
        <v>6</v>
      </c>
      <c r="F447" s="453">
        <v>24</v>
      </c>
      <c r="G447" s="454">
        <v>73837.208333333328</v>
      </c>
      <c r="H447" s="439">
        <f t="shared" si="144"/>
        <v>1772093</v>
      </c>
      <c r="I447" s="311">
        <v>25</v>
      </c>
      <c r="J447" s="311">
        <v>73156</v>
      </c>
      <c r="K447" s="441">
        <f t="shared" si="145"/>
        <v>1828900</v>
      </c>
      <c r="L447" s="442">
        <v>32</v>
      </c>
      <c r="M447" s="443">
        <v>59104.875</v>
      </c>
      <c r="N447" s="444">
        <f t="shared" si="146"/>
        <v>1891356</v>
      </c>
      <c r="O447" s="307">
        <v>34</v>
      </c>
      <c r="P447" s="307">
        <v>60762.352941176468</v>
      </c>
      <c r="Q447" s="445">
        <f t="shared" si="147"/>
        <v>2065920</v>
      </c>
      <c r="R447" s="442">
        <v>62</v>
      </c>
      <c r="S447" s="443">
        <v>51144.919354838712</v>
      </c>
      <c r="T447" s="444">
        <f t="shared" si="148"/>
        <v>3170985</v>
      </c>
      <c r="U447" s="307">
        <v>63</v>
      </c>
      <c r="V447" s="307">
        <v>51908.730158730155</v>
      </c>
      <c r="W447" s="441">
        <f t="shared" si="149"/>
        <v>3270250</v>
      </c>
      <c r="X447" s="442">
        <v>69</v>
      </c>
      <c r="Y447" s="443">
        <v>46229.217391304344</v>
      </c>
      <c r="Z447" s="444">
        <f t="shared" si="150"/>
        <v>3189815.9999999995</v>
      </c>
      <c r="AA447" s="307">
        <v>66</v>
      </c>
      <c r="AB447" s="307">
        <v>46178.696969696968</v>
      </c>
      <c r="AC447" s="445">
        <f t="shared" si="151"/>
        <v>3047794</v>
      </c>
      <c r="AD447" s="442"/>
      <c r="AE447" s="443"/>
      <c r="AF447" s="444">
        <f t="shared" si="152"/>
        <v>0</v>
      </c>
      <c r="AG447" s="307"/>
      <c r="AH447" s="307"/>
      <c r="AI447" s="445">
        <f t="shared" si="153"/>
        <v>0</v>
      </c>
      <c r="AJ447" s="446"/>
      <c r="AK447" s="443"/>
      <c r="AL447" s="444">
        <f t="shared" si="154"/>
        <v>0</v>
      </c>
      <c r="AM447" s="307"/>
      <c r="AN447" s="307"/>
      <c r="AO447" s="447">
        <f t="shared" si="155"/>
        <v>0</v>
      </c>
      <c r="AP447" s="448">
        <v>7</v>
      </c>
      <c r="AQ447" s="443">
        <v>94069.428571428565</v>
      </c>
      <c r="AR447" s="444">
        <f t="shared" si="156"/>
        <v>538773.2452</v>
      </c>
      <c r="AS447" s="307">
        <v>6</v>
      </c>
      <c r="AT447" s="307">
        <v>95219.666666666672</v>
      </c>
      <c r="AU447" s="441">
        <f t="shared" si="157"/>
        <v>467452.38760000002</v>
      </c>
      <c r="AV447" s="442">
        <v>7</v>
      </c>
      <c r="AW447" s="443">
        <v>82789.71428571429</v>
      </c>
      <c r="AX447" s="444">
        <f t="shared" si="158"/>
        <v>474169.80960000004</v>
      </c>
      <c r="AY447" s="307">
        <v>8</v>
      </c>
      <c r="AZ447" s="307">
        <v>80608.75</v>
      </c>
      <c r="BA447" s="445">
        <f t="shared" si="159"/>
        <v>527632.63400000008</v>
      </c>
      <c r="BB447" s="442">
        <v>2</v>
      </c>
      <c r="BC447" s="443">
        <v>66905.5</v>
      </c>
      <c r="BD447" s="444">
        <f t="shared" si="160"/>
        <v>109484.1602</v>
      </c>
      <c r="BE447" s="307">
        <v>2</v>
      </c>
      <c r="BF447" s="307">
        <v>70350</v>
      </c>
      <c r="BG447" s="445">
        <f t="shared" si="161"/>
        <v>115120.74</v>
      </c>
      <c r="BH447" s="442">
        <v>3</v>
      </c>
      <c r="BI447" s="443">
        <v>54381.333333333336</v>
      </c>
      <c r="BJ447" s="444">
        <f t="shared" si="162"/>
        <v>133484.42079999999</v>
      </c>
      <c r="BK447" s="307">
        <v>2</v>
      </c>
      <c r="BL447" s="307">
        <v>57556.5</v>
      </c>
      <c r="BM447" s="445">
        <f t="shared" si="163"/>
        <v>94185.456600000005</v>
      </c>
      <c r="BN447" s="442"/>
      <c r="BO447" s="443"/>
      <c r="BP447" s="444">
        <f t="shared" si="164"/>
        <v>0</v>
      </c>
      <c r="BQ447" s="307"/>
      <c r="BR447" s="307"/>
      <c r="BS447" s="445">
        <f t="shared" si="165"/>
        <v>0</v>
      </c>
      <c r="BT447" s="442"/>
      <c r="BU447" s="443"/>
      <c r="BV447" s="444">
        <f t="shared" si="166"/>
        <v>0</v>
      </c>
      <c r="BW447" s="307"/>
      <c r="BX447" s="307"/>
      <c r="BY447" s="449">
        <f t="shared" si="167"/>
        <v>0</v>
      </c>
    </row>
    <row r="448" spans="1:77" s="308" customFormat="1" ht="12.75" customHeight="1">
      <c r="A448" s="359" t="s">
        <v>346</v>
      </c>
      <c r="B448" s="363" t="s">
        <v>599</v>
      </c>
      <c r="C448" s="547"/>
      <c r="D448" s="361">
        <v>218654</v>
      </c>
      <c r="E448" s="362">
        <v>7</v>
      </c>
      <c r="F448" s="453">
        <v>6</v>
      </c>
      <c r="G448" s="454">
        <v>66433.666666666672</v>
      </c>
      <c r="H448" s="439">
        <f t="shared" si="144"/>
        <v>398602</v>
      </c>
      <c r="I448" s="311">
        <v>6</v>
      </c>
      <c r="J448" s="311">
        <v>74243.333333333328</v>
      </c>
      <c r="K448" s="441">
        <f t="shared" si="145"/>
        <v>445460</v>
      </c>
      <c r="L448" s="442">
        <v>12</v>
      </c>
      <c r="M448" s="443">
        <v>58408.333333333336</v>
      </c>
      <c r="N448" s="444">
        <f t="shared" si="146"/>
        <v>700900</v>
      </c>
      <c r="O448" s="307">
        <v>13</v>
      </c>
      <c r="P448" s="307">
        <v>59696.384615384617</v>
      </c>
      <c r="Q448" s="445">
        <f t="shared" si="147"/>
        <v>776053</v>
      </c>
      <c r="R448" s="442">
        <v>17</v>
      </c>
      <c r="S448" s="443">
        <v>52354.470588235294</v>
      </c>
      <c r="T448" s="444">
        <f t="shared" si="148"/>
        <v>890026</v>
      </c>
      <c r="U448" s="307">
        <v>15</v>
      </c>
      <c r="V448" s="307">
        <v>50466.866666666669</v>
      </c>
      <c r="W448" s="441">
        <f t="shared" si="149"/>
        <v>757003</v>
      </c>
      <c r="X448" s="442">
        <v>13</v>
      </c>
      <c r="Y448" s="443">
        <v>44038.692307692305</v>
      </c>
      <c r="Z448" s="444">
        <f t="shared" si="150"/>
        <v>572503</v>
      </c>
      <c r="AA448" s="307">
        <v>16</v>
      </c>
      <c r="AB448" s="307">
        <v>46316.3125</v>
      </c>
      <c r="AC448" s="445">
        <f t="shared" si="151"/>
        <v>741061</v>
      </c>
      <c r="AD448" s="442"/>
      <c r="AE448" s="443"/>
      <c r="AF448" s="444">
        <f t="shared" si="152"/>
        <v>0</v>
      </c>
      <c r="AG448" s="307"/>
      <c r="AH448" s="307"/>
      <c r="AI448" s="445">
        <f t="shared" si="153"/>
        <v>0</v>
      </c>
      <c r="AJ448" s="446"/>
      <c r="AK448" s="443"/>
      <c r="AL448" s="444">
        <f t="shared" si="154"/>
        <v>0</v>
      </c>
      <c r="AM448" s="307"/>
      <c r="AN448" s="307"/>
      <c r="AO448" s="447">
        <f t="shared" si="155"/>
        <v>0</v>
      </c>
      <c r="AP448" s="448">
        <v>5</v>
      </c>
      <c r="AQ448" s="443">
        <v>89226.4</v>
      </c>
      <c r="AR448" s="444">
        <f t="shared" si="156"/>
        <v>365025.20240000001</v>
      </c>
      <c r="AS448" s="307">
        <v>5</v>
      </c>
      <c r="AT448" s="307">
        <v>88143.4</v>
      </c>
      <c r="AU448" s="441">
        <f t="shared" si="157"/>
        <v>360594.64939999999</v>
      </c>
      <c r="AV448" s="442">
        <v>3</v>
      </c>
      <c r="AW448" s="443">
        <v>77891.666666666672</v>
      </c>
      <c r="AX448" s="444">
        <f t="shared" si="158"/>
        <v>191192.88500000001</v>
      </c>
      <c r="AY448" s="307">
        <v>3</v>
      </c>
      <c r="AZ448" s="307">
        <v>83965.666666666672</v>
      </c>
      <c r="BA448" s="445">
        <f t="shared" si="159"/>
        <v>206102.12540000002</v>
      </c>
      <c r="BB448" s="442"/>
      <c r="BC448" s="443"/>
      <c r="BD448" s="444">
        <f t="shared" si="160"/>
        <v>0</v>
      </c>
      <c r="BE448" s="307"/>
      <c r="BF448" s="307"/>
      <c r="BG448" s="445">
        <f t="shared" si="161"/>
        <v>0</v>
      </c>
      <c r="BH448" s="442">
        <v>1</v>
      </c>
      <c r="BI448" s="443">
        <v>67894</v>
      </c>
      <c r="BJ448" s="444">
        <f t="shared" si="162"/>
        <v>55550.870800000004</v>
      </c>
      <c r="BK448" s="307">
        <v>1</v>
      </c>
      <c r="BL448" s="307">
        <v>50000</v>
      </c>
      <c r="BM448" s="445">
        <f t="shared" si="163"/>
        <v>40910</v>
      </c>
      <c r="BN448" s="442"/>
      <c r="BO448" s="443"/>
      <c r="BP448" s="444">
        <f t="shared" si="164"/>
        <v>0</v>
      </c>
      <c r="BQ448" s="307"/>
      <c r="BR448" s="307"/>
      <c r="BS448" s="445">
        <f t="shared" si="165"/>
        <v>0</v>
      </c>
      <c r="BT448" s="442"/>
      <c r="BU448" s="443"/>
      <c r="BV448" s="444">
        <f t="shared" si="166"/>
        <v>0</v>
      </c>
      <c r="BW448" s="307"/>
      <c r="BX448" s="307"/>
      <c r="BY448" s="449">
        <f t="shared" si="167"/>
        <v>0</v>
      </c>
    </row>
    <row r="449" spans="1:77" s="308" customFormat="1" ht="12.75" customHeight="1">
      <c r="A449" s="359" t="s">
        <v>346</v>
      </c>
      <c r="B449" s="360" t="s">
        <v>600</v>
      </c>
      <c r="C449" s="547"/>
      <c r="D449" s="361">
        <v>218113</v>
      </c>
      <c r="E449" s="362">
        <v>8</v>
      </c>
      <c r="F449" s="453"/>
      <c r="G449" s="454"/>
      <c r="H449" s="439">
        <f t="shared" si="144"/>
        <v>0</v>
      </c>
      <c r="I449" s="311"/>
      <c r="J449" s="311"/>
      <c r="K449" s="441">
        <f t="shared" si="145"/>
        <v>0</v>
      </c>
      <c r="L449" s="442"/>
      <c r="M449" s="443"/>
      <c r="N449" s="444">
        <f t="shared" si="146"/>
        <v>0</v>
      </c>
      <c r="O449" s="307"/>
      <c r="P449" s="307"/>
      <c r="Q449" s="445">
        <f t="shared" si="147"/>
        <v>0</v>
      </c>
      <c r="R449" s="442"/>
      <c r="S449" s="443"/>
      <c r="T449" s="444">
        <f t="shared" si="148"/>
        <v>0</v>
      </c>
      <c r="U449" s="307"/>
      <c r="V449" s="307"/>
      <c r="W449" s="441">
        <f t="shared" si="149"/>
        <v>0</v>
      </c>
      <c r="X449" s="442"/>
      <c r="Y449" s="443"/>
      <c r="Z449" s="444">
        <f t="shared" si="150"/>
        <v>0</v>
      </c>
      <c r="AA449" s="307"/>
      <c r="AB449" s="307"/>
      <c r="AC449" s="445">
        <f t="shared" si="151"/>
        <v>0</v>
      </c>
      <c r="AD449" s="442">
        <v>330</v>
      </c>
      <c r="AE449" s="443">
        <v>45257.915151515153</v>
      </c>
      <c r="AF449" s="444">
        <f t="shared" si="152"/>
        <v>14935112</v>
      </c>
      <c r="AG449" s="307">
        <v>347</v>
      </c>
      <c r="AH449" s="307">
        <v>45812.293948126804</v>
      </c>
      <c r="AI449" s="445">
        <f t="shared" si="153"/>
        <v>15896866.000000002</v>
      </c>
      <c r="AJ449" s="446"/>
      <c r="AK449" s="443"/>
      <c r="AL449" s="444">
        <f t="shared" si="154"/>
        <v>0</v>
      </c>
      <c r="AM449" s="307"/>
      <c r="AN449" s="307"/>
      <c r="AO449" s="447">
        <f t="shared" si="155"/>
        <v>0</v>
      </c>
      <c r="AP449" s="448"/>
      <c r="AQ449" s="443"/>
      <c r="AR449" s="444">
        <f t="shared" si="156"/>
        <v>0</v>
      </c>
      <c r="AS449" s="307"/>
      <c r="AT449" s="307"/>
      <c r="AU449" s="441">
        <f t="shared" si="157"/>
        <v>0</v>
      </c>
      <c r="AV449" s="442"/>
      <c r="AW449" s="443"/>
      <c r="AX449" s="444">
        <f t="shared" si="158"/>
        <v>0</v>
      </c>
      <c r="AY449" s="307"/>
      <c r="AZ449" s="307"/>
      <c r="BA449" s="445">
        <f t="shared" si="159"/>
        <v>0</v>
      </c>
      <c r="BB449" s="442"/>
      <c r="BC449" s="443"/>
      <c r="BD449" s="444">
        <f t="shared" si="160"/>
        <v>0</v>
      </c>
      <c r="BE449" s="307"/>
      <c r="BF449" s="307"/>
      <c r="BG449" s="445">
        <f t="shared" si="161"/>
        <v>0</v>
      </c>
      <c r="BH449" s="442"/>
      <c r="BI449" s="443"/>
      <c r="BJ449" s="444">
        <f t="shared" si="162"/>
        <v>0</v>
      </c>
      <c r="BK449" s="307"/>
      <c r="BL449" s="307"/>
      <c r="BM449" s="445">
        <f t="shared" si="163"/>
        <v>0</v>
      </c>
      <c r="BN449" s="442"/>
      <c r="BO449" s="443"/>
      <c r="BP449" s="444">
        <f t="shared" si="164"/>
        <v>0</v>
      </c>
      <c r="BQ449" s="307"/>
      <c r="BR449" s="307"/>
      <c r="BS449" s="445">
        <f t="shared" si="165"/>
        <v>0</v>
      </c>
      <c r="BT449" s="442"/>
      <c r="BU449" s="443"/>
      <c r="BV449" s="444">
        <f t="shared" si="166"/>
        <v>0</v>
      </c>
      <c r="BW449" s="307"/>
      <c r="BX449" s="307"/>
      <c r="BY449" s="449">
        <f t="shared" si="167"/>
        <v>0</v>
      </c>
    </row>
    <row r="450" spans="1:77" s="308" customFormat="1" ht="12.75" customHeight="1">
      <c r="A450" s="359" t="s">
        <v>346</v>
      </c>
      <c r="B450" s="360" t="s">
        <v>601</v>
      </c>
      <c r="C450" s="547"/>
      <c r="D450" s="361">
        <v>218353</v>
      </c>
      <c r="E450" s="362">
        <v>8</v>
      </c>
      <c r="F450" s="453"/>
      <c r="G450" s="454"/>
      <c r="H450" s="439">
        <f t="shared" si="144"/>
        <v>0</v>
      </c>
      <c r="I450" s="311"/>
      <c r="J450" s="311"/>
      <c r="K450" s="441">
        <f t="shared" si="145"/>
        <v>0</v>
      </c>
      <c r="L450" s="442"/>
      <c r="M450" s="443"/>
      <c r="N450" s="444">
        <f t="shared" si="146"/>
        <v>0</v>
      </c>
      <c r="O450" s="307"/>
      <c r="P450" s="307"/>
      <c r="Q450" s="445">
        <f t="shared" si="147"/>
        <v>0</v>
      </c>
      <c r="R450" s="442"/>
      <c r="S450" s="443"/>
      <c r="T450" s="444">
        <f t="shared" si="148"/>
        <v>0</v>
      </c>
      <c r="U450" s="307"/>
      <c r="V450" s="307"/>
      <c r="W450" s="441">
        <f t="shared" si="149"/>
        <v>0</v>
      </c>
      <c r="X450" s="442"/>
      <c r="Y450" s="443"/>
      <c r="Z450" s="444">
        <f t="shared" si="150"/>
        <v>0</v>
      </c>
      <c r="AA450" s="307"/>
      <c r="AB450" s="307"/>
      <c r="AC450" s="445">
        <f t="shared" si="151"/>
        <v>0</v>
      </c>
      <c r="AD450" s="442">
        <v>216</v>
      </c>
      <c r="AE450" s="443">
        <v>49132.675925925927</v>
      </c>
      <c r="AF450" s="444">
        <f t="shared" si="152"/>
        <v>10612658</v>
      </c>
      <c r="AG450" s="307">
        <v>215</v>
      </c>
      <c r="AH450" s="307">
        <v>48853.139534883718</v>
      </c>
      <c r="AI450" s="445">
        <f t="shared" si="153"/>
        <v>10503425</v>
      </c>
      <c r="AJ450" s="446"/>
      <c r="AK450" s="443"/>
      <c r="AL450" s="444">
        <f t="shared" si="154"/>
        <v>0</v>
      </c>
      <c r="AM450" s="307"/>
      <c r="AN450" s="307"/>
      <c r="AO450" s="447">
        <f t="shared" si="155"/>
        <v>0</v>
      </c>
      <c r="AP450" s="448"/>
      <c r="AQ450" s="443"/>
      <c r="AR450" s="444">
        <f t="shared" si="156"/>
        <v>0</v>
      </c>
      <c r="AS450" s="307"/>
      <c r="AT450" s="307"/>
      <c r="AU450" s="441">
        <f t="shared" si="157"/>
        <v>0</v>
      </c>
      <c r="AV450" s="442"/>
      <c r="AW450" s="443"/>
      <c r="AX450" s="444">
        <f t="shared" si="158"/>
        <v>0</v>
      </c>
      <c r="AY450" s="307"/>
      <c r="AZ450" s="307"/>
      <c r="BA450" s="445">
        <f t="shared" si="159"/>
        <v>0</v>
      </c>
      <c r="BB450" s="442"/>
      <c r="BC450" s="443"/>
      <c r="BD450" s="444">
        <f t="shared" si="160"/>
        <v>0</v>
      </c>
      <c r="BE450" s="307"/>
      <c r="BF450" s="307"/>
      <c r="BG450" s="445">
        <f t="shared" si="161"/>
        <v>0</v>
      </c>
      <c r="BH450" s="442"/>
      <c r="BI450" s="443"/>
      <c r="BJ450" s="444">
        <f t="shared" si="162"/>
        <v>0</v>
      </c>
      <c r="BK450" s="307"/>
      <c r="BL450" s="307"/>
      <c r="BM450" s="445">
        <f t="shared" si="163"/>
        <v>0</v>
      </c>
      <c r="BN450" s="442"/>
      <c r="BO450" s="443"/>
      <c r="BP450" s="444">
        <f t="shared" si="164"/>
        <v>0</v>
      </c>
      <c r="BQ450" s="307"/>
      <c r="BR450" s="307"/>
      <c r="BS450" s="445">
        <f t="shared" si="165"/>
        <v>0</v>
      </c>
      <c r="BT450" s="442"/>
      <c r="BU450" s="443"/>
      <c r="BV450" s="444">
        <f t="shared" si="166"/>
        <v>0</v>
      </c>
      <c r="BW450" s="307"/>
      <c r="BX450" s="307"/>
      <c r="BY450" s="449">
        <f t="shared" si="167"/>
        <v>0</v>
      </c>
    </row>
    <row r="451" spans="1:77" s="308" customFormat="1" ht="12.75" customHeight="1">
      <c r="A451" s="359" t="s">
        <v>346</v>
      </c>
      <c r="B451" s="360" t="s">
        <v>602</v>
      </c>
      <c r="C451" s="547"/>
      <c r="D451" s="361">
        <v>218894</v>
      </c>
      <c r="E451" s="362">
        <v>8</v>
      </c>
      <c r="F451" s="453"/>
      <c r="G451" s="454"/>
      <c r="H451" s="439">
        <f t="shared" si="144"/>
        <v>0</v>
      </c>
      <c r="I451" s="311"/>
      <c r="J451" s="311"/>
      <c r="K451" s="441">
        <f t="shared" si="145"/>
        <v>0</v>
      </c>
      <c r="L451" s="442"/>
      <c r="M451" s="443"/>
      <c r="N451" s="444">
        <f t="shared" si="146"/>
        <v>0</v>
      </c>
      <c r="O451" s="307"/>
      <c r="P451" s="307"/>
      <c r="Q451" s="445">
        <f t="shared" si="147"/>
        <v>0</v>
      </c>
      <c r="R451" s="442"/>
      <c r="S451" s="443"/>
      <c r="T451" s="444">
        <f t="shared" si="148"/>
        <v>0</v>
      </c>
      <c r="U451" s="307"/>
      <c r="V451" s="307"/>
      <c r="W451" s="441">
        <f t="shared" si="149"/>
        <v>0</v>
      </c>
      <c r="X451" s="442"/>
      <c r="Y451" s="443"/>
      <c r="Z451" s="444">
        <f t="shared" si="150"/>
        <v>0</v>
      </c>
      <c r="AA451" s="307"/>
      <c r="AB451" s="307"/>
      <c r="AC451" s="445">
        <f t="shared" si="151"/>
        <v>0</v>
      </c>
      <c r="AD451" s="442">
        <v>299</v>
      </c>
      <c r="AE451" s="443">
        <v>47152.862876254178</v>
      </c>
      <c r="AF451" s="444">
        <f t="shared" si="152"/>
        <v>14098706</v>
      </c>
      <c r="AG451" s="307">
        <v>304</v>
      </c>
      <c r="AH451" s="307">
        <v>47236.805921052633</v>
      </c>
      <c r="AI451" s="445">
        <f t="shared" si="153"/>
        <v>14359989</v>
      </c>
      <c r="AJ451" s="446"/>
      <c r="AK451" s="443"/>
      <c r="AL451" s="444">
        <f t="shared" si="154"/>
        <v>0</v>
      </c>
      <c r="AM451" s="307"/>
      <c r="AN451" s="307"/>
      <c r="AO451" s="447">
        <f t="shared" si="155"/>
        <v>0</v>
      </c>
      <c r="AP451" s="448"/>
      <c r="AQ451" s="443"/>
      <c r="AR451" s="444">
        <f t="shared" si="156"/>
        <v>0</v>
      </c>
      <c r="AS451" s="307"/>
      <c r="AT451" s="307"/>
      <c r="AU451" s="441">
        <f t="shared" si="157"/>
        <v>0</v>
      </c>
      <c r="AV451" s="442"/>
      <c r="AW451" s="443"/>
      <c r="AX451" s="444">
        <f t="shared" si="158"/>
        <v>0</v>
      </c>
      <c r="AY451" s="307"/>
      <c r="AZ451" s="307"/>
      <c r="BA451" s="445">
        <f t="shared" si="159"/>
        <v>0</v>
      </c>
      <c r="BB451" s="442"/>
      <c r="BC451" s="443"/>
      <c r="BD451" s="444">
        <f t="shared" si="160"/>
        <v>0</v>
      </c>
      <c r="BE451" s="307"/>
      <c r="BF451" s="307"/>
      <c r="BG451" s="445">
        <f t="shared" si="161"/>
        <v>0</v>
      </c>
      <c r="BH451" s="442"/>
      <c r="BI451" s="443"/>
      <c r="BJ451" s="444">
        <f t="shared" si="162"/>
        <v>0</v>
      </c>
      <c r="BK451" s="307"/>
      <c r="BL451" s="307"/>
      <c r="BM451" s="445">
        <f t="shared" si="163"/>
        <v>0</v>
      </c>
      <c r="BN451" s="442"/>
      <c r="BO451" s="443"/>
      <c r="BP451" s="444">
        <f t="shared" si="164"/>
        <v>0</v>
      </c>
      <c r="BQ451" s="307"/>
      <c r="BR451" s="307"/>
      <c r="BS451" s="445">
        <f t="shared" si="165"/>
        <v>0</v>
      </c>
      <c r="BT451" s="442"/>
      <c r="BU451" s="443"/>
      <c r="BV451" s="444">
        <f t="shared" si="166"/>
        <v>0</v>
      </c>
      <c r="BW451" s="307"/>
      <c r="BX451" s="307"/>
      <c r="BY451" s="449">
        <f t="shared" si="167"/>
        <v>0</v>
      </c>
    </row>
    <row r="452" spans="1:77" s="308" customFormat="1" ht="12.75" customHeight="1">
      <c r="A452" s="359" t="s">
        <v>346</v>
      </c>
      <c r="B452" s="364" t="s">
        <v>603</v>
      </c>
      <c r="C452" s="547"/>
      <c r="D452" s="361">
        <v>217615</v>
      </c>
      <c r="E452" s="362">
        <v>9</v>
      </c>
      <c r="F452" s="453"/>
      <c r="G452" s="454"/>
      <c r="H452" s="439">
        <f t="shared" si="144"/>
        <v>0</v>
      </c>
      <c r="I452" s="311"/>
      <c r="J452" s="311"/>
      <c r="K452" s="441">
        <f t="shared" si="145"/>
        <v>0</v>
      </c>
      <c r="L452" s="442"/>
      <c r="M452" s="443"/>
      <c r="N452" s="444">
        <f t="shared" si="146"/>
        <v>0</v>
      </c>
      <c r="O452" s="307"/>
      <c r="P452" s="307"/>
      <c r="Q452" s="445">
        <f t="shared" si="147"/>
        <v>0</v>
      </c>
      <c r="R452" s="442"/>
      <c r="S452" s="443"/>
      <c r="T452" s="444">
        <f t="shared" si="148"/>
        <v>0</v>
      </c>
      <c r="U452" s="307"/>
      <c r="V452" s="307"/>
      <c r="W452" s="441">
        <f t="shared" si="149"/>
        <v>0</v>
      </c>
      <c r="X452" s="442"/>
      <c r="Y452" s="443"/>
      <c r="Z452" s="444">
        <f t="shared" si="150"/>
        <v>0</v>
      </c>
      <c r="AA452" s="307"/>
      <c r="AB452" s="307"/>
      <c r="AC452" s="445">
        <f t="shared" si="151"/>
        <v>0</v>
      </c>
      <c r="AD452" s="442">
        <v>55</v>
      </c>
      <c r="AE452" s="443">
        <v>47769</v>
      </c>
      <c r="AF452" s="444">
        <f t="shared" si="152"/>
        <v>2627295</v>
      </c>
      <c r="AG452" s="307">
        <v>55</v>
      </c>
      <c r="AH452" s="307">
        <v>47586.872727272726</v>
      </c>
      <c r="AI452" s="445">
        <f t="shared" si="153"/>
        <v>2617278</v>
      </c>
      <c r="AJ452" s="446"/>
      <c r="AK452" s="443"/>
      <c r="AL452" s="444">
        <f t="shared" si="154"/>
        <v>0</v>
      </c>
      <c r="AM452" s="307"/>
      <c r="AN452" s="307"/>
      <c r="AO452" s="447">
        <f t="shared" si="155"/>
        <v>0</v>
      </c>
      <c r="AP452" s="448"/>
      <c r="AQ452" s="443"/>
      <c r="AR452" s="444">
        <f t="shared" si="156"/>
        <v>0</v>
      </c>
      <c r="AS452" s="307"/>
      <c r="AT452" s="307"/>
      <c r="AU452" s="441">
        <f t="shared" si="157"/>
        <v>0</v>
      </c>
      <c r="AV452" s="442"/>
      <c r="AW452" s="443"/>
      <c r="AX452" s="444">
        <f t="shared" si="158"/>
        <v>0</v>
      </c>
      <c r="AY452" s="307"/>
      <c r="AZ452" s="307"/>
      <c r="BA452" s="445">
        <f t="shared" si="159"/>
        <v>0</v>
      </c>
      <c r="BB452" s="442"/>
      <c r="BC452" s="443"/>
      <c r="BD452" s="444">
        <f t="shared" si="160"/>
        <v>0</v>
      </c>
      <c r="BE452" s="307"/>
      <c r="BF452" s="307"/>
      <c r="BG452" s="445">
        <f t="shared" si="161"/>
        <v>0</v>
      </c>
      <c r="BH452" s="442"/>
      <c r="BI452" s="443"/>
      <c r="BJ452" s="444">
        <f t="shared" si="162"/>
        <v>0</v>
      </c>
      <c r="BK452" s="307"/>
      <c r="BL452" s="307"/>
      <c r="BM452" s="445">
        <f t="shared" si="163"/>
        <v>0</v>
      </c>
      <c r="BN452" s="442"/>
      <c r="BO452" s="443"/>
      <c r="BP452" s="444">
        <f t="shared" si="164"/>
        <v>0</v>
      </c>
      <c r="BQ452" s="307"/>
      <c r="BR452" s="307"/>
      <c r="BS452" s="445">
        <f t="shared" si="165"/>
        <v>0</v>
      </c>
      <c r="BT452" s="442"/>
      <c r="BU452" s="443"/>
      <c r="BV452" s="444">
        <f t="shared" si="166"/>
        <v>0</v>
      </c>
      <c r="BW452" s="307"/>
      <c r="BX452" s="307"/>
      <c r="BY452" s="449">
        <f t="shared" si="167"/>
        <v>0</v>
      </c>
    </row>
    <row r="453" spans="1:77" s="308" customFormat="1" ht="12.75" customHeight="1">
      <c r="A453" s="359" t="s">
        <v>346</v>
      </c>
      <c r="B453" s="360" t="s">
        <v>604</v>
      </c>
      <c r="C453" s="547"/>
      <c r="D453" s="361">
        <v>218858</v>
      </c>
      <c r="E453" s="362">
        <v>9</v>
      </c>
      <c r="F453" s="453"/>
      <c r="G453" s="454"/>
      <c r="H453" s="439">
        <f t="shared" si="144"/>
        <v>0</v>
      </c>
      <c r="I453" s="311"/>
      <c r="J453" s="311"/>
      <c r="K453" s="441">
        <f t="shared" si="145"/>
        <v>0</v>
      </c>
      <c r="L453" s="442"/>
      <c r="M453" s="443"/>
      <c r="N453" s="444">
        <f t="shared" si="146"/>
        <v>0</v>
      </c>
      <c r="O453" s="307"/>
      <c r="P453" s="307"/>
      <c r="Q453" s="445">
        <f t="shared" si="147"/>
        <v>0</v>
      </c>
      <c r="R453" s="442"/>
      <c r="S453" s="443"/>
      <c r="T453" s="444">
        <f t="shared" si="148"/>
        <v>0</v>
      </c>
      <c r="U453" s="307"/>
      <c r="V453" s="307"/>
      <c r="W453" s="441">
        <f t="shared" si="149"/>
        <v>0</v>
      </c>
      <c r="X453" s="442"/>
      <c r="Y453" s="443"/>
      <c r="Z453" s="444">
        <f t="shared" si="150"/>
        <v>0</v>
      </c>
      <c r="AA453" s="307"/>
      <c r="AB453" s="307"/>
      <c r="AC453" s="445">
        <f t="shared" si="151"/>
        <v>0</v>
      </c>
      <c r="AD453" s="442">
        <v>88</v>
      </c>
      <c r="AE453" s="443">
        <v>44684.931818181816</v>
      </c>
      <c r="AF453" s="444">
        <f t="shared" si="152"/>
        <v>3932274</v>
      </c>
      <c r="AG453" s="307">
        <v>92</v>
      </c>
      <c r="AH453" s="307">
        <v>44797.90217391304</v>
      </c>
      <c r="AI453" s="445">
        <f t="shared" si="153"/>
        <v>4121406.9999999995</v>
      </c>
      <c r="AJ453" s="446"/>
      <c r="AK453" s="443"/>
      <c r="AL453" s="444">
        <f t="shared" si="154"/>
        <v>0</v>
      </c>
      <c r="AM453" s="307"/>
      <c r="AN453" s="307"/>
      <c r="AO453" s="447">
        <f t="shared" si="155"/>
        <v>0</v>
      </c>
      <c r="AP453" s="448"/>
      <c r="AQ453" s="443"/>
      <c r="AR453" s="444">
        <f t="shared" si="156"/>
        <v>0</v>
      </c>
      <c r="AS453" s="307"/>
      <c r="AT453" s="307"/>
      <c r="AU453" s="441">
        <f t="shared" si="157"/>
        <v>0</v>
      </c>
      <c r="AV453" s="442"/>
      <c r="AW453" s="443"/>
      <c r="AX453" s="444">
        <f t="shared" si="158"/>
        <v>0</v>
      </c>
      <c r="AY453" s="307"/>
      <c r="AZ453" s="307"/>
      <c r="BA453" s="445">
        <f t="shared" si="159"/>
        <v>0</v>
      </c>
      <c r="BB453" s="442"/>
      <c r="BC453" s="443"/>
      <c r="BD453" s="444">
        <f t="shared" si="160"/>
        <v>0</v>
      </c>
      <c r="BE453" s="307"/>
      <c r="BF453" s="307"/>
      <c r="BG453" s="445">
        <f t="shared" si="161"/>
        <v>0</v>
      </c>
      <c r="BH453" s="442"/>
      <c r="BI453" s="443"/>
      <c r="BJ453" s="444">
        <f t="shared" si="162"/>
        <v>0</v>
      </c>
      <c r="BK453" s="307"/>
      <c r="BL453" s="307"/>
      <c r="BM453" s="445">
        <f t="shared" si="163"/>
        <v>0</v>
      </c>
      <c r="BN453" s="442"/>
      <c r="BO453" s="443"/>
      <c r="BP453" s="444">
        <f t="shared" si="164"/>
        <v>0</v>
      </c>
      <c r="BQ453" s="307"/>
      <c r="BR453" s="307"/>
      <c r="BS453" s="445">
        <f t="shared" si="165"/>
        <v>0</v>
      </c>
      <c r="BT453" s="442"/>
      <c r="BU453" s="443"/>
      <c r="BV453" s="444">
        <f t="shared" si="166"/>
        <v>0</v>
      </c>
      <c r="BW453" s="307"/>
      <c r="BX453" s="307"/>
      <c r="BY453" s="449">
        <f t="shared" si="167"/>
        <v>0</v>
      </c>
    </row>
    <row r="454" spans="1:77" s="308" customFormat="1" ht="12.75" customHeight="1">
      <c r="A454" s="359" t="s">
        <v>346</v>
      </c>
      <c r="B454" s="548" t="s">
        <v>605</v>
      </c>
      <c r="C454" s="549" t="s">
        <v>1128</v>
      </c>
      <c r="D454" s="361">
        <v>218025</v>
      </c>
      <c r="E454" s="362">
        <v>9</v>
      </c>
      <c r="F454" s="453"/>
      <c r="G454" s="454"/>
      <c r="H454" s="439">
        <f t="shared" si="144"/>
        <v>0</v>
      </c>
      <c r="I454" s="311"/>
      <c r="J454" s="311"/>
      <c r="K454" s="441">
        <f t="shared" si="145"/>
        <v>0</v>
      </c>
      <c r="L454" s="442"/>
      <c r="M454" s="443"/>
      <c r="N454" s="444">
        <f t="shared" si="146"/>
        <v>0</v>
      </c>
      <c r="O454" s="307"/>
      <c r="P454" s="307"/>
      <c r="Q454" s="445">
        <f t="shared" si="147"/>
        <v>0</v>
      </c>
      <c r="R454" s="442"/>
      <c r="S454" s="443"/>
      <c r="T454" s="444">
        <f t="shared" si="148"/>
        <v>0</v>
      </c>
      <c r="U454" s="307"/>
      <c r="V454" s="307"/>
      <c r="W454" s="441">
        <f t="shared" si="149"/>
        <v>0</v>
      </c>
      <c r="X454" s="442"/>
      <c r="Y454" s="443"/>
      <c r="Z454" s="444">
        <f t="shared" si="150"/>
        <v>0</v>
      </c>
      <c r="AA454" s="307"/>
      <c r="AB454" s="307"/>
      <c r="AC454" s="445">
        <f t="shared" si="151"/>
        <v>0</v>
      </c>
      <c r="AD454" s="442">
        <v>99</v>
      </c>
      <c r="AE454" s="443">
        <v>49544.979797979795</v>
      </c>
      <c r="AF454" s="444">
        <f t="shared" si="152"/>
        <v>4904953</v>
      </c>
      <c r="AG454" s="307">
        <v>96</v>
      </c>
      <c r="AH454" s="307">
        <v>47976.5625</v>
      </c>
      <c r="AI454" s="445">
        <f t="shared" si="153"/>
        <v>4605750</v>
      </c>
      <c r="AJ454" s="446"/>
      <c r="AK454" s="443"/>
      <c r="AL454" s="444">
        <f t="shared" si="154"/>
        <v>0</v>
      </c>
      <c r="AM454" s="307"/>
      <c r="AN454" s="307"/>
      <c r="AO454" s="447">
        <f t="shared" si="155"/>
        <v>0</v>
      </c>
      <c r="AP454" s="448"/>
      <c r="AQ454" s="443"/>
      <c r="AR454" s="444">
        <f t="shared" si="156"/>
        <v>0</v>
      </c>
      <c r="AS454" s="307"/>
      <c r="AT454" s="307"/>
      <c r="AU454" s="441">
        <f t="shared" si="157"/>
        <v>0</v>
      </c>
      <c r="AV454" s="442"/>
      <c r="AW454" s="443"/>
      <c r="AX454" s="444">
        <f t="shared" si="158"/>
        <v>0</v>
      </c>
      <c r="AY454" s="307"/>
      <c r="AZ454" s="307"/>
      <c r="BA454" s="445">
        <f t="shared" si="159"/>
        <v>0</v>
      </c>
      <c r="BB454" s="442"/>
      <c r="BC454" s="443"/>
      <c r="BD454" s="444">
        <f t="shared" si="160"/>
        <v>0</v>
      </c>
      <c r="BE454" s="307"/>
      <c r="BF454" s="307"/>
      <c r="BG454" s="445">
        <f t="shared" si="161"/>
        <v>0</v>
      </c>
      <c r="BH454" s="442"/>
      <c r="BI454" s="443"/>
      <c r="BJ454" s="444">
        <f t="shared" si="162"/>
        <v>0</v>
      </c>
      <c r="BK454" s="307"/>
      <c r="BL454" s="307"/>
      <c r="BM454" s="445">
        <f t="shared" si="163"/>
        <v>0</v>
      </c>
      <c r="BN454" s="442"/>
      <c r="BO454" s="443"/>
      <c r="BP454" s="444">
        <f t="shared" si="164"/>
        <v>0</v>
      </c>
      <c r="BQ454" s="307"/>
      <c r="BR454" s="307"/>
      <c r="BS454" s="445">
        <f t="shared" si="165"/>
        <v>0</v>
      </c>
      <c r="BT454" s="442"/>
      <c r="BU454" s="443"/>
      <c r="BV454" s="444">
        <f t="shared" si="166"/>
        <v>0</v>
      </c>
      <c r="BW454" s="307"/>
      <c r="BX454" s="307"/>
      <c r="BY454" s="449">
        <f t="shared" si="167"/>
        <v>0</v>
      </c>
    </row>
    <row r="455" spans="1:77" s="308" customFormat="1" ht="12.75" customHeight="1">
      <c r="A455" s="359" t="s">
        <v>346</v>
      </c>
      <c r="B455" s="548" t="s">
        <v>606</v>
      </c>
      <c r="C455" s="549" t="s">
        <v>1129</v>
      </c>
      <c r="D455" s="361">
        <v>218140</v>
      </c>
      <c r="E455" s="362">
        <v>9</v>
      </c>
      <c r="F455" s="453"/>
      <c r="G455" s="454"/>
      <c r="H455" s="439">
        <f t="shared" si="144"/>
        <v>0</v>
      </c>
      <c r="I455" s="311"/>
      <c r="J455" s="311"/>
      <c r="K455" s="441">
        <f t="shared" si="145"/>
        <v>0</v>
      </c>
      <c r="L455" s="442"/>
      <c r="M455" s="443"/>
      <c r="N455" s="444">
        <f t="shared" si="146"/>
        <v>0</v>
      </c>
      <c r="O455" s="307"/>
      <c r="P455" s="307"/>
      <c r="Q455" s="445">
        <f t="shared" si="147"/>
        <v>0</v>
      </c>
      <c r="R455" s="442"/>
      <c r="S455" s="443"/>
      <c r="T455" s="444">
        <f t="shared" si="148"/>
        <v>0</v>
      </c>
      <c r="U455" s="307"/>
      <c r="V455" s="307"/>
      <c r="W455" s="441">
        <f t="shared" si="149"/>
        <v>0</v>
      </c>
      <c r="X455" s="442"/>
      <c r="Y455" s="443"/>
      <c r="Z455" s="444">
        <f t="shared" si="150"/>
        <v>0</v>
      </c>
      <c r="AA455" s="307"/>
      <c r="AB455" s="307"/>
      <c r="AC455" s="445">
        <f t="shared" si="151"/>
        <v>0</v>
      </c>
      <c r="AD455" s="442">
        <v>134</v>
      </c>
      <c r="AE455" s="443">
        <v>49056.373134328358</v>
      </c>
      <c r="AF455" s="444">
        <f t="shared" si="152"/>
        <v>6573554</v>
      </c>
      <c r="AG455" s="307">
        <v>141</v>
      </c>
      <c r="AH455" s="307">
        <v>48790.070921985818</v>
      </c>
      <c r="AI455" s="445">
        <f t="shared" si="153"/>
        <v>6879400</v>
      </c>
      <c r="AJ455" s="446"/>
      <c r="AK455" s="443"/>
      <c r="AL455" s="444">
        <f t="shared" si="154"/>
        <v>0</v>
      </c>
      <c r="AM455" s="307"/>
      <c r="AN455" s="307"/>
      <c r="AO455" s="447">
        <f t="shared" si="155"/>
        <v>0</v>
      </c>
      <c r="AP455" s="448"/>
      <c r="AQ455" s="443"/>
      <c r="AR455" s="444">
        <f t="shared" si="156"/>
        <v>0</v>
      </c>
      <c r="AS455" s="307"/>
      <c r="AT455" s="307"/>
      <c r="AU455" s="441">
        <f t="shared" si="157"/>
        <v>0</v>
      </c>
      <c r="AV455" s="442"/>
      <c r="AW455" s="443"/>
      <c r="AX455" s="444">
        <f t="shared" si="158"/>
        <v>0</v>
      </c>
      <c r="AY455" s="307"/>
      <c r="AZ455" s="307"/>
      <c r="BA455" s="445">
        <f t="shared" si="159"/>
        <v>0</v>
      </c>
      <c r="BB455" s="442"/>
      <c r="BC455" s="443"/>
      <c r="BD455" s="444">
        <f t="shared" si="160"/>
        <v>0</v>
      </c>
      <c r="BE455" s="307"/>
      <c r="BF455" s="307"/>
      <c r="BG455" s="445">
        <f t="shared" si="161"/>
        <v>0</v>
      </c>
      <c r="BH455" s="442"/>
      <c r="BI455" s="443"/>
      <c r="BJ455" s="444">
        <f t="shared" si="162"/>
        <v>0</v>
      </c>
      <c r="BK455" s="307"/>
      <c r="BL455" s="307"/>
      <c r="BM455" s="445">
        <f t="shared" si="163"/>
        <v>0</v>
      </c>
      <c r="BN455" s="442"/>
      <c r="BO455" s="443"/>
      <c r="BP455" s="444">
        <f t="shared" si="164"/>
        <v>0</v>
      </c>
      <c r="BQ455" s="307"/>
      <c r="BR455" s="307"/>
      <c r="BS455" s="445">
        <f t="shared" si="165"/>
        <v>0</v>
      </c>
      <c r="BT455" s="442"/>
      <c r="BU455" s="443"/>
      <c r="BV455" s="444">
        <f t="shared" si="166"/>
        <v>0</v>
      </c>
      <c r="BW455" s="307"/>
      <c r="BX455" s="307"/>
      <c r="BY455" s="449">
        <f t="shared" si="167"/>
        <v>0</v>
      </c>
    </row>
    <row r="456" spans="1:77" s="308" customFormat="1" ht="12.75" customHeight="1">
      <c r="A456" s="359" t="s">
        <v>346</v>
      </c>
      <c r="B456" s="360" t="s">
        <v>607</v>
      </c>
      <c r="C456" s="547"/>
      <c r="D456" s="361">
        <v>218487</v>
      </c>
      <c r="E456" s="362">
        <v>9</v>
      </c>
      <c r="F456" s="453"/>
      <c r="G456" s="454"/>
      <c r="H456" s="439">
        <f t="shared" si="144"/>
        <v>0</v>
      </c>
      <c r="I456" s="311"/>
      <c r="J456" s="311"/>
      <c r="K456" s="441">
        <f t="shared" si="145"/>
        <v>0</v>
      </c>
      <c r="L456" s="442"/>
      <c r="M456" s="443"/>
      <c r="N456" s="444">
        <f t="shared" si="146"/>
        <v>0</v>
      </c>
      <c r="O456" s="307"/>
      <c r="P456" s="307"/>
      <c r="Q456" s="445">
        <f t="shared" si="147"/>
        <v>0</v>
      </c>
      <c r="R456" s="442"/>
      <c r="S456" s="443"/>
      <c r="T456" s="444">
        <f t="shared" si="148"/>
        <v>0</v>
      </c>
      <c r="U456" s="307"/>
      <c r="V456" s="307"/>
      <c r="W456" s="441">
        <f t="shared" si="149"/>
        <v>0</v>
      </c>
      <c r="X456" s="442"/>
      <c r="Y456" s="443"/>
      <c r="Z456" s="444">
        <f t="shared" si="150"/>
        <v>0</v>
      </c>
      <c r="AA456" s="307"/>
      <c r="AB456" s="307"/>
      <c r="AC456" s="445">
        <f t="shared" si="151"/>
        <v>0</v>
      </c>
      <c r="AD456" s="442">
        <v>75</v>
      </c>
      <c r="AE456" s="443">
        <v>43629.36</v>
      </c>
      <c r="AF456" s="444">
        <f t="shared" si="152"/>
        <v>3272202</v>
      </c>
      <c r="AG456" s="307">
        <v>75</v>
      </c>
      <c r="AH456" s="307">
        <v>43055.746666666666</v>
      </c>
      <c r="AI456" s="445">
        <f t="shared" si="153"/>
        <v>3229181</v>
      </c>
      <c r="AJ456" s="446"/>
      <c r="AK456" s="443"/>
      <c r="AL456" s="444">
        <f t="shared" si="154"/>
        <v>0</v>
      </c>
      <c r="AM456" s="307"/>
      <c r="AN456" s="307"/>
      <c r="AO456" s="447">
        <f t="shared" si="155"/>
        <v>0</v>
      </c>
      <c r="AP456" s="448"/>
      <c r="AQ456" s="443"/>
      <c r="AR456" s="444">
        <f t="shared" si="156"/>
        <v>0</v>
      </c>
      <c r="AS456" s="307"/>
      <c r="AT456" s="307"/>
      <c r="AU456" s="441">
        <f t="shared" si="157"/>
        <v>0</v>
      </c>
      <c r="AV456" s="442"/>
      <c r="AW456" s="443"/>
      <c r="AX456" s="444">
        <f t="shared" si="158"/>
        <v>0</v>
      </c>
      <c r="AY456" s="307"/>
      <c r="AZ456" s="307"/>
      <c r="BA456" s="445">
        <f t="shared" si="159"/>
        <v>0</v>
      </c>
      <c r="BB456" s="442"/>
      <c r="BC456" s="443"/>
      <c r="BD456" s="444">
        <f t="shared" si="160"/>
        <v>0</v>
      </c>
      <c r="BE456" s="307"/>
      <c r="BF456" s="307"/>
      <c r="BG456" s="445">
        <f t="shared" si="161"/>
        <v>0</v>
      </c>
      <c r="BH456" s="442"/>
      <c r="BI456" s="443"/>
      <c r="BJ456" s="444">
        <f t="shared" si="162"/>
        <v>0</v>
      </c>
      <c r="BK456" s="307"/>
      <c r="BL456" s="307"/>
      <c r="BM456" s="445">
        <f t="shared" si="163"/>
        <v>0</v>
      </c>
      <c r="BN456" s="442"/>
      <c r="BO456" s="443"/>
      <c r="BP456" s="444">
        <f t="shared" si="164"/>
        <v>0</v>
      </c>
      <c r="BQ456" s="307"/>
      <c r="BR456" s="307"/>
      <c r="BS456" s="445">
        <f t="shared" si="165"/>
        <v>0</v>
      </c>
      <c r="BT456" s="442"/>
      <c r="BU456" s="443"/>
      <c r="BV456" s="444">
        <f t="shared" si="166"/>
        <v>0</v>
      </c>
      <c r="BW456" s="307"/>
      <c r="BX456" s="307"/>
      <c r="BY456" s="449">
        <f t="shared" si="167"/>
        <v>0</v>
      </c>
    </row>
    <row r="457" spans="1:77" s="308" customFormat="1" ht="12.75" customHeight="1">
      <c r="A457" s="359" t="s">
        <v>346</v>
      </c>
      <c r="B457" s="548" t="s">
        <v>608</v>
      </c>
      <c r="C457" s="549" t="s">
        <v>1128</v>
      </c>
      <c r="D457" s="361">
        <v>218520</v>
      </c>
      <c r="E457" s="362">
        <v>9</v>
      </c>
      <c r="F457" s="453"/>
      <c r="G457" s="454"/>
      <c r="H457" s="439">
        <f t="shared" ref="H457:H520" si="168">F457*G457</f>
        <v>0</v>
      </c>
      <c r="I457" s="311"/>
      <c r="J457" s="311"/>
      <c r="K457" s="441">
        <f t="shared" ref="K457:K520" si="169">I457*J457</f>
        <v>0</v>
      </c>
      <c r="L457" s="442"/>
      <c r="M457" s="443"/>
      <c r="N457" s="444">
        <f t="shared" ref="N457:N520" si="170">L457*M457</f>
        <v>0</v>
      </c>
      <c r="O457" s="307"/>
      <c r="P457" s="307"/>
      <c r="Q457" s="445">
        <f t="shared" ref="Q457:Q520" si="171">O457*P457</f>
        <v>0</v>
      </c>
      <c r="R457" s="442"/>
      <c r="S457" s="443"/>
      <c r="T457" s="444">
        <f t="shared" ref="T457:T520" si="172">R457*S457</f>
        <v>0</v>
      </c>
      <c r="U457" s="307"/>
      <c r="V457" s="307"/>
      <c r="W457" s="441">
        <f t="shared" ref="W457:W520" si="173">U457*V457</f>
        <v>0</v>
      </c>
      <c r="X457" s="442"/>
      <c r="Y457" s="443"/>
      <c r="Z457" s="444">
        <f t="shared" ref="Z457:Z520" si="174">X457*Y457</f>
        <v>0</v>
      </c>
      <c r="AA457" s="307"/>
      <c r="AB457" s="307"/>
      <c r="AC457" s="445">
        <f t="shared" ref="AC457:AC520" si="175">AA457*AB457</f>
        <v>0</v>
      </c>
      <c r="AD457" s="442">
        <v>119</v>
      </c>
      <c r="AE457" s="443">
        <v>43031.344537815123</v>
      </c>
      <c r="AF457" s="444">
        <f t="shared" ref="AF457:AF520" si="176">AD457*AE457</f>
        <v>5120730</v>
      </c>
      <c r="AG457" s="307">
        <v>121</v>
      </c>
      <c r="AH457" s="307">
        <v>43649.512396694212</v>
      </c>
      <c r="AI457" s="445">
        <f t="shared" ref="AI457:AI520" si="177">AG457*AH457</f>
        <v>5281591</v>
      </c>
      <c r="AJ457" s="446"/>
      <c r="AK457" s="443"/>
      <c r="AL457" s="444">
        <f t="shared" ref="AL457:AL520" si="178">AJ457*AK457</f>
        <v>0</v>
      </c>
      <c r="AM457" s="307"/>
      <c r="AN457" s="307"/>
      <c r="AO457" s="447">
        <f t="shared" ref="AO457:AO520" si="179">AM457*AN457</f>
        <v>0</v>
      </c>
      <c r="AP457" s="448"/>
      <c r="AQ457" s="443"/>
      <c r="AR457" s="444">
        <f t="shared" ref="AR457:AR520" si="180">(AP457*AQ457)*0.8182</f>
        <v>0</v>
      </c>
      <c r="AS457" s="307"/>
      <c r="AT457" s="307"/>
      <c r="AU457" s="441">
        <f t="shared" ref="AU457:AU520" si="181">(AS457*AT457)*0.8182</f>
        <v>0</v>
      </c>
      <c r="AV457" s="442"/>
      <c r="AW457" s="443"/>
      <c r="AX457" s="444">
        <f t="shared" ref="AX457:AX520" si="182">(AV457*AW457)*0.8182</f>
        <v>0</v>
      </c>
      <c r="AY457" s="307"/>
      <c r="AZ457" s="307"/>
      <c r="BA457" s="445">
        <f t="shared" ref="BA457:BA520" si="183">(AY457*AZ457)*0.8182</f>
        <v>0</v>
      </c>
      <c r="BB457" s="442"/>
      <c r="BC457" s="443"/>
      <c r="BD457" s="444">
        <f t="shared" ref="BD457:BD520" si="184">(BB457*BC457)*0.8182</f>
        <v>0</v>
      </c>
      <c r="BE457" s="307"/>
      <c r="BF457" s="307"/>
      <c r="BG457" s="445">
        <f t="shared" ref="BG457:BG520" si="185">(BE457*BF457)*0.8182</f>
        <v>0</v>
      </c>
      <c r="BH457" s="442"/>
      <c r="BI457" s="443"/>
      <c r="BJ457" s="444">
        <f t="shared" ref="BJ457:BJ520" si="186">(BH457*BI457)*0.8182</f>
        <v>0</v>
      </c>
      <c r="BK457" s="307"/>
      <c r="BL457" s="307"/>
      <c r="BM457" s="445">
        <f t="shared" ref="BM457:BM520" si="187">(BK457*BL457)*0.8182</f>
        <v>0</v>
      </c>
      <c r="BN457" s="442"/>
      <c r="BO457" s="443"/>
      <c r="BP457" s="444">
        <f t="shared" ref="BP457:BP520" si="188">(BN457*BO457)*0.8182</f>
        <v>0</v>
      </c>
      <c r="BQ457" s="307"/>
      <c r="BR457" s="307"/>
      <c r="BS457" s="445">
        <f t="shared" ref="BS457:BS520" si="189">(BQ457*BR457)*0.8182</f>
        <v>0</v>
      </c>
      <c r="BT457" s="442"/>
      <c r="BU457" s="443"/>
      <c r="BV457" s="444">
        <f t="shared" ref="BV457:BV520" si="190">(BT457*BU457)*0.8182</f>
        <v>0</v>
      </c>
      <c r="BW457" s="307"/>
      <c r="BX457" s="307"/>
      <c r="BY457" s="449">
        <f t="shared" ref="BY457:BY520" si="191">(BW457*BX457)*0.8182</f>
        <v>0</v>
      </c>
    </row>
    <row r="458" spans="1:77" s="308" customFormat="1" ht="12.75" customHeight="1">
      <c r="A458" s="359" t="s">
        <v>346</v>
      </c>
      <c r="B458" s="548" t="s">
        <v>728</v>
      </c>
      <c r="C458" s="549" t="s">
        <v>1128</v>
      </c>
      <c r="D458" s="361">
        <v>218830</v>
      </c>
      <c r="E458" s="362">
        <v>9</v>
      </c>
      <c r="F458" s="453"/>
      <c r="G458" s="454"/>
      <c r="H458" s="439">
        <f t="shared" si="168"/>
        <v>0</v>
      </c>
      <c r="I458" s="311"/>
      <c r="J458" s="311"/>
      <c r="K458" s="441">
        <f t="shared" si="169"/>
        <v>0</v>
      </c>
      <c r="L458" s="442"/>
      <c r="M458" s="443"/>
      <c r="N458" s="444">
        <f t="shared" si="170"/>
        <v>0</v>
      </c>
      <c r="O458" s="307"/>
      <c r="P458" s="307"/>
      <c r="Q458" s="445">
        <f t="shared" si="171"/>
        <v>0</v>
      </c>
      <c r="R458" s="442"/>
      <c r="S458" s="443"/>
      <c r="T458" s="444">
        <f t="shared" si="172"/>
        <v>0</v>
      </c>
      <c r="U458" s="307"/>
      <c r="V458" s="307"/>
      <c r="W458" s="441">
        <f t="shared" si="173"/>
        <v>0</v>
      </c>
      <c r="X458" s="442"/>
      <c r="Y458" s="443"/>
      <c r="Z458" s="444">
        <f t="shared" si="174"/>
        <v>0</v>
      </c>
      <c r="AA458" s="307"/>
      <c r="AB458" s="307"/>
      <c r="AC458" s="445">
        <f t="shared" si="175"/>
        <v>0</v>
      </c>
      <c r="AD458" s="442">
        <v>111</v>
      </c>
      <c r="AE458" s="443">
        <v>45615.936936936938</v>
      </c>
      <c r="AF458" s="444">
        <f t="shared" si="176"/>
        <v>5063369</v>
      </c>
      <c r="AG458" s="307">
        <v>119</v>
      </c>
      <c r="AH458" s="307">
        <v>44870.529411764706</v>
      </c>
      <c r="AI458" s="445">
        <f t="shared" si="177"/>
        <v>5339593</v>
      </c>
      <c r="AJ458" s="446"/>
      <c r="AK458" s="443"/>
      <c r="AL458" s="444">
        <f t="shared" si="178"/>
        <v>0</v>
      </c>
      <c r="AM458" s="307"/>
      <c r="AN458" s="307"/>
      <c r="AO458" s="447">
        <f t="shared" si="179"/>
        <v>0</v>
      </c>
      <c r="AP458" s="448"/>
      <c r="AQ458" s="443"/>
      <c r="AR458" s="444">
        <f t="shared" si="180"/>
        <v>0</v>
      </c>
      <c r="AS458" s="307"/>
      <c r="AT458" s="307"/>
      <c r="AU458" s="441">
        <f t="shared" si="181"/>
        <v>0</v>
      </c>
      <c r="AV458" s="442"/>
      <c r="AW458" s="443"/>
      <c r="AX458" s="444">
        <f t="shared" si="182"/>
        <v>0</v>
      </c>
      <c r="AY458" s="307"/>
      <c r="AZ458" s="307"/>
      <c r="BA458" s="445">
        <f t="shared" si="183"/>
        <v>0</v>
      </c>
      <c r="BB458" s="442"/>
      <c r="BC458" s="443"/>
      <c r="BD458" s="444">
        <f t="shared" si="184"/>
        <v>0</v>
      </c>
      <c r="BE458" s="307"/>
      <c r="BF458" s="307"/>
      <c r="BG458" s="445">
        <f t="shared" si="185"/>
        <v>0</v>
      </c>
      <c r="BH458" s="442"/>
      <c r="BI458" s="443"/>
      <c r="BJ458" s="444">
        <f t="shared" si="186"/>
        <v>0</v>
      </c>
      <c r="BK458" s="307"/>
      <c r="BL458" s="307"/>
      <c r="BM458" s="445">
        <f t="shared" si="187"/>
        <v>0</v>
      </c>
      <c r="BN458" s="442"/>
      <c r="BO458" s="443"/>
      <c r="BP458" s="444">
        <f t="shared" si="188"/>
        <v>0</v>
      </c>
      <c r="BQ458" s="307"/>
      <c r="BR458" s="307"/>
      <c r="BS458" s="445">
        <f t="shared" si="189"/>
        <v>0</v>
      </c>
      <c r="BT458" s="442"/>
      <c r="BU458" s="443"/>
      <c r="BV458" s="444">
        <f t="shared" si="190"/>
        <v>0</v>
      </c>
      <c r="BW458" s="307"/>
      <c r="BX458" s="307"/>
      <c r="BY458" s="449">
        <f t="shared" si="191"/>
        <v>0</v>
      </c>
    </row>
    <row r="459" spans="1:77" s="308" customFormat="1" ht="12.75" customHeight="1">
      <c r="A459" s="359" t="s">
        <v>346</v>
      </c>
      <c r="B459" s="548" t="s">
        <v>609</v>
      </c>
      <c r="C459" s="549" t="s">
        <v>1129</v>
      </c>
      <c r="D459" s="361">
        <v>218885</v>
      </c>
      <c r="E459" s="362">
        <v>9</v>
      </c>
      <c r="F459" s="453"/>
      <c r="G459" s="454"/>
      <c r="H459" s="439">
        <f t="shared" si="168"/>
        <v>0</v>
      </c>
      <c r="I459" s="311"/>
      <c r="J459" s="311"/>
      <c r="K459" s="441">
        <f t="shared" si="169"/>
        <v>0</v>
      </c>
      <c r="L459" s="442"/>
      <c r="M459" s="443"/>
      <c r="N459" s="444">
        <f t="shared" si="170"/>
        <v>0</v>
      </c>
      <c r="O459" s="307"/>
      <c r="P459" s="307"/>
      <c r="Q459" s="445">
        <f t="shared" si="171"/>
        <v>0</v>
      </c>
      <c r="R459" s="442"/>
      <c r="S459" s="443"/>
      <c r="T459" s="444">
        <f t="shared" si="172"/>
        <v>0</v>
      </c>
      <c r="U459" s="307"/>
      <c r="V459" s="307"/>
      <c r="W459" s="441">
        <f t="shared" si="173"/>
        <v>0</v>
      </c>
      <c r="X459" s="442"/>
      <c r="Y459" s="443"/>
      <c r="Z459" s="444">
        <f t="shared" si="174"/>
        <v>0</v>
      </c>
      <c r="AA459" s="307"/>
      <c r="AB459" s="307"/>
      <c r="AC459" s="445">
        <f t="shared" si="175"/>
        <v>0</v>
      </c>
      <c r="AD459" s="442">
        <v>122</v>
      </c>
      <c r="AE459" s="443">
        <v>43823.024590163935</v>
      </c>
      <c r="AF459" s="444">
        <f t="shared" si="176"/>
        <v>5346409</v>
      </c>
      <c r="AG459" s="307">
        <v>130</v>
      </c>
      <c r="AH459" s="307">
        <v>43344.776923076926</v>
      </c>
      <c r="AI459" s="445">
        <f t="shared" si="177"/>
        <v>5634821</v>
      </c>
      <c r="AJ459" s="446"/>
      <c r="AK459" s="443"/>
      <c r="AL459" s="444">
        <f t="shared" si="178"/>
        <v>0</v>
      </c>
      <c r="AM459" s="307"/>
      <c r="AN459" s="307"/>
      <c r="AO459" s="447">
        <f t="shared" si="179"/>
        <v>0</v>
      </c>
      <c r="AP459" s="448"/>
      <c r="AQ459" s="443"/>
      <c r="AR459" s="444">
        <f t="shared" si="180"/>
        <v>0</v>
      </c>
      <c r="AS459" s="307"/>
      <c r="AT459" s="307"/>
      <c r="AU459" s="441">
        <f t="shared" si="181"/>
        <v>0</v>
      </c>
      <c r="AV459" s="442"/>
      <c r="AW459" s="443"/>
      <c r="AX459" s="444">
        <f t="shared" si="182"/>
        <v>0</v>
      </c>
      <c r="AY459" s="307"/>
      <c r="AZ459" s="307"/>
      <c r="BA459" s="445">
        <f t="shared" si="183"/>
        <v>0</v>
      </c>
      <c r="BB459" s="442"/>
      <c r="BC459" s="443"/>
      <c r="BD459" s="444">
        <f t="shared" si="184"/>
        <v>0</v>
      </c>
      <c r="BE459" s="307"/>
      <c r="BF459" s="307"/>
      <c r="BG459" s="445">
        <f t="shared" si="185"/>
        <v>0</v>
      </c>
      <c r="BH459" s="442"/>
      <c r="BI459" s="443"/>
      <c r="BJ459" s="444">
        <f t="shared" si="186"/>
        <v>0</v>
      </c>
      <c r="BK459" s="307"/>
      <c r="BL459" s="307"/>
      <c r="BM459" s="445">
        <f t="shared" si="187"/>
        <v>0</v>
      </c>
      <c r="BN459" s="442"/>
      <c r="BO459" s="443"/>
      <c r="BP459" s="444">
        <f t="shared" si="188"/>
        <v>0</v>
      </c>
      <c r="BQ459" s="307"/>
      <c r="BR459" s="307"/>
      <c r="BS459" s="445">
        <f t="shared" si="189"/>
        <v>0</v>
      </c>
      <c r="BT459" s="442"/>
      <c r="BU459" s="443"/>
      <c r="BV459" s="444">
        <f t="shared" si="190"/>
        <v>0</v>
      </c>
      <c r="BW459" s="307"/>
      <c r="BX459" s="307"/>
      <c r="BY459" s="449">
        <f t="shared" si="191"/>
        <v>0</v>
      </c>
    </row>
    <row r="460" spans="1:77" s="308" customFormat="1" ht="12.75" customHeight="1">
      <c r="A460" s="359" t="s">
        <v>346</v>
      </c>
      <c r="B460" s="548" t="s">
        <v>610</v>
      </c>
      <c r="C460" s="549" t="s">
        <v>1128</v>
      </c>
      <c r="D460" s="361">
        <v>218991</v>
      </c>
      <c r="E460" s="362">
        <v>9</v>
      </c>
      <c r="F460" s="453"/>
      <c r="G460" s="454"/>
      <c r="H460" s="439">
        <f t="shared" si="168"/>
        <v>0</v>
      </c>
      <c r="I460" s="311"/>
      <c r="J460" s="311"/>
      <c r="K460" s="441">
        <f t="shared" si="169"/>
        <v>0</v>
      </c>
      <c r="L460" s="442"/>
      <c r="M460" s="443"/>
      <c r="N460" s="444">
        <f t="shared" si="170"/>
        <v>0</v>
      </c>
      <c r="O460" s="307"/>
      <c r="P460" s="307"/>
      <c r="Q460" s="445">
        <f t="shared" si="171"/>
        <v>0</v>
      </c>
      <c r="R460" s="442"/>
      <c r="S460" s="443"/>
      <c r="T460" s="444">
        <f t="shared" si="172"/>
        <v>0</v>
      </c>
      <c r="U460" s="307"/>
      <c r="V460" s="307"/>
      <c r="W460" s="441">
        <f t="shared" si="173"/>
        <v>0</v>
      </c>
      <c r="X460" s="442"/>
      <c r="Y460" s="443"/>
      <c r="Z460" s="444">
        <f t="shared" si="174"/>
        <v>0</v>
      </c>
      <c r="AA460" s="307"/>
      <c r="AB460" s="307"/>
      <c r="AC460" s="445">
        <f t="shared" si="175"/>
        <v>0</v>
      </c>
      <c r="AD460" s="442">
        <v>124</v>
      </c>
      <c r="AE460" s="443">
        <v>48197.629032258068</v>
      </c>
      <c r="AF460" s="444">
        <f t="shared" si="176"/>
        <v>5976506</v>
      </c>
      <c r="AG460" s="307">
        <v>122</v>
      </c>
      <c r="AH460" s="307">
        <v>47441.754098360652</v>
      </c>
      <c r="AI460" s="445">
        <f t="shared" si="177"/>
        <v>5787894</v>
      </c>
      <c r="AJ460" s="446"/>
      <c r="AK460" s="443"/>
      <c r="AL460" s="444">
        <f t="shared" si="178"/>
        <v>0</v>
      </c>
      <c r="AM460" s="307"/>
      <c r="AN460" s="307"/>
      <c r="AO460" s="447">
        <f t="shared" si="179"/>
        <v>0</v>
      </c>
      <c r="AP460" s="448"/>
      <c r="AQ460" s="443"/>
      <c r="AR460" s="444">
        <f t="shared" si="180"/>
        <v>0</v>
      </c>
      <c r="AS460" s="307"/>
      <c r="AT460" s="307"/>
      <c r="AU460" s="441">
        <f t="shared" si="181"/>
        <v>0</v>
      </c>
      <c r="AV460" s="442"/>
      <c r="AW460" s="443"/>
      <c r="AX460" s="444">
        <f t="shared" si="182"/>
        <v>0</v>
      </c>
      <c r="AY460" s="307"/>
      <c r="AZ460" s="307"/>
      <c r="BA460" s="445">
        <f t="shared" si="183"/>
        <v>0</v>
      </c>
      <c r="BB460" s="442"/>
      <c r="BC460" s="443"/>
      <c r="BD460" s="444">
        <f t="shared" si="184"/>
        <v>0</v>
      </c>
      <c r="BE460" s="307"/>
      <c r="BF460" s="307"/>
      <c r="BG460" s="445">
        <f t="shared" si="185"/>
        <v>0</v>
      </c>
      <c r="BH460" s="442"/>
      <c r="BI460" s="443"/>
      <c r="BJ460" s="444">
        <f t="shared" si="186"/>
        <v>0</v>
      </c>
      <c r="BK460" s="307"/>
      <c r="BL460" s="307"/>
      <c r="BM460" s="445">
        <f t="shared" si="187"/>
        <v>0</v>
      </c>
      <c r="BN460" s="442"/>
      <c r="BO460" s="443"/>
      <c r="BP460" s="444">
        <f t="shared" si="188"/>
        <v>0</v>
      </c>
      <c r="BQ460" s="307"/>
      <c r="BR460" s="307"/>
      <c r="BS460" s="445">
        <f t="shared" si="189"/>
        <v>0</v>
      </c>
      <c r="BT460" s="442"/>
      <c r="BU460" s="443"/>
      <c r="BV460" s="444">
        <f t="shared" si="190"/>
        <v>0</v>
      </c>
      <c r="BW460" s="307"/>
      <c r="BX460" s="307"/>
      <c r="BY460" s="449">
        <f t="shared" si="191"/>
        <v>0</v>
      </c>
    </row>
    <row r="461" spans="1:77" s="308" customFormat="1" ht="12.75" customHeight="1">
      <c r="A461" s="359" t="s">
        <v>346</v>
      </c>
      <c r="B461" s="360" t="s">
        <v>611</v>
      </c>
      <c r="C461" s="547"/>
      <c r="D461" s="361">
        <v>217989</v>
      </c>
      <c r="E461" s="362">
        <v>10</v>
      </c>
      <c r="F461" s="453"/>
      <c r="G461" s="454"/>
      <c r="H461" s="439">
        <f t="shared" si="168"/>
        <v>0</v>
      </c>
      <c r="I461" s="311"/>
      <c r="J461" s="311"/>
      <c r="K461" s="441">
        <f t="shared" si="169"/>
        <v>0</v>
      </c>
      <c r="L461" s="442"/>
      <c r="M461" s="443"/>
      <c r="N461" s="444">
        <f t="shared" si="170"/>
        <v>0</v>
      </c>
      <c r="O461" s="307"/>
      <c r="P461" s="307"/>
      <c r="Q461" s="445">
        <f t="shared" si="171"/>
        <v>0</v>
      </c>
      <c r="R461" s="442"/>
      <c r="S461" s="443"/>
      <c r="T461" s="444">
        <f t="shared" si="172"/>
        <v>0</v>
      </c>
      <c r="U461" s="307"/>
      <c r="V461" s="307"/>
      <c r="W461" s="441">
        <f t="shared" si="173"/>
        <v>0</v>
      </c>
      <c r="X461" s="442"/>
      <c r="Y461" s="443"/>
      <c r="Z461" s="444">
        <f t="shared" si="174"/>
        <v>0</v>
      </c>
      <c r="AA461" s="307"/>
      <c r="AB461" s="307"/>
      <c r="AC461" s="445">
        <f t="shared" si="175"/>
        <v>0</v>
      </c>
      <c r="AD461" s="442">
        <v>33</v>
      </c>
      <c r="AE461" s="443">
        <v>39159</v>
      </c>
      <c r="AF461" s="444">
        <f t="shared" si="176"/>
        <v>1292247</v>
      </c>
      <c r="AG461" s="307">
        <v>35</v>
      </c>
      <c r="AH461" s="307">
        <v>38597.085714285713</v>
      </c>
      <c r="AI461" s="445">
        <f t="shared" si="177"/>
        <v>1350898</v>
      </c>
      <c r="AJ461" s="446"/>
      <c r="AK461" s="443"/>
      <c r="AL461" s="444">
        <f t="shared" si="178"/>
        <v>0</v>
      </c>
      <c r="AM461" s="307"/>
      <c r="AN461" s="307"/>
      <c r="AO461" s="447">
        <f t="shared" si="179"/>
        <v>0</v>
      </c>
      <c r="AP461" s="448"/>
      <c r="AQ461" s="443"/>
      <c r="AR461" s="444">
        <f t="shared" si="180"/>
        <v>0</v>
      </c>
      <c r="AS461" s="307"/>
      <c r="AT461" s="307"/>
      <c r="AU461" s="441">
        <f t="shared" si="181"/>
        <v>0</v>
      </c>
      <c r="AV461" s="442"/>
      <c r="AW461" s="443"/>
      <c r="AX461" s="444">
        <f t="shared" si="182"/>
        <v>0</v>
      </c>
      <c r="AY461" s="307"/>
      <c r="AZ461" s="307"/>
      <c r="BA461" s="445">
        <f t="shared" si="183"/>
        <v>0</v>
      </c>
      <c r="BB461" s="442"/>
      <c r="BC461" s="443"/>
      <c r="BD461" s="444">
        <f t="shared" si="184"/>
        <v>0</v>
      </c>
      <c r="BE461" s="307"/>
      <c r="BF461" s="307"/>
      <c r="BG461" s="445">
        <f t="shared" si="185"/>
        <v>0</v>
      </c>
      <c r="BH461" s="442"/>
      <c r="BI461" s="443"/>
      <c r="BJ461" s="444">
        <f t="shared" si="186"/>
        <v>0</v>
      </c>
      <c r="BK461" s="307"/>
      <c r="BL461" s="307"/>
      <c r="BM461" s="445">
        <f t="shared" si="187"/>
        <v>0</v>
      </c>
      <c r="BN461" s="442"/>
      <c r="BO461" s="443"/>
      <c r="BP461" s="444">
        <f t="shared" si="188"/>
        <v>0</v>
      </c>
      <c r="BQ461" s="307"/>
      <c r="BR461" s="307"/>
      <c r="BS461" s="445">
        <f t="shared" si="189"/>
        <v>0</v>
      </c>
      <c r="BT461" s="442"/>
      <c r="BU461" s="443"/>
      <c r="BV461" s="444">
        <f t="shared" si="190"/>
        <v>0</v>
      </c>
      <c r="BW461" s="307"/>
      <c r="BX461" s="307"/>
      <c r="BY461" s="449">
        <f t="shared" si="191"/>
        <v>0</v>
      </c>
    </row>
    <row r="462" spans="1:77" s="308" customFormat="1" ht="12.75" customHeight="1">
      <c r="A462" s="359" t="s">
        <v>346</v>
      </c>
      <c r="B462" s="360" t="s">
        <v>729</v>
      </c>
      <c r="C462" s="547"/>
      <c r="D462" s="361">
        <v>217837</v>
      </c>
      <c r="E462" s="362">
        <v>10</v>
      </c>
      <c r="F462" s="453"/>
      <c r="G462" s="454"/>
      <c r="H462" s="439">
        <f t="shared" si="168"/>
        <v>0</v>
      </c>
      <c r="I462" s="311"/>
      <c r="J462" s="311"/>
      <c r="K462" s="441">
        <f t="shared" si="169"/>
        <v>0</v>
      </c>
      <c r="L462" s="442"/>
      <c r="M462" s="443"/>
      <c r="N462" s="444">
        <f t="shared" si="170"/>
        <v>0</v>
      </c>
      <c r="O462" s="307"/>
      <c r="P462" s="307"/>
      <c r="Q462" s="445">
        <f t="shared" si="171"/>
        <v>0</v>
      </c>
      <c r="R462" s="442"/>
      <c r="S462" s="443"/>
      <c r="T462" s="444">
        <f t="shared" si="172"/>
        <v>0</v>
      </c>
      <c r="U462" s="307"/>
      <c r="V462" s="307"/>
      <c r="W462" s="441">
        <f t="shared" si="173"/>
        <v>0</v>
      </c>
      <c r="X462" s="442"/>
      <c r="Y462" s="443"/>
      <c r="Z462" s="444">
        <f t="shared" si="174"/>
        <v>0</v>
      </c>
      <c r="AA462" s="307"/>
      <c r="AB462" s="307"/>
      <c r="AC462" s="445">
        <f t="shared" si="175"/>
        <v>0</v>
      </c>
      <c r="AD462" s="442">
        <v>30</v>
      </c>
      <c r="AE462" s="443">
        <v>35893.199999999997</v>
      </c>
      <c r="AF462" s="444">
        <f t="shared" si="176"/>
        <v>1076796</v>
      </c>
      <c r="AG462" s="307">
        <v>28</v>
      </c>
      <c r="AH462" s="307">
        <v>35355.5</v>
      </c>
      <c r="AI462" s="445">
        <f t="shared" si="177"/>
        <v>989954</v>
      </c>
      <c r="AJ462" s="446"/>
      <c r="AK462" s="443"/>
      <c r="AL462" s="444">
        <f t="shared" si="178"/>
        <v>0</v>
      </c>
      <c r="AM462" s="307"/>
      <c r="AN462" s="307"/>
      <c r="AO462" s="447">
        <f t="shared" si="179"/>
        <v>0</v>
      </c>
      <c r="AP462" s="448"/>
      <c r="AQ462" s="443"/>
      <c r="AR462" s="444">
        <f t="shared" si="180"/>
        <v>0</v>
      </c>
      <c r="AS462" s="307"/>
      <c r="AT462" s="307"/>
      <c r="AU462" s="441">
        <f t="shared" si="181"/>
        <v>0</v>
      </c>
      <c r="AV462" s="442"/>
      <c r="AW462" s="443"/>
      <c r="AX462" s="444">
        <f t="shared" si="182"/>
        <v>0</v>
      </c>
      <c r="AY462" s="307"/>
      <c r="AZ462" s="307"/>
      <c r="BA462" s="445">
        <f t="shared" si="183"/>
        <v>0</v>
      </c>
      <c r="BB462" s="442"/>
      <c r="BC462" s="443"/>
      <c r="BD462" s="444">
        <f t="shared" si="184"/>
        <v>0</v>
      </c>
      <c r="BE462" s="307"/>
      <c r="BF462" s="307"/>
      <c r="BG462" s="445">
        <f t="shared" si="185"/>
        <v>0</v>
      </c>
      <c r="BH462" s="442"/>
      <c r="BI462" s="443"/>
      <c r="BJ462" s="444">
        <f t="shared" si="186"/>
        <v>0</v>
      </c>
      <c r="BK462" s="307"/>
      <c r="BL462" s="307"/>
      <c r="BM462" s="445">
        <f t="shared" si="187"/>
        <v>0</v>
      </c>
      <c r="BN462" s="442"/>
      <c r="BO462" s="443"/>
      <c r="BP462" s="444">
        <f t="shared" si="188"/>
        <v>0</v>
      </c>
      <c r="BQ462" s="307"/>
      <c r="BR462" s="307"/>
      <c r="BS462" s="445">
        <f t="shared" si="189"/>
        <v>0</v>
      </c>
      <c r="BT462" s="442"/>
      <c r="BU462" s="443"/>
      <c r="BV462" s="444">
        <f t="shared" si="190"/>
        <v>0</v>
      </c>
      <c r="BW462" s="307"/>
      <c r="BX462" s="307"/>
      <c r="BY462" s="449">
        <f t="shared" si="191"/>
        <v>0</v>
      </c>
    </row>
    <row r="463" spans="1:77" s="308" customFormat="1" ht="12.75" customHeight="1">
      <c r="A463" s="359" t="s">
        <v>346</v>
      </c>
      <c r="B463" s="360" t="s">
        <v>612</v>
      </c>
      <c r="C463" s="547"/>
      <c r="D463" s="361">
        <v>217712</v>
      </c>
      <c r="E463" s="362">
        <v>10</v>
      </c>
      <c r="F463" s="453"/>
      <c r="G463" s="454"/>
      <c r="H463" s="439">
        <f t="shared" si="168"/>
        <v>0</v>
      </c>
      <c r="I463" s="311"/>
      <c r="J463" s="311"/>
      <c r="K463" s="441">
        <f t="shared" si="169"/>
        <v>0</v>
      </c>
      <c r="L463" s="442"/>
      <c r="M463" s="443"/>
      <c r="N463" s="444">
        <f t="shared" si="170"/>
        <v>0</v>
      </c>
      <c r="O463" s="307"/>
      <c r="P463" s="307"/>
      <c r="Q463" s="445">
        <f t="shared" si="171"/>
        <v>0</v>
      </c>
      <c r="R463" s="442"/>
      <c r="S463" s="443"/>
      <c r="T463" s="444">
        <f t="shared" si="172"/>
        <v>0</v>
      </c>
      <c r="U463" s="307"/>
      <c r="V463" s="307"/>
      <c r="W463" s="441">
        <f t="shared" si="173"/>
        <v>0</v>
      </c>
      <c r="X463" s="442"/>
      <c r="Y463" s="443"/>
      <c r="Z463" s="444">
        <f t="shared" si="174"/>
        <v>0</v>
      </c>
      <c r="AA463" s="307"/>
      <c r="AB463" s="307"/>
      <c r="AC463" s="445">
        <f t="shared" si="175"/>
        <v>0</v>
      </c>
      <c r="AD463" s="442">
        <v>48</v>
      </c>
      <c r="AE463" s="443">
        <v>49645.625</v>
      </c>
      <c r="AF463" s="444">
        <f t="shared" si="176"/>
        <v>2382990</v>
      </c>
      <c r="AG463" s="307">
        <v>48</v>
      </c>
      <c r="AH463" s="307">
        <v>49363.979166666664</v>
      </c>
      <c r="AI463" s="445">
        <f t="shared" si="177"/>
        <v>2369471</v>
      </c>
      <c r="AJ463" s="446"/>
      <c r="AK463" s="443"/>
      <c r="AL463" s="444">
        <f t="shared" si="178"/>
        <v>0</v>
      </c>
      <c r="AM463" s="307"/>
      <c r="AN463" s="307"/>
      <c r="AO463" s="447">
        <f t="shared" si="179"/>
        <v>0</v>
      </c>
      <c r="AP463" s="448"/>
      <c r="AQ463" s="443"/>
      <c r="AR463" s="444">
        <f t="shared" si="180"/>
        <v>0</v>
      </c>
      <c r="AS463" s="307"/>
      <c r="AT463" s="307"/>
      <c r="AU463" s="441">
        <f t="shared" si="181"/>
        <v>0</v>
      </c>
      <c r="AV463" s="442"/>
      <c r="AW463" s="443"/>
      <c r="AX463" s="444">
        <f t="shared" si="182"/>
        <v>0</v>
      </c>
      <c r="AY463" s="307"/>
      <c r="AZ463" s="307"/>
      <c r="BA463" s="445">
        <f t="shared" si="183"/>
        <v>0</v>
      </c>
      <c r="BB463" s="442"/>
      <c r="BC463" s="443"/>
      <c r="BD463" s="444">
        <f t="shared" si="184"/>
        <v>0</v>
      </c>
      <c r="BE463" s="307"/>
      <c r="BF463" s="307"/>
      <c r="BG463" s="445">
        <f t="shared" si="185"/>
        <v>0</v>
      </c>
      <c r="BH463" s="442"/>
      <c r="BI463" s="443"/>
      <c r="BJ463" s="444">
        <f t="shared" si="186"/>
        <v>0</v>
      </c>
      <c r="BK463" s="307"/>
      <c r="BL463" s="307"/>
      <c r="BM463" s="445">
        <f t="shared" si="187"/>
        <v>0</v>
      </c>
      <c r="BN463" s="442"/>
      <c r="BO463" s="443"/>
      <c r="BP463" s="444">
        <f t="shared" si="188"/>
        <v>0</v>
      </c>
      <c r="BQ463" s="307"/>
      <c r="BR463" s="307"/>
      <c r="BS463" s="445">
        <f t="shared" si="189"/>
        <v>0</v>
      </c>
      <c r="BT463" s="442"/>
      <c r="BU463" s="443"/>
      <c r="BV463" s="444">
        <f t="shared" si="190"/>
        <v>0</v>
      </c>
      <c r="BW463" s="307"/>
      <c r="BX463" s="307"/>
      <c r="BY463" s="449">
        <f t="shared" si="191"/>
        <v>0</v>
      </c>
    </row>
    <row r="464" spans="1:77" s="308" customFormat="1" ht="12.75" customHeight="1">
      <c r="A464" s="359" t="s">
        <v>346</v>
      </c>
      <c r="B464" s="360" t="s">
        <v>613</v>
      </c>
      <c r="C464" s="547"/>
      <c r="D464" s="361">
        <v>218672</v>
      </c>
      <c r="E464" s="362">
        <v>10</v>
      </c>
      <c r="F464" s="453">
        <v>5</v>
      </c>
      <c r="G464" s="454">
        <v>64133.8</v>
      </c>
      <c r="H464" s="439">
        <f t="shared" si="168"/>
        <v>320669</v>
      </c>
      <c r="I464" s="311">
        <v>5</v>
      </c>
      <c r="J464" s="311">
        <v>64343.8</v>
      </c>
      <c r="K464" s="441">
        <f t="shared" si="169"/>
        <v>321719</v>
      </c>
      <c r="L464" s="442">
        <v>3</v>
      </c>
      <c r="M464" s="443">
        <v>56277</v>
      </c>
      <c r="N464" s="444">
        <f t="shared" si="170"/>
        <v>168831</v>
      </c>
      <c r="O464" s="307">
        <v>3</v>
      </c>
      <c r="P464" s="307">
        <v>56277</v>
      </c>
      <c r="Q464" s="445">
        <f t="shared" si="171"/>
        <v>168831</v>
      </c>
      <c r="R464" s="442">
        <v>16</v>
      </c>
      <c r="S464" s="443">
        <v>46778.25</v>
      </c>
      <c r="T464" s="444">
        <f t="shared" si="172"/>
        <v>748452</v>
      </c>
      <c r="U464" s="307">
        <v>16</v>
      </c>
      <c r="V464" s="307">
        <v>46750.125</v>
      </c>
      <c r="W464" s="441">
        <f t="shared" si="173"/>
        <v>748002</v>
      </c>
      <c r="X464" s="442">
        <v>20</v>
      </c>
      <c r="Y464" s="443">
        <v>45517.85</v>
      </c>
      <c r="Z464" s="444">
        <f t="shared" si="174"/>
        <v>910357</v>
      </c>
      <c r="AA464" s="307">
        <v>18</v>
      </c>
      <c r="AB464" s="307">
        <v>46715.333333333336</v>
      </c>
      <c r="AC464" s="445">
        <f t="shared" si="175"/>
        <v>840876</v>
      </c>
      <c r="AD464" s="442"/>
      <c r="AE464" s="443"/>
      <c r="AF464" s="444">
        <f t="shared" si="176"/>
        <v>0</v>
      </c>
      <c r="AG464" s="307"/>
      <c r="AH464" s="307"/>
      <c r="AI464" s="445">
        <f t="shared" si="177"/>
        <v>0</v>
      </c>
      <c r="AJ464" s="446"/>
      <c r="AK464" s="443"/>
      <c r="AL464" s="444">
        <f t="shared" si="178"/>
        <v>0</v>
      </c>
      <c r="AM464" s="307"/>
      <c r="AN464" s="307"/>
      <c r="AO464" s="447">
        <f t="shared" si="179"/>
        <v>0</v>
      </c>
      <c r="AP464" s="448"/>
      <c r="AQ464" s="443"/>
      <c r="AR464" s="444">
        <f t="shared" si="180"/>
        <v>0</v>
      </c>
      <c r="AS464" s="307"/>
      <c r="AT464" s="307"/>
      <c r="AU464" s="441">
        <f t="shared" si="181"/>
        <v>0</v>
      </c>
      <c r="AV464" s="442">
        <v>1</v>
      </c>
      <c r="AW464" s="443">
        <v>71556</v>
      </c>
      <c r="AX464" s="444">
        <f t="shared" si="182"/>
        <v>58547.119200000001</v>
      </c>
      <c r="AY464" s="307">
        <v>1</v>
      </c>
      <c r="AZ464" s="307">
        <v>71556</v>
      </c>
      <c r="BA464" s="445">
        <f t="shared" si="183"/>
        <v>58547.119200000001</v>
      </c>
      <c r="BB464" s="442"/>
      <c r="BC464" s="443"/>
      <c r="BD464" s="444">
        <f t="shared" si="184"/>
        <v>0</v>
      </c>
      <c r="BE464" s="307">
        <v>1</v>
      </c>
      <c r="BF464" s="307">
        <v>60600</v>
      </c>
      <c r="BG464" s="445">
        <f t="shared" si="185"/>
        <v>49582.920000000006</v>
      </c>
      <c r="BH464" s="442">
        <v>1</v>
      </c>
      <c r="BI464" s="443">
        <v>40400</v>
      </c>
      <c r="BJ464" s="444">
        <f t="shared" si="186"/>
        <v>33055.279999999999</v>
      </c>
      <c r="BK464" s="307">
        <v>2</v>
      </c>
      <c r="BL464" s="307">
        <v>61950</v>
      </c>
      <c r="BM464" s="445">
        <f t="shared" si="187"/>
        <v>101374.98000000001</v>
      </c>
      <c r="BN464" s="442"/>
      <c r="BO464" s="443"/>
      <c r="BP464" s="444">
        <f t="shared" si="188"/>
        <v>0</v>
      </c>
      <c r="BQ464" s="307"/>
      <c r="BR464" s="307"/>
      <c r="BS464" s="445">
        <f t="shared" si="189"/>
        <v>0</v>
      </c>
      <c r="BT464" s="442"/>
      <c r="BU464" s="443"/>
      <c r="BV464" s="444">
        <f t="shared" si="190"/>
        <v>0</v>
      </c>
      <c r="BW464" s="307"/>
      <c r="BX464" s="307"/>
      <c r="BY464" s="449">
        <f t="shared" si="191"/>
        <v>0</v>
      </c>
    </row>
    <row r="465" spans="1:77" s="308" customFormat="1" ht="12.75" customHeight="1">
      <c r="A465" s="359" t="s">
        <v>346</v>
      </c>
      <c r="B465" s="360" t="s">
        <v>614</v>
      </c>
      <c r="C465" s="547"/>
      <c r="D465" s="361">
        <v>218681</v>
      </c>
      <c r="E465" s="362">
        <v>10</v>
      </c>
      <c r="F465" s="453">
        <v>1</v>
      </c>
      <c r="G465" s="454">
        <v>57256</v>
      </c>
      <c r="H465" s="439">
        <f t="shared" si="168"/>
        <v>57256</v>
      </c>
      <c r="I465" s="311">
        <v>1</v>
      </c>
      <c r="J465" s="311">
        <v>57256</v>
      </c>
      <c r="K465" s="441">
        <f t="shared" si="169"/>
        <v>57256</v>
      </c>
      <c r="L465" s="442">
        <v>2</v>
      </c>
      <c r="M465" s="443">
        <v>50883</v>
      </c>
      <c r="N465" s="444">
        <f t="shared" si="170"/>
        <v>101766</v>
      </c>
      <c r="O465" s="307">
        <v>2</v>
      </c>
      <c r="P465" s="307">
        <v>50883</v>
      </c>
      <c r="Q465" s="445">
        <f t="shared" si="171"/>
        <v>101766</v>
      </c>
      <c r="R465" s="442">
        <v>7</v>
      </c>
      <c r="S465" s="443">
        <v>44393.428571428572</v>
      </c>
      <c r="T465" s="444">
        <f t="shared" si="172"/>
        <v>310754</v>
      </c>
      <c r="U465" s="307">
        <v>11</v>
      </c>
      <c r="V465" s="307">
        <v>45377.090909090912</v>
      </c>
      <c r="W465" s="441">
        <f t="shared" si="173"/>
        <v>499148</v>
      </c>
      <c r="X465" s="442">
        <v>5</v>
      </c>
      <c r="Y465" s="443">
        <v>42244.800000000003</v>
      </c>
      <c r="Z465" s="444">
        <f t="shared" si="174"/>
        <v>211224</v>
      </c>
      <c r="AA465" s="307">
        <v>3</v>
      </c>
      <c r="AB465" s="307">
        <v>39946.333333333336</v>
      </c>
      <c r="AC465" s="445">
        <f t="shared" si="175"/>
        <v>119839</v>
      </c>
      <c r="AD465" s="442"/>
      <c r="AE465" s="443"/>
      <c r="AF465" s="444">
        <f t="shared" si="176"/>
        <v>0</v>
      </c>
      <c r="AG465" s="307"/>
      <c r="AH465" s="307"/>
      <c r="AI465" s="445">
        <f t="shared" si="177"/>
        <v>0</v>
      </c>
      <c r="AJ465" s="446"/>
      <c r="AK465" s="443"/>
      <c r="AL465" s="444">
        <f t="shared" si="178"/>
        <v>0</v>
      </c>
      <c r="AM465" s="307"/>
      <c r="AN465" s="307"/>
      <c r="AO465" s="447">
        <f t="shared" si="179"/>
        <v>0</v>
      </c>
      <c r="AP465" s="448"/>
      <c r="AQ465" s="443"/>
      <c r="AR465" s="444">
        <f t="shared" si="180"/>
        <v>0</v>
      </c>
      <c r="AS465" s="307"/>
      <c r="AT465" s="307"/>
      <c r="AU465" s="441">
        <f t="shared" si="181"/>
        <v>0</v>
      </c>
      <c r="AV465" s="442">
        <v>1</v>
      </c>
      <c r="AW465" s="443">
        <v>42901</v>
      </c>
      <c r="AX465" s="444">
        <f t="shared" si="182"/>
        <v>35101.5982</v>
      </c>
      <c r="AY465" s="307">
        <v>1</v>
      </c>
      <c r="AZ465" s="307">
        <v>42901</v>
      </c>
      <c r="BA465" s="445">
        <f t="shared" si="183"/>
        <v>35101.5982</v>
      </c>
      <c r="BB465" s="442"/>
      <c r="BC465" s="443"/>
      <c r="BD465" s="444">
        <f t="shared" si="184"/>
        <v>0</v>
      </c>
      <c r="BE465" s="307"/>
      <c r="BF465" s="307"/>
      <c r="BG465" s="445">
        <f t="shared" si="185"/>
        <v>0</v>
      </c>
      <c r="BH465" s="442"/>
      <c r="BI465" s="443"/>
      <c r="BJ465" s="444">
        <f t="shared" si="186"/>
        <v>0</v>
      </c>
      <c r="BK465" s="307">
        <v>1</v>
      </c>
      <c r="BL465" s="307">
        <v>40000</v>
      </c>
      <c r="BM465" s="445">
        <f t="shared" si="187"/>
        <v>32728</v>
      </c>
      <c r="BN465" s="442">
        <v>1</v>
      </c>
      <c r="BO465" s="443">
        <v>84817</v>
      </c>
      <c r="BP465" s="444">
        <f t="shared" si="188"/>
        <v>69397.269400000005</v>
      </c>
      <c r="BQ465" s="307"/>
      <c r="BR465" s="307"/>
      <c r="BS465" s="445">
        <f t="shared" si="189"/>
        <v>0</v>
      </c>
      <c r="BT465" s="442"/>
      <c r="BU465" s="443"/>
      <c r="BV465" s="444">
        <f t="shared" si="190"/>
        <v>0</v>
      </c>
      <c r="BW465" s="307"/>
      <c r="BX465" s="307"/>
      <c r="BY465" s="449">
        <f t="shared" si="191"/>
        <v>0</v>
      </c>
    </row>
    <row r="466" spans="1:77" s="308" customFormat="1" ht="12.75" customHeight="1">
      <c r="A466" s="359" t="s">
        <v>346</v>
      </c>
      <c r="B466" s="360" t="s">
        <v>615</v>
      </c>
      <c r="C466" s="547"/>
      <c r="D466" s="361">
        <v>218690</v>
      </c>
      <c r="E466" s="362">
        <v>10</v>
      </c>
      <c r="F466" s="453">
        <v>8</v>
      </c>
      <c r="G466" s="454">
        <v>67835.25</v>
      </c>
      <c r="H466" s="439">
        <f t="shared" si="168"/>
        <v>542682</v>
      </c>
      <c r="I466" s="311">
        <v>8</v>
      </c>
      <c r="J466" s="311">
        <v>67906.375</v>
      </c>
      <c r="K466" s="441">
        <f t="shared" si="169"/>
        <v>543251</v>
      </c>
      <c r="L466" s="442">
        <v>14</v>
      </c>
      <c r="M466" s="443">
        <v>55644.357142857145</v>
      </c>
      <c r="N466" s="444">
        <f t="shared" si="170"/>
        <v>779021</v>
      </c>
      <c r="O466" s="307">
        <v>13</v>
      </c>
      <c r="P466" s="307">
        <v>55566.461538461539</v>
      </c>
      <c r="Q466" s="445">
        <f t="shared" si="171"/>
        <v>722364</v>
      </c>
      <c r="R466" s="442">
        <v>8</v>
      </c>
      <c r="S466" s="443">
        <v>46587</v>
      </c>
      <c r="T466" s="444">
        <f t="shared" si="172"/>
        <v>372696</v>
      </c>
      <c r="U466" s="307">
        <v>7</v>
      </c>
      <c r="V466" s="307">
        <v>46969.714285714283</v>
      </c>
      <c r="W466" s="441">
        <f t="shared" si="173"/>
        <v>328788</v>
      </c>
      <c r="X466" s="442">
        <v>17</v>
      </c>
      <c r="Y466" s="443">
        <v>33924.882352941175</v>
      </c>
      <c r="Z466" s="444">
        <f t="shared" si="174"/>
        <v>576723</v>
      </c>
      <c r="AA466" s="307">
        <v>18</v>
      </c>
      <c r="AB466" s="307">
        <v>33887.388888888891</v>
      </c>
      <c r="AC466" s="445">
        <f t="shared" si="175"/>
        <v>609973</v>
      </c>
      <c r="AD466" s="442"/>
      <c r="AE466" s="443"/>
      <c r="AF466" s="444">
        <f t="shared" si="176"/>
        <v>0</v>
      </c>
      <c r="AG466" s="307"/>
      <c r="AH466" s="307"/>
      <c r="AI466" s="445">
        <f t="shared" si="177"/>
        <v>0</v>
      </c>
      <c r="AJ466" s="446"/>
      <c r="AK466" s="443"/>
      <c r="AL466" s="444">
        <f t="shared" si="178"/>
        <v>0</v>
      </c>
      <c r="AM466" s="307"/>
      <c r="AN466" s="307"/>
      <c r="AO466" s="447">
        <f t="shared" si="179"/>
        <v>0</v>
      </c>
      <c r="AP466" s="448">
        <v>2</v>
      </c>
      <c r="AQ466" s="443">
        <v>88050</v>
      </c>
      <c r="AR466" s="444">
        <f t="shared" si="180"/>
        <v>144085.02000000002</v>
      </c>
      <c r="AS466" s="307">
        <v>2</v>
      </c>
      <c r="AT466" s="307">
        <v>88050</v>
      </c>
      <c r="AU466" s="441">
        <f t="shared" si="181"/>
        <v>144085.02000000002</v>
      </c>
      <c r="AV466" s="442">
        <v>2</v>
      </c>
      <c r="AW466" s="443">
        <v>78311</v>
      </c>
      <c r="AX466" s="444">
        <f t="shared" si="182"/>
        <v>128148.1204</v>
      </c>
      <c r="AY466" s="307">
        <v>2</v>
      </c>
      <c r="AZ466" s="307">
        <v>78311</v>
      </c>
      <c r="BA466" s="445">
        <f t="shared" si="183"/>
        <v>128148.1204</v>
      </c>
      <c r="BB466" s="442"/>
      <c r="BC466" s="443"/>
      <c r="BD466" s="444">
        <f t="shared" si="184"/>
        <v>0</v>
      </c>
      <c r="BE466" s="307"/>
      <c r="BF466" s="307"/>
      <c r="BG466" s="445">
        <f t="shared" si="185"/>
        <v>0</v>
      </c>
      <c r="BH466" s="442"/>
      <c r="BI466" s="443"/>
      <c r="BJ466" s="444">
        <f t="shared" si="186"/>
        <v>0</v>
      </c>
      <c r="BK466" s="307"/>
      <c r="BL466" s="307"/>
      <c r="BM466" s="445">
        <f t="shared" si="187"/>
        <v>0</v>
      </c>
      <c r="BN466" s="442"/>
      <c r="BO466" s="443"/>
      <c r="BP466" s="444">
        <f t="shared" si="188"/>
        <v>0</v>
      </c>
      <c r="BQ466" s="307"/>
      <c r="BR466" s="307"/>
      <c r="BS466" s="445">
        <f t="shared" si="189"/>
        <v>0</v>
      </c>
      <c r="BT466" s="442"/>
      <c r="BU466" s="443"/>
      <c r="BV466" s="444">
        <f t="shared" si="190"/>
        <v>0</v>
      </c>
      <c r="BW466" s="307"/>
      <c r="BX466" s="307"/>
      <c r="BY466" s="449">
        <f t="shared" si="191"/>
        <v>0</v>
      </c>
    </row>
    <row r="467" spans="1:77" s="308" customFormat="1" ht="12.75" customHeight="1">
      <c r="A467" s="359" t="s">
        <v>346</v>
      </c>
      <c r="B467" s="360" t="s">
        <v>616</v>
      </c>
      <c r="C467" s="547"/>
      <c r="D467" s="361">
        <v>218706</v>
      </c>
      <c r="E467" s="362">
        <v>10</v>
      </c>
      <c r="F467" s="453"/>
      <c r="G467" s="454"/>
      <c r="H467" s="439">
        <f t="shared" si="168"/>
        <v>0</v>
      </c>
      <c r="I467" s="311"/>
      <c r="J467" s="311"/>
      <c r="K467" s="441">
        <f t="shared" si="169"/>
        <v>0</v>
      </c>
      <c r="L467" s="442"/>
      <c r="M467" s="443"/>
      <c r="N467" s="444">
        <f t="shared" si="170"/>
        <v>0</v>
      </c>
      <c r="O467" s="307"/>
      <c r="P467" s="307"/>
      <c r="Q467" s="445">
        <f t="shared" si="171"/>
        <v>0</v>
      </c>
      <c r="R467" s="442">
        <v>3</v>
      </c>
      <c r="S467" s="443">
        <v>47926.333333333336</v>
      </c>
      <c r="T467" s="444">
        <f t="shared" si="172"/>
        <v>143779</v>
      </c>
      <c r="U467" s="307">
        <v>4</v>
      </c>
      <c r="V467" s="307">
        <v>49194.75</v>
      </c>
      <c r="W467" s="441">
        <f t="shared" si="173"/>
        <v>196779</v>
      </c>
      <c r="X467" s="442">
        <v>4</v>
      </c>
      <c r="Y467" s="443">
        <v>45810</v>
      </c>
      <c r="Z467" s="444">
        <f t="shared" si="174"/>
        <v>183240</v>
      </c>
      <c r="AA467" s="307">
        <v>6</v>
      </c>
      <c r="AB467" s="307">
        <v>52081.166666666664</v>
      </c>
      <c r="AC467" s="445">
        <f t="shared" si="175"/>
        <v>312487</v>
      </c>
      <c r="AD467" s="442"/>
      <c r="AE467" s="443"/>
      <c r="AF467" s="444">
        <f t="shared" si="176"/>
        <v>0</v>
      </c>
      <c r="AG467" s="307"/>
      <c r="AH467" s="307"/>
      <c r="AI467" s="445">
        <f t="shared" si="177"/>
        <v>0</v>
      </c>
      <c r="AJ467" s="446"/>
      <c r="AK467" s="443"/>
      <c r="AL467" s="444">
        <f t="shared" si="178"/>
        <v>0</v>
      </c>
      <c r="AM467" s="307"/>
      <c r="AN467" s="307"/>
      <c r="AO467" s="447">
        <f t="shared" si="179"/>
        <v>0</v>
      </c>
      <c r="AP467" s="448"/>
      <c r="AQ467" s="443"/>
      <c r="AR467" s="444">
        <f t="shared" si="180"/>
        <v>0</v>
      </c>
      <c r="AS467" s="307"/>
      <c r="AT467" s="307"/>
      <c r="AU467" s="441">
        <f t="shared" si="181"/>
        <v>0</v>
      </c>
      <c r="AV467" s="442"/>
      <c r="AW467" s="443"/>
      <c r="AX467" s="444">
        <f t="shared" si="182"/>
        <v>0</v>
      </c>
      <c r="AY467" s="307"/>
      <c r="AZ467" s="307"/>
      <c r="BA467" s="445">
        <f t="shared" si="183"/>
        <v>0</v>
      </c>
      <c r="BB467" s="442"/>
      <c r="BC467" s="443"/>
      <c r="BD467" s="444">
        <f t="shared" si="184"/>
        <v>0</v>
      </c>
      <c r="BE467" s="307"/>
      <c r="BF467" s="307"/>
      <c r="BG467" s="445">
        <f t="shared" si="185"/>
        <v>0</v>
      </c>
      <c r="BH467" s="442"/>
      <c r="BI467" s="443"/>
      <c r="BJ467" s="444">
        <f t="shared" si="186"/>
        <v>0</v>
      </c>
      <c r="BK467" s="307"/>
      <c r="BL467" s="307"/>
      <c r="BM467" s="445">
        <f t="shared" si="187"/>
        <v>0</v>
      </c>
      <c r="BN467" s="442"/>
      <c r="BO467" s="443"/>
      <c r="BP467" s="444">
        <f t="shared" si="188"/>
        <v>0</v>
      </c>
      <c r="BQ467" s="307"/>
      <c r="BR467" s="307"/>
      <c r="BS467" s="445">
        <f t="shared" si="189"/>
        <v>0</v>
      </c>
      <c r="BT467" s="442"/>
      <c r="BU467" s="443"/>
      <c r="BV467" s="444">
        <f t="shared" si="190"/>
        <v>0</v>
      </c>
      <c r="BW467" s="307"/>
      <c r="BX467" s="307"/>
      <c r="BY467" s="449">
        <f t="shared" si="191"/>
        <v>0</v>
      </c>
    </row>
    <row r="468" spans="1:77" s="308" customFormat="1" ht="12.75" customHeight="1">
      <c r="A468" s="359" t="s">
        <v>346</v>
      </c>
      <c r="B468" s="360" t="s">
        <v>617</v>
      </c>
      <c r="C468" s="547"/>
      <c r="D468" s="361">
        <v>218955</v>
      </c>
      <c r="E468" s="362">
        <v>10</v>
      </c>
      <c r="F468" s="453"/>
      <c r="G468" s="454"/>
      <c r="H468" s="439">
        <f t="shared" si="168"/>
        <v>0</v>
      </c>
      <c r="I468" s="311"/>
      <c r="J468" s="311"/>
      <c r="K468" s="441">
        <f t="shared" si="169"/>
        <v>0</v>
      </c>
      <c r="L468" s="442"/>
      <c r="M468" s="443"/>
      <c r="N468" s="444">
        <f t="shared" si="170"/>
        <v>0</v>
      </c>
      <c r="O468" s="307"/>
      <c r="P468" s="307"/>
      <c r="Q468" s="445">
        <f t="shared" si="171"/>
        <v>0</v>
      </c>
      <c r="R468" s="442"/>
      <c r="S468" s="443"/>
      <c r="T468" s="444">
        <f t="shared" si="172"/>
        <v>0</v>
      </c>
      <c r="U468" s="307"/>
      <c r="V468" s="307"/>
      <c r="W468" s="441">
        <f t="shared" si="173"/>
        <v>0</v>
      </c>
      <c r="X468" s="442"/>
      <c r="Y468" s="443"/>
      <c r="Z468" s="444">
        <f t="shared" si="174"/>
        <v>0</v>
      </c>
      <c r="AA468" s="307"/>
      <c r="AB468" s="307"/>
      <c r="AC468" s="445">
        <f t="shared" si="175"/>
        <v>0</v>
      </c>
      <c r="AD468" s="442">
        <v>18</v>
      </c>
      <c r="AE468" s="443">
        <v>34557.388888888891</v>
      </c>
      <c r="AF468" s="444">
        <f t="shared" si="176"/>
        <v>622033</v>
      </c>
      <c r="AG468" s="307">
        <v>18</v>
      </c>
      <c r="AH468" s="307">
        <v>35408.777777777781</v>
      </c>
      <c r="AI468" s="445">
        <f t="shared" si="177"/>
        <v>637358</v>
      </c>
      <c r="AJ468" s="446"/>
      <c r="AK468" s="443"/>
      <c r="AL468" s="444">
        <f t="shared" si="178"/>
        <v>0</v>
      </c>
      <c r="AM468" s="307"/>
      <c r="AN468" s="307"/>
      <c r="AO468" s="447">
        <f t="shared" si="179"/>
        <v>0</v>
      </c>
      <c r="AP468" s="448"/>
      <c r="AQ468" s="443"/>
      <c r="AR468" s="444">
        <f t="shared" si="180"/>
        <v>0</v>
      </c>
      <c r="AS468" s="307"/>
      <c r="AT468" s="307"/>
      <c r="AU468" s="441">
        <f t="shared" si="181"/>
        <v>0</v>
      </c>
      <c r="AV468" s="442"/>
      <c r="AW468" s="443"/>
      <c r="AX468" s="444">
        <f t="shared" si="182"/>
        <v>0</v>
      </c>
      <c r="AY468" s="307"/>
      <c r="AZ468" s="307"/>
      <c r="BA468" s="445">
        <f t="shared" si="183"/>
        <v>0</v>
      </c>
      <c r="BB468" s="442"/>
      <c r="BC468" s="443"/>
      <c r="BD468" s="444">
        <f t="shared" si="184"/>
        <v>0</v>
      </c>
      <c r="BE468" s="307"/>
      <c r="BF468" s="307"/>
      <c r="BG468" s="445">
        <f t="shared" si="185"/>
        <v>0</v>
      </c>
      <c r="BH468" s="442"/>
      <c r="BI468" s="443"/>
      <c r="BJ468" s="444">
        <f t="shared" si="186"/>
        <v>0</v>
      </c>
      <c r="BK468" s="307"/>
      <c r="BL468" s="307"/>
      <c r="BM468" s="445">
        <f t="shared" si="187"/>
        <v>0</v>
      </c>
      <c r="BN468" s="442"/>
      <c r="BO468" s="443"/>
      <c r="BP468" s="444">
        <f t="shared" si="188"/>
        <v>0</v>
      </c>
      <c r="BQ468" s="307"/>
      <c r="BR468" s="307"/>
      <c r="BS468" s="445">
        <f t="shared" si="189"/>
        <v>0</v>
      </c>
      <c r="BT468" s="442"/>
      <c r="BU468" s="443"/>
      <c r="BV468" s="444">
        <f t="shared" si="190"/>
        <v>0</v>
      </c>
      <c r="BW468" s="307"/>
      <c r="BX468" s="307"/>
      <c r="BY468" s="449">
        <f t="shared" si="191"/>
        <v>0</v>
      </c>
    </row>
    <row r="469" spans="1:77" s="308" customFormat="1" ht="12.75" customHeight="1">
      <c r="A469" s="365" t="s">
        <v>310</v>
      </c>
      <c r="B469" s="366" t="s">
        <v>7</v>
      </c>
      <c r="C469" s="366"/>
      <c r="D469" s="367">
        <v>220862</v>
      </c>
      <c r="E469" s="368">
        <v>1</v>
      </c>
      <c r="F469" s="453">
        <v>219</v>
      </c>
      <c r="G469" s="454">
        <v>98271.881278538815</v>
      </c>
      <c r="H469" s="439">
        <f t="shared" si="168"/>
        <v>21521542</v>
      </c>
      <c r="I469" s="311">
        <v>218</v>
      </c>
      <c r="J469" s="311">
        <v>98324.839449541279</v>
      </c>
      <c r="K469" s="441">
        <f t="shared" si="169"/>
        <v>21434815</v>
      </c>
      <c r="L469" s="442">
        <v>236</v>
      </c>
      <c r="M469" s="443">
        <v>70545.995762711871</v>
      </c>
      <c r="N469" s="444">
        <f t="shared" si="170"/>
        <v>16648855.000000002</v>
      </c>
      <c r="O469" s="307">
        <v>229</v>
      </c>
      <c r="P469" s="307">
        <v>69998.27510917031</v>
      </c>
      <c r="Q469" s="445">
        <f t="shared" si="171"/>
        <v>16029605.000000002</v>
      </c>
      <c r="R469" s="442">
        <v>222</v>
      </c>
      <c r="S469" s="443">
        <v>59677.842342342345</v>
      </c>
      <c r="T469" s="444">
        <f t="shared" si="172"/>
        <v>13248481</v>
      </c>
      <c r="U469" s="307">
        <v>225</v>
      </c>
      <c r="V469" s="307">
        <v>60439.16</v>
      </c>
      <c r="W469" s="441">
        <f t="shared" si="173"/>
        <v>13598811</v>
      </c>
      <c r="X469" s="442">
        <v>95</v>
      </c>
      <c r="Y469" s="443">
        <v>40551.863157894739</v>
      </c>
      <c r="Z469" s="444">
        <f t="shared" si="174"/>
        <v>3852427</v>
      </c>
      <c r="AA469" s="307">
        <v>94</v>
      </c>
      <c r="AB469" s="307">
        <v>41254.042553191488</v>
      </c>
      <c r="AC469" s="445">
        <f t="shared" si="175"/>
        <v>3877880</v>
      </c>
      <c r="AD469" s="442">
        <v>18</v>
      </c>
      <c r="AE469" s="443">
        <v>44558.5</v>
      </c>
      <c r="AF469" s="444">
        <f t="shared" si="176"/>
        <v>802053</v>
      </c>
      <c r="AG469" s="307">
        <v>21</v>
      </c>
      <c r="AH469" s="307">
        <v>44542.142857142855</v>
      </c>
      <c r="AI469" s="445">
        <f t="shared" si="177"/>
        <v>935385</v>
      </c>
      <c r="AJ469" s="446"/>
      <c r="AK469" s="443"/>
      <c r="AL469" s="444">
        <f t="shared" si="178"/>
        <v>0</v>
      </c>
      <c r="AM469" s="307"/>
      <c r="AN469" s="307"/>
      <c r="AO469" s="447">
        <f t="shared" si="179"/>
        <v>0</v>
      </c>
      <c r="AP469" s="448">
        <v>23</v>
      </c>
      <c r="AQ469" s="443">
        <v>137260.82608695651</v>
      </c>
      <c r="AR469" s="444">
        <f t="shared" si="180"/>
        <v>2583056.5818000003</v>
      </c>
      <c r="AS469" s="307">
        <v>23</v>
      </c>
      <c r="AT469" s="307">
        <v>137091.78260869565</v>
      </c>
      <c r="AU469" s="441">
        <f t="shared" si="181"/>
        <v>2579875.4202000001</v>
      </c>
      <c r="AV469" s="442">
        <v>16</v>
      </c>
      <c r="AW469" s="443">
        <v>71829.75</v>
      </c>
      <c r="AX469" s="444">
        <f t="shared" si="182"/>
        <v>940337.62320000003</v>
      </c>
      <c r="AY469" s="307">
        <v>14</v>
      </c>
      <c r="AZ469" s="307">
        <v>72870.428571428565</v>
      </c>
      <c r="BA469" s="445">
        <f t="shared" si="183"/>
        <v>834716.18519999995</v>
      </c>
      <c r="BB469" s="442">
        <v>13</v>
      </c>
      <c r="BC469" s="443">
        <v>64238.076923076922</v>
      </c>
      <c r="BD469" s="444">
        <f t="shared" si="184"/>
        <v>683274.72900000005</v>
      </c>
      <c r="BE469" s="307">
        <v>19</v>
      </c>
      <c r="BF469" s="307">
        <v>60667.15789473684</v>
      </c>
      <c r="BG469" s="445">
        <f t="shared" si="185"/>
        <v>943119.50320000004</v>
      </c>
      <c r="BH469" s="442">
        <v>14</v>
      </c>
      <c r="BI469" s="443">
        <v>52401.142857142855</v>
      </c>
      <c r="BJ469" s="444">
        <f t="shared" si="186"/>
        <v>600244.61120000004</v>
      </c>
      <c r="BK469" s="307">
        <v>14</v>
      </c>
      <c r="BL469" s="307">
        <v>51800.714285714283</v>
      </c>
      <c r="BM469" s="445">
        <f t="shared" si="187"/>
        <v>593366.82200000004</v>
      </c>
      <c r="BN469" s="371">
        <v>5</v>
      </c>
      <c r="BO469" s="372">
        <v>36675</v>
      </c>
      <c r="BP469" s="444">
        <f t="shared" si="188"/>
        <v>150037.42500000002</v>
      </c>
      <c r="BQ469" s="307">
        <v>5</v>
      </c>
      <c r="BR469" s="307">
        <v>36675</v>
      </c>
      <c r="BS469" s="445">
        <f t="shared" si="189"/>
        <v>150037.42500000002</v>
      </c>
      <c r="BT469" s="371"/>
      <c r="BU469" s="372"/>
      <c r="BV469" s="444">
        <f t="shared" si="190"/>
        <v>0</v>
      </c>
      <c r="BW469" s="307"/>
      <c r="BX469" s="307"/>
      <c r="BY469" s="449">
        <f t="shared" si="191"/>
        <v>0</v>
      </c>
    </row>
    <row r="470" spans="1:77" s="308" customFormat="1" ht="12.75" customHeight="1">
      <c r="A470" s="365" t="s">
        <v>310</v>
      </c>
      <c r="B470" s="366" t="s">
        <v>6</v>
      </c>
      <c r="C470" s="366"/>
      <c r="D470" s="367">
        <v>221759</v>
      </c>
      <c r="E470" s="368">
        <v>1</v>
      </c>
      <c r="F470" s="453">
        <v>379</v>
      </c>
      <c r="G470" s="454">
        <v>106453.41952506597</v>
      </c>
      <c r="H470" s="439">
        <f t="shared" si="168"/>
        <v>40345846</v>
      </c>
      <c r="I470" s="311">
        <v>370</v>
      </c>
      <c r="J470" s="311">
        <v>107593.50540540541</v>
      </c>
      <c r="K470" s="441">
        <f t="shared" si="169"/>
        <v>39809597</v>
      </c>
      <c r="L470" s="442">
        <v>282</v>
      </c>
      <c r="M470" s="443">
        <v>78943.833333333328</v>
      </c>
      <c r="N470" s="444">
        <f t="shared" si="170"/>
        <v>22262161</v>
      </c>
      <c r="O470" s="307">
        <v>281</v>
      </c>
      <c r="P470" s="307">
        <v>79175.434163701066</v>
      </c>
      <c r="Q470" s="445">
        <f t="shared" si="171"/>
        <v>22248297</v>
      </c>
      <c r="R470" s="442">
        <v>251</v>
      </c>
      <c r="S470" s="443">
        <v>65249.055776892434</v>
      </c>
      <c r="T470" s="444">
        <f t="shared" si="172"/>
        <v>16377513</v>
      </c>
      <c r="U470" s="307">
        <v>253</v>
      </c>
      <c r="V470" s="307">
        <v>66507.173913043473</v>
      </c>
      <c r="W470" s="441">
        <f t="shared" si="173"/>
        <v>16826315</v>
      </c>
      <c r="X470" s="442">
        <v>17</v>
      </c>
      <c r="Y470" s="443">
        <v>51674.588235294119</v>
      </c>
      <c r="Z470" s="444">
        <f t="shared" si="174"/>
        <v>878468</v>
      </c>
      <c r="AA470" s="307">
        <v>18</v>
      </c>
      <c r="AB470" s="307">
        <v>54917.666666666664</v>
      </c>
      <c r="AC470" s="445">
        <f t="shared" si="175"/>
        <v>988518</v>
      </c>
      <c r="AD470" s="442">
        <v>207</v>
      </c>
      <c r="AE470" s="443">
        <v>39510.391304347824</v>
      </c>
      <c r="AF470" s="444">
        <f t="shared" si="176"/>
        <v>8178651</v>
      </c>
      <c r="AG470" s="307">
        <v>228</v>
      </c>
      <c r="AH470" s="307">
        <v>39870.26315789474</v>
      </c>
      <c r="AI470" s="445">
        <f t="shared" si="177"/>
        <v>9090420</v>
      </c>
      <c r="AJ470" s="446"/>
      <c r="AK470" s="443"/>
      <c r="AL470" s="444">
        <f t="shared" si="178"/>
        <v>0</v>
      </c>
      <c r="AM470" s="307"/>
      <c r="AN470" s="307"/>
      <c r="AO470" s="447">
        <f t="shared" si="179"/>
        <v>0</v>
      </c>
      <c r="AP470" s="448">
        <v>163</v>
      </c>
      <c r="AQ470" s="443">
        <v>134900.88343558283</v>
      </c>
      <c r="AR470" s="444">
        <f t="shared" si="180"/>
        <v>17991272.160800003</v>
      </c>
      <c r="AS470" s="307">
        <v>181</v>
      </c>
      <c r="AT470" s="307">
        <v>138670.42541436464</v>
      </c>
      <c r="AU470" s="441">
        <f t="shared" si="181"/>
        <v>20536285.715399999</v>
      </c>
      <c r="AV470" s="442">
        <v>116</v>
      </c>
      <c r="AW470" s="443">
        <v>101401.29310344828</v>
      </c>
      <c r="AX470" s="444">
        <f t="shared" si="182"/>
        <v>9624118.4100000001</v>
      </c>
      <c r="AY470" s="307">
        <v>135</v>
      </c>
      <c r="AZ470" s="307">
        <v>101859.34074074074</v>
      </c>
      <c r="BA470" s="445">
        <f t="shared" si="183"/>
        <v>11251077.200200001</v>
      </c>
      <c r="BB470" s="442">
        <v>90</v>
      </c>
      <c r="BC470" s="443">
        <v>86759.255555555559</v>
      </c>
      <c r="BD470" s="444">
        <f t="shared" si="184"/>
        <v>6388778.0606000004</v>
      </c>
      <c r="BE470" s="307">
        <v>103</v>
      </c>
      <c r="BF470" s="307">
        <v>89228.116504854363</v>
      </c>
      <c r="BG470" s="445">
        <f t="shared" si="185"/>
        <v>7519663.8272000002</v>
      </c>
      <c r="BH470" s="442">
        <v>18</v>
      </c>
      <c r="BI470" s="443">
        <v>67979.611111111109</v>
      </c>
      <c r="BJ470" s="444">
        <f t="shared" si="186"/>
        <v>1001176.5206</v>
      </c>
      <c r="BK470" s="307">
        <v>17</v>
      </c>
      <c r="BL470" s="307">
        <v>70036.882352941175</v>
      </c>
      <c r="BM470" s="445">
        <f t="shared" si="187"/>
        <v>974171.01140000008</v>
      </c>
      <c r="BN470" s="371">
        <v>13</v>
      </c>
      <c r="BO470" s="372">
        <v>50139.384615384617</v>
      </c>
      <c r="BP470" s="444">
        <f t="shared" si="188"/>
        <v>533312.5784</v>
      </c>
      <c r="BQ470" s="307">
        <v>23</v>
      </c>
      <c r="BR470" s="307">
        <v>53561.956521739128</v>
      </c>
      <c r="BS470" s="445">
        <f t="shared" si="189"/>
        <v>1007961.035</v>
      </c>
      <c r="BT470" s="371"/>
      <c r="BU470" s="372"/>
      <c r="BV470" s="444">
        <f t="shared" si="190"/>
        <v>0</v>
      </c>
      <c r="BW470" s="307"/>
      <c r="BX470" s="307"/>
      <c r="BY470" s="449">
        <f t="shared" si="191"/>
        <v>0</v>
      </c>
    </row>
    <row r="471" spans="1:77" s="308" customFormat="1" ht="12.75" customHeight="1">
      <c r="A471" s="365" t="s">
        <v>310</v>
      </c>
      <c r="B471" s="398" t="s">
        <v>12</v>
      </c>
      <c r="C471" s="550" t="s">
        <v>1099</v>
      </c>
      <c r="D471" s="367">
        <v>219602</v>
      </c>
      <c r="E471" s="551">
        <v>3</v>
      </c>
      <c r="F471" s="453">
        <v>96</v>
      </c>
      <c r="G471" s="454">
        <v>68466.177083333328</v>
      </c>
      <c r="H471" s="439">
        <f t="shared" si="168"/>
        <v>6572753</v>
      </c>
      <c r="I471" s="311">
        <v>107</v>
      </c>
      <c r="J471" s="311">
        <v>67947.11214953271</v>
      </c>
      <c r="K471" s="441">
        <f t="shared" si="169"/>
        <v>7270341</v>
      </c>
      <c r="L471" s="442">
        <v>64</v>
      </c>
      <c r="M471" s="443">
        <v>57897.890625</v>
      </c>
      <c r="N471" s="444">
        <f t="shared" si="170"/>
        <v>3705465</v>
      </c>
      <c r="O471" s="307">
        <v>78</v>
      </c>
      <c r="P471" s="307">
        <v>53773.256410256414</v>
      </c>
      <c r="Q471" s="445">
        <f t="shared" si="171"/>
        <v>4194314</v>
      </c>
      <c r="R471" s="442">
        <v>116</v>
      </c>
      <c r="S471" s="443">
        <v>45633.853448275862</v>
      </c>
      <c r="T471" s="444">
        <f t="shared" si="172"/>
        <v>5293527</v>
      </c>
      <c r="U471" s="307">
        <v>106</v>
      </c>
      <c r="V471" s="307">
        <v>44601.518867924526</v>
      </c>
      <c r="W471" s="441">
        <f t="shared" si="173"/>
        <v>4727761</v>
      </c>
      <c r="X471" s="442">
        <v>34</v>
      </c>
      <c r="Y471" s="443">
        <v>34547.941176470587</v>
      </c>
      <c r="Z471" s="444">
        <f t="shared" si="174"/>
        <v>1174630</v>
      </c>
      <c r="AA471" s="307">
        <v>35</v>
      </c>
      <c r="AB471" s="307">
        <v>35004.542857142857</v>
      </c>
      <c r="AC471" s="445">
        <f t="shared" si="175"/>
        <v>1225159</v>
      </c>
      <c r="AD471" s="442">
        <v>0</v>
      </c>
      <c r="AE471" s="443"/>
      <c r="AF471" s="444">
        <f t="shared" si="176"/>
        <v>0</v>
      </c>
      <c r="AG471" s="307"/>
      <c r="AH471" s="307"/>
      <c r="AI471" s="445">
        <f t="shared" si="177"/>
        <v>0</v>
      </c>
      <c r="AJ471" s="446"/>
      <c r="AK471" s="443"/>
      <c r="AL471" s="444">
        <f t="shared" si="178"/>
        <v>0</v>
      </c>
      <c r="AM471" s="307"/>
      <c r="AN471" s="307"/>
      <c r="AO471" s="447">
        <f t="shared" si="179"/>
        <v>0</v>
      </c>
      <c r="AP471" s="448">
        <v>0</v>
      </c>
      <c r="AQ471" s="443"/>
      <c r="AR471" s="444">
        <f t="shared" si="180"/>
        <v>0</v>
      </c>
      <c r="AS471" s="307">
        <v>0</v>
      </c>
      <c r="AT471" s="307"/>
      <c r="AU471" s="441">
        <f t="shared" si="181"/>
        <v>0</v>
      </c>
      <c r="AV471" s="442">
        <v>0</v>
      </c>
      <c r="AW471" s="443"/>
      <c r="AX471" s="444">
        <f t="shared" si="182"/>
        <v>0</v>
      </c>
      <c r="AY471" s="307">
        <v>1</v>
      </c>
      <c r="AZ471" s="307">
        <v>75000</v>
      </c>
      <c r="BA471" s="445">
        <f t="shared" si="183"/>
        <v>61365</v>
      </c>
      <c r="BB471" s="442">
        <v>0</v>
      </c>
      <c r="BC471" s="443"/>
      <c r="BD471" s="444">
        <f t="shared" si="184"/>
        <v>0</v>
      </c>
      <c r="BE471" s="307">
        <v>0</v>
      </c>
      <c r="BF471" s="307"/>
      <c r="BG471" s="445">
        <f t="shared" si="185"/>
        <v>0</v>
      </c>
      <c r="BH471" s="442">
        <v>0</v>
      </c>
      <c r="BI471" s="443"/>
      <c r="BJ471" s="444">
        <f t="shared" si="186"/>
        <v>0</v>
      </c>
      <c r="BK471" s="307">
        <v>0</v>
      </c>
      <c r="BL471" s="307"/>
      <c r="BM471" s="445">
        <f t="shared" si="187"/>
        <v>0</v>
      </c>
      <c r="BN471" s="371">
        <v>0</v>
      </c>
      <c r="BO471" s="372"/>
      <c r="BP471" s="444">
        <f t="shared" si="188"/>
        <v>0</v>
      </c>
      <c r="BQ471" s="307">
        <v>0</v>
      </c>
      <c r="BR471" s="307"/>
      <c r="BS471" s="445">
        <f t="shared" si="189"/>
        <v>0</v>
      </c>
      <c r="BT471" s="371"/>
      <c r="BU471" s="372"/>
      <c r="BV471" s="444">
        <f t="shared" si="190"/>
        <v>0</v>
      </c>
      <c r="BW471" s="307"/>
      <c r="BX471" s="307"/>
      <c r="BY471" s="449">
        <f t="shared" si="191"/>
        <v>0</v>
      </c>
    </row>
    <row r="472" spans="1:77" s="308" customFormat="1" ht="12.75" customHeight="1">
      <c r="A472" s="365" t="s">
        <v>310</v>
      </c>
      <c r="B472" s="366" t="s">
        <v>8</v>
      </c>
      <c r="C472" s="366"/>
      <c r="D472" s="367">
        <v>220075</v>
      </c>
      <c r="E472" s="368">
        <v>3</v>
      </c>
      <c r="F472" s="453">
        <v>99</v>
      </c>
      <c r="G472" s="454">
        <v>73356.272727272721</v>
      </c>
      <c r="H472" s="439">
        <f t="shared" si="168"/>
        <v>7262270.9999999991</v>
      </c>
      <c r="I472" s="311">
        <v>99</v>
      </c>
      <c r="J472" s="311">
        <v>70760.565656565654</v>
      </c>
      <c r="K472" s="441">
        <f t="shared" si="169"/>
        <v>7005296</v>
      </c>
      <c r="L472" s="442">
        <v>118</v>
      </c>
      <c r="M472" s="443">
        <v>57462.542372881355</v>
      </c>
      <c r="N472" s="444">
        <f t="shared" si="170"/>
        <v>6780580</v>
      </c>
      <c r="O472" s="307">
        <v>120</v>
      </c>
      <c r="P472" s="307">
        <v>55803.466666666667</v>
      </c>
      <c r="Q472" s="445">
        <f t="shared" si="171"/>
        <v>6696416</v>
      </c>
      <c r="R472" s="442">
        <v>145</v>
      </c>
      <c r="S472" s="443">
        <v>50762</v>
      </c>
      <c r="T472" s="444">
        <f t="shared" si="172"/>
        <v>7360490</v>
      </c>
      <c r="U472" s="307">
        <v>155</v>
      </c>
      <c r="V472" s="307">
        <v>48341.664516129029</v>
      </c>
      <c r="W472" s="441">
        <f t="shared" si="173"/>
        <v>7492957.9999999991</v>
      </c>
      <c r="X472" s="442">
        <v>19</v>
      </c>
      <c r="Y472" s="443">
        <v>39303.57894736842</v>
      </c>
      <c r="Z472" s="444">
        <f t="shared" si="174"/>
        <v>746768</v>
      </c>
      <c r="AA472" s="307">
        <v>16</v>
      </c>
      <c r="AB472" s="307">
        <v>39076.75</v>
      </c>
      <c r="AC472" s="445">
        <f t="shared" si="175"/>
        <v>625228</v>
      </c>
      <c r="AD472" s="442">
        <v>43</v>
      </c>
      <c r="AE472" s="443">
        <v>30107.302325581397</v>
      </c>
      <c r="AF472" s="444">
        <f t="shared" si="176"/>
        <v>1294614</v>
      </c>
      <c r="AG472" s="307">
        <v>45</v>
      </c>
      <c r="AH472" s="307">
        <v>29115.888888888891</v>
      </c>
      <c r="AI472" s="445">
        <f t="shared" si="177"/>
        <v>1310215</v>
      </c>
      <c r="AJ472" s="446"/>
      <c r="AK472" s="443"/>
      <c r="AL472" s="444">
        <f t="shared" si="178"/>
        <v>0</v>
      </c>
      <c r="AM472" s="307"/>
      <c r="AN472" s="307"/>
      <c r="AO472" s="447">
        <f t="shared" si="179"/>
        <v>0</v>
      </c>
      <c r="AP472" s="448">
        <v>26</v>
      </c>
      <c r="AQ472" s="443">
        <v>83513.38461538461</v>
      </c>
      <c r="AR472" s="444">
        <f t="shared" si="180"/>
        <v>1776596.9336000001</v>
      </c>
      <c r="AS472" s="307">
        <v>27</v>
      </c>
      <c r="AT472" s="307">
        <v>82025.074074074073</v>
      </c>
      <c r="AU472" s="441">
        <f t="shared" si="181"/>
        <v>1812048.7214000002</v>
      </c>
      <c r="AV472" s="442">
        <v>24</v>
      </c>
      <c r="AW472" s="443">
        <v>83110.5</v>
      </c>
      <c r="AX472" s="444">
        <f t="shared" si="182"/>
        <v>1632024.2664000001</v>
      </c>
      <c r="AY472" s="307">
        <v>25</v>
      </c>
      <c r="AZ472" s="307">
        <v>78832.320000000007</v>
      </c>
      <c r="BA472" s="445">
        <f t="shared" si="183"/>
        <v>1612515.1056000004</v>
      </c>
      <c r="BB472" s="442">
        <v>36</v>
      </c>
      <c r="BC472" s="443">
        <v>74846.888888888891</v>
      </c>
      <c r="BD472" s="444">
        <f t="shared" si="184"/>
        <v>2204630.0816000002</v>
      </c>
      <c r="BE472" s="307">
        <v>41</v>
      </c>
      <c r="BF472" s="307">
        <v>70065.243902439019</v>
      </c>
      <c r="BG472" s="445">
        <f t="shared" si="185"/>
        <v>2350422.6850000001</v>
      </c>
      <c r="BH472" s="442">
        <v>4</v>
      </c>
      <c r="BI472" s="443">
        <v>51404</v>
      </c>
      <c r="BJ472" s="444">
        <f t="shared" si="186"/>
        <v>168235.01120000001</v>
      </c>
      <c r="BK472" s="307">
        <v>4</v>
      </c>
      <c r="BL472" s="307">
        <v>51404</v>
      </c>
      <c r="BM472" s="445">
        <f t="shared" si="187"/>
        <v>168235.01120000001</v>
      </c>
      <c r="BN472" s="371">
        <v>2</v>
      </c>
      <c r="BO472" s="372">
        <v>50000</v>
      </c>
      <c r="BP472" s="444">
        <f t="shared" si="188"/>
        <v>81820</v>
      </c>
      <c r="BQ472" s="307">
        <v>4</v>
      </c>
      <c r="BR472" s="307">
        <v>42500</v>
      </c>
      <c r="BS472" s="445">
        <f t="shared" si="189"/>
        <v>139094</v>
      </c>
      <c r="BT472" s="371"/>
      <c r="BU472" s="372"/>
      <c r="BV472" s="444">
        <f t="shared" si="190"/>
        <v>0</v>
      </c>
      <c r="BW472" s="307"/>
      <c r="BX472" s="307"/>
      <c r="BY472" s="449">
        <f t="shared" si="191"/>
        <v>0</v>
      </c>
    </row>
    <row r="473" spans="1:77" s="308" customFormat="1" ht="12.75" customHeight="1">
      <c r="A473" s="365" t="s">
        <v>310</v>
      </c>
      <c r="B473" s="366" t="s">
        <v>9</v>
      </c>
      <c r="C473" s="366"/>
      <c r="D473" s="367">
        <v>220978</v>
      </c>
      <c r="E473" s="368">
        <v>3</v>
      </c>
      <c r="F473" s="453">
        <v>321</v>
      </c>
      <c r="G473" s="454">
        <v>82089.277258566974</v>
      </c>
      <c r="H473" s="439">
        <f t="shared" si="168"/>
        <v>26350658</v>
      </c>
      <c r="I473" s="311">
        <v>305</v>
      </c>
      <c r="J473" s="311">
        <v>79547.54426229508</v>
      </c>
      <c r="K473" s="441">
        <f t="shared" si="169"/>
        <v>24262001</v>
      </c>
      <c r="L473" s="442">
        <v>238</v>
      </c>
      <c r="M473" s="443">
        <v>64425.865546218491</v>
      </c>
      <c r="N473" s="444">
        <f t="shared" si="170"/>
        <v>15333356</v>
      </c>
      <c r="O473" s="307">
        <v>222</v>
      </c>
      <c r="P473" s="307">
        <v>64239.477477477478</v>
      </c>
      <c r="Q473" s="445">
        <f t="shared" si="171"/>
        <v>14261164</v>
      </c>
      <c r="R473" s="442">
        <v>218</v>
      </c>
      <c r="S473" s="443">
        <v>52501.426605504588</v>
      </c>
      <c r="T473" s="444">
        <f t="shared" si="172"/>
        <v>11445311</v>
      </c>
      <c r="U473" s="307">
        <v>214</v>
      </c>
      <c r="V473" s="307">
        <v>52017.644859813081</v>
      </c>
      <c r="W473" s="441">
        <f t="shared" si="173"/>
        <v>11131776</v>
      </c>
      <c r="X473" s="442">
        <v>92</v>
      </c>
      <c r="Y473" s="443">
        <v>36228.456521739128</v>
      </c>
      <c r="Z473" s="444">
        <f t="shared" si="174"/>
        <v>3333018</v>
      </c>
      <c r="AA473" s="307">
        <v>120</v>
      </c>
      <c r="AB473" s="307">
        <v>37480.39166666667</v>
      </c>
      <c r="AC473" s="445">
        <f t="shared" si="175"/>
        <v>4497647</v>
      </c>
      <c r="AD473" s="442">
        <v>0</v>
      </c>
      <c r="AE473" s="443"/>
      <c r="AF473" s="444">
        <f t="shared" si="176"/>
        <v>0</v>
      </c>
      <c r="AG473" s="307"/>
      <c r="AH473" s="307"/>
      <c r="AI473" s="445">
        <f t="shared" si="177"/>
        <v>0</v>
      </c>
      <c r="AJ473" s="446"/>
      <c r="AK473" s="443"/>
      <c r="AL473" s="444">
        <f t="shared" si="178"/>
        <v>0</v>
      </c>
      <c r="AM473" s="307"/>
      <c r="AN473" s="307"/>
      <c r="AO473" s="447">
        <f t="shared" si="179"/>
        <v>0</v>
      </c>
      <c r="AP473" s="448">
        <v>0</v>
      </c>
      <c r="AQ473" s="443"/>
      <c r="AR473" s="444">
        <f t="shared" si="180"/>
        <v>0</v>
      </c>
      <c r="AS473" s="307">
        <v>2</v>
      </c>
      <c r="AT473" s="307">
        <v>94790.5</v>
      </c>
      <c r="AU473" s="441">
        <f t="shared" si="181"/>
        <v>155115.17420000001</v>
      </c>
      <c r="AV473" s="442">
        <v>1</v>
      </c>
      <c r="AW473" s="443">
        <v>66950</v>
      </c>
      <c r="AX473" s="444">
        <f t="shared" si="182"/>
        <v>54778.490000000005</v>
      </c>
      <c r="AY473" s="307">
        <v>1</v>
      </c>
      <c r="AZ473" s="307">
        <v>66950</v>
      </c>
      <c r="BA473" s="445">
        <f t="shared" si="183"/>
        <v>54778.490000000005</v>
      </c>
      <c r="BB473" s="442">
        <v>1</v>
      </c>
      <c r="BC473" s="443">
        <v>72448</v>
      </c>
      <c r="BD473" s="444">
        <f t="shared" si="184"/>
        <v>59276.953600000001</v>
      </c>
      <c r="BE473" s="307">
        <v>1</v>
      </c>
      <c r="BF473" s="307">
        <v>56966</v>
      </c>
      <c r="BG473" s="445">
        <f t="shared" si="185"/>
        <v>46609.581200000001</v>
      </c>
      <c r="BH473" s="442">
        <v>1</v>
      </c>
      <c r="BI473" s="443">
        <v>30000</v>
      </c>
      <c r="BJ473" s="444">
        <f t="shared" si="186"/>
        <v>24546</v>
      </c>
      <c r="BK473" s="307">
        <v>0</v>
      </c>
      <c r="BL473" s="307"/>
      <c r="BM473" s="445">
        <f t="shared" si="187"/>
        <v>0</v>
      </c>
      <c r="BN473" s="371">
        <v>0</v>
      </c>
      <c r="BO473" s="372"/>
      <c r="BP473" s="444">
        <f t="shared" si="188"/>
        <v>0</v>
      </c>
      <c r="BQ473" s="307">
        <v>0</v>
      </c>
      <c r="BR473" s="307"/>
      <c r="BS473" s="445">
        <f t="shared" si="189"/>
        <v>0</v>
      </c>
      <c r="BT473" s="371"/>
      <c r="BU473" s="372"/>
      <c r="BV473" s="444">
        <f t="shared" si="190"/>
        <v>0</v>
      </c>
      <c r="BW473" s="307"/>
      <c r="BX473" s="307"/>
      <c r="BY473" s="449">
        <f t="shared" si="191"/>
        <v>0</v>
      </c>
    </row>
    <row r="474" spans="1:77" s="308" customFormat="1" ht="12.75" customHeight="1">
      <c r="A474" s="365" t="s">
        <v>310</v>
      </c>
      <c r="B474" s="396" t="s">
        <v>10</v>
      </c>
      <c r="C474" s="526" t="s">
        <v>1130</v>
      </c>
      <c r="D474" s="367">
        <v>221838</v>
      </c>
      <c r="E474" s="368">
        <v>3</v>
      </c>
      <c r="F474" s="453">
        <v>103</v>
      </c>
      <c r="G474" s="454">
        <v>70965.165048543684</v>
      </c>
      <c r="H474" s="439">
        <f t="shared" si="168"/>
        <v>7309411.9999999991</v>
      </c>
      <c r="I474" s="311">
        <v>106</v>
      </c>
      <c r="J474" s="311">
        <v>73991.915094339623</v>
      </c>
      <c r="K474" s="441">
        <f t="shared" si="169"/>
        <v>7843143</v>
      </c>
      <c r="L474" s="442">
        <v>93</v>
      </c>
      <c r="M474" s="443">
        <v>55945.967741935485</v>
      </c>
      <c r="N474" s="444">
        <f t="shared" si="170"/>
        <v>5202975</v>
      </c>
      <c r="O474" s="307">
        <v>98</v>
      </c>
      <c r="P474" s="307">
        <v>57564.489795918365</v>
      </c>
      <c r="Q474" s="445">
        <f t="shared" si="171"/>
        <v>5641320</v>
      </c>
      <c r="R474" s="442">
        <v>122</v>
      </c>
      <c r="S474" s="443">
        <v>45551.295081967211</v>
      </c>
      <c r="T474" s="444">
        <f t="shared" si="172"/>
        <v>5557258</v>
      </c>
      <c r="U474" s="307">
        <v>102</v>
      </c>
      <c r="V474" s="307">
        <v>50932.941176470587</v>
      </c>
      <c r="W474" s="441">
        <f t="shared" si="173"/>
        <v>5195160</v>
      </c>
      <c r="X474" s="442">
        <v>35</v>
      </c>
      <c r="Y474" s="443">
        <v>47213.142857142855</v>
      </c>
      <c r="Z474" s="444">
        <f t="shared" si="174"/>
        <v>1652460</v>
      </c>
      <c r="AA474" s="307">
        <v>26</v>
      </c>
      <c r="AB474" s="307">
        <v>41133.038461538461</v>
      </c>
      <c r="AC474" s="445">
        <f t="shared" si="175"/>
        <v>1069459</v>
      </c>
      <c r="AD474" s="442">
        <v>0</v>
      </c>
      <c r="AE474" s="443"/>
      <c r="AF474" s="444">
        <f t="shared" si="176"/>
        <v>0</v>
      </c>
      <c r="AG474" s="307">
        <v>5</v>
      </c>
      <c r="AH474" s="307">
        <v>34800</v>
      </c>
      <c r="AI474" s="445">
        <f t="shared" si="177"/>
        <v>174000</v>
      </c>
      <c r="AJ474" s="446"/>
      <c r="AK474" s="443"/>
      <c r="AL474" s="444">
        <f t="shared" si="178"/>
        <v>0</v>
      </c>
      <c r="AM474" s="307"/>
      <c r="AN474" s="307"/>
      <c r="AO474" s="447">
        <f t="shared" si="179"/>
        <v>0</v>
      </c>
      <c r="AP474" s="448">
        <v>10</v>
      </c>
      <c r="AQ474" s="443">
        <v>94650.8</v>
      </c>
      <c r="AR474" s="444">
        <f t="shared" si="180"/>
        <v>774432.8456</v>
      </c>
      <c r="AS474" s="307">
        <v>9</v>
      </c>
      <c r="AT474" s="307">
        <v>93301.777777777781</v>
      </c>
      <c r="AU474" s="441">
        <f t="shared" si="181"/>
        <v>687055.63120000006</v>
      </c>
      <c r="AV474" s="442">
        <v>23</v>
      </c>
      <c r="AW474" s="443">
        <v>64193.304347826088</v>
      </c>
      <c r="AX474" s="444">
        <f t="shared" si="182"/>
        <v>1208028.1172</v>
      </c>
      <c r="AY474" s="307">
        <v>27</v>
      </c>
      <c r="AZ474" s="307">
        <v>68367.666666666672</v>
      </c>
      <c r="BA474" s="445">
        <f t="shared" si="183"/>
        <v>1510337.4714000002</v>
      </c>
      <c r="BB474" s="442">
        <v>40</v>
      </c>
      <c r="BC474" s="443">
        <v>49803.925000000003</v>
      </c>
      <c r="BD474" s="444">
        <f t="shared" si="184"/>
        <v>1629982.8574000001</v>
      </c>
      <c r="BE474" s="307">
        <v>38</v>
      </c>
      <c r="BF474" s="307">
        <v>56192.868421052633</v>
      </c>
      <c r="BG474" s="445">
        <f t="shared" si="185"/>
        <v>1747126.1878000002</v>
      </c>
      <c r="BH474" s="442">
        <v>8</v>
      </c>
      <c r="BI474" s="443">
        <v>50650.75</v>
      </c>
      <c r="BJ474" s="444">
        <f t="shared" si="186"/>
        <v>331539.54920000001</v>
      </c>
      <c r="BK474" s="307">
        <v>5</v>
      </c>
      <c r="BL474" s="307">
        <v>48740.4</v>
      </c>
      <c r="BM474" s="445">
        <f t="shared" si="187"/>
        <v>199396.97640000001</v>
      </c>
      <c r="BN474" s="371">
        <v>0</v>
      </c>
      <c r="BO474" s="372"/>
      <c r="BP474" s="444">
        <f t="shared" si="188"/>
        <v>0</v>
      </c>
      <c r="BQ474" s="307">
        <v>1</v>
      </c>
      <c r="BR474" s="307">
        <v>60000</v>
      </c>
      <c r="BS474" s="445">
        <f t="shared" si="189"/>
        <v>49092</v>
      </c>
      <c r="BT474" s="371"/>
      <c r="BU474" s="372"/>
      <c r="BV474" s="444">
        <f t="shared" si="190"/>
        <v>0</v>
      </c>
      <c r="BW474" s="307"/>
      <c r="BX474" s="307"/>
      <c r="BY474" s="449">
        <f t="shared" si="191"/>
        <v>0</v>
      </c>
    </row>
    <row r="475" spans="1:77" s="308" customFormat="1" ht="12.75" customHeight="1">
      <c r="A475" s="365" t="s">
        <v>310</v>
      </c>
      <c r="B475" s="366" t="s">
        <v>13</v>
      </c>
      <c r="C475" s="366"/>
      <c r="D475" s="367">
        <v>221847</v>
      </c>
      <c r="E475" s="368">
        <v>3</v>
      </c>
      <c r="F475" s="453">
        <v>147</v>
      </c>
      <c r="G475" s="454">
        <v>78005.421768707485</v>
      </c>
      <c r="H475" s="439">
        <f t="shared" si="168"/>
        <v>11466797</v>
      </c>
      <c r="I475" s="311">
        <v>146</v>
      </c>
      <c r="J475" s="311">
        <v>77181.917808219179</v>
      </c>
      <c r="K475" s="441">
        <f t="shared" si="169"/>
        <v>11268560</v>
      </c>
      <c r="L475" s="442">
        <v>80</v>
      </c>
      <c r="M475" s="443">
        <v>61989.037499999999</v>
      </c>
      <c r="N475" s="444">
        <f t="shared" si="170"/>
        <v>4959123</v>
      </c>
      <c r="O475" s="307">
        <v>85</v>
      </c>
      <c r="P475" s="307">
        <v>62410.929411764708</v>
      </c>
      <c r="Q475" s="445">
        <f t="shared" si="171"/>
        <v>5304929</v>
      </c>
      <c r="R475" s="442">
        <v>80</v>
      </c>
      <c r="S475" s="443">
        <v>52919.375</v>
      </c>
      <c r="T475" s="444">
        <f t="shared" si="172"/>
        <v>4233550</v>
      </c>
      <c r="U475" s="307">
        <v>72</v>
      </c>
      <c r="V475" s="307">
        <v>52247.638888888891</v>
      </c>
      <c r="W475" s="441">
        <f t="shared" si="173"/>
        <v>3761830</v>
      </c>
      <c r="X475" s="442">
        <v>48</v>
      </c>
      <c r="Y475" s="443">
        <v>38088.958333333336</v>
      </c>
      <c r="Z475" s="444">
        <f t="shared" si="174"/>
        <v>1828270</v>
      </c>
      <c r="AA475" s="307">
        <v>58</v>
      </c>
      <c r="AB475" s="307">
        <v>37866.206896551725</v>
      </c>
      <c r="AC475" s="445">
        <f t="shared" si="175"/>
        <v>2196240</v>
      </c>
      <c r="AD475" s="442">
        <v>0</v>
      </c>
      <c r="AE475" s="443"/>
      <c r="AF475" s="444">
        <f t="shared" si="176"/>
        <v>0</v>
      </c>
      <c r="AG475" s="307"/>
      <c r="AH475" s="307"/>
      <c r="AI475" s="445">
        <f t="shared" si="177"/>
        <v>0</v>
      </c>
      <c r="AJ475" s="446"/>
      <c r="AK475" s="443"/>
      <c r="AL475" s="444">
        <f t="shared" si="178"/>
        <v>0</v>
      </c>
      <c r="AM475" s="307"/>
      <c r="AN475" s="307"/>
      <c r="AO475" s="447">
        <f t="shared" si="179"/>
        <v>0</v>
      </c>
      <c r="AP475" s="448">
        <v>3</v>
      </c>
      <c r="AQ475" s="443">
        <v>78090</v>
      </c>
      <c r="AR475" s="444">
        <f t="shared" si="180"/>
        <v>191679.71400000001</v>
      </c>
      <c r="AS475" s="307">
        <v>2</v>
      </c>
      <c r="AT475" s="307">
        <v>78440</v>
      </c>
      <c r="AU475" s="441">
        <f t="shared" si="181"/>
        <v>128359.216</v>
      </c>
      <c r="AV475" s="442">
        <v>7</v>
      </c>
      <c r="AW475" s="443">
        <v>61965.714285714283</v>
      </c>
      <c r="AX475" s="444">
        <f t="shared" si="182"/>
        <v>354902.43200000003</v>
      </c>
      <c r="AY475" s="307">
        <v>8</v>
      </c>
      <c r="AZ475" s="307">
        <v>60636.25</v>
      </c>
      <c r="BA475" s="445">
        <f t="shared" si="183"/>
        <v>396900.63800000004</v>
      </c>
      <c r="BB475" s="442">
        <v>6</v>
      </c>
      <c r="BC475" s="443">
        <v>51980</v>
      </c>
      <c r="BD475" s="444">
        <f t="shared" si="184"/>
        <v>255180.21600000001</v>
      </c>
      <c r="BE475" s="307">
        <v>6</v>
      </c>
      <c r="BF475" s="307">
        <v>51980</v>
      </c>
      <c r="BG475" s="445">
        <f t="shared" si="185"/>
        <v>255180.21600000001</v>
      </c>
      <c r="BH475" s="442">
        <v>0</v>
      </c>
      <c r="BI475" s="443"/>
      <c r="BJ475" s="444">
        <f t="shared" si="186"/>
        <v>0</v>
      </c>
      <c r="BK475" s="307">
        <v>3</v>
      </c>
      <c r="BL475" s="307">
        <v>41666.666666666664</v>
      </c>
      <c r="BM475" s="445">
        <f t="shared" si="187"/>
        <v>102275</v>
      </c>
      <c r="BN475" s="371">
        <v>0</v>
      </c>
      <c r="BO475" s="372"/>
      <c r="BP475" s="444">
        <f t="shared" si="188"/>
        <v>0</v>
      </c>
      <c r="BQ475" s="307">
        <v>0</v>
      </c>
      <c r="BR475" s="307"/>
      <c r="BS475" s="445">
        <f t="shared" si="189"/>
        <v>0</v>
      </c>
      <c r="BT475" s="371"/>
      <c r="BU475" s="372"/>
      <c r="BV475" s="444">
        <f t="shared" si="190"/>
        <v>0</v>
      </c>
      <c r="BW475" s="307"/>
      <c r="BX475" s="307"/>
      <c r="BY475" s="449">
        <f t="shared" si="191"/>
        <v>0</v>
      </c>
    </row>
    <row r="476" spans="1:77" s="308" customFormat="1" ht="12.75" customHeight="1">
      <c r="A476" s="365" t="s">
        <v>310</v>
      </c>
      <c r="B476" s="366" t="s">
        <v>11</v>
      </c>
      <c r="C476" s="366"/>
      <c r="D476" s="367">
        <v>221740</v>
      </c>
      <c r="E476" s="368">
        <v>3</v>
      </c>
      <c r="F476" s="453">
        <v>121</v>
      </c>
      <c r="G476" s="454">
        <v>82735.016528925626</v>
      </c>
      <c r="H476" s="439">
        <f t="shared" si="168"/>
        <v>10010937</v>
      </c>
      <c r="I476" s="311">
        <v>122</v>
      </c>
      <c r="J476" s="311">
        <v>83083.672131147541</v>
      </c>
      <c r="K476" s="441">
        <f t="shared" si="169"/>
        <v>10136208</v>
      </c>
      <c r="L476" s="442">
        <v>77</v>
      </c>
      <c r="M476" s="443">
        <v>62916.337662337661</v>
      </c>
      <c r="N476" s="444">
        <f t="shared" si="170"/>
        <v>4844558</v>
      </c>
      <c r="O476" s="307">
        <v>91</v>
      </c>
      <c r="P476" s="307">
        <v>64679.857142857145</v>
      </c>
      <c r="Q476" s="445">
        <f t="shared" si="171"/>
        <v>5885867</v>
      </c>
      <c r="R476" s="442">
        <v>76</v>
      </c>
      <c r="S476" s="443">
        <v>55489.07894736842</v>
      </c>
      <c r="T476" s="444">
        <f t="shared" si="172"/>
        <v>4217170</v>
      </c>
      <c r="U476" s="307">
        <v>78</v>
      </c>
      <c r="V476" s="307">
        <v>55552.794871794875</v>
      </c>
      <c r="W476" s="441">
        <f t="shared" si="173"/>
        <v>4333118</v>
      </c>
      <c r="X476" s="442">
        <v>5</v>
      </c>
      <c r="Y476" s="443">
        <v>39363</v>
      </c>
      <c r="Z476" s="444">
        <f t="shared" si="174"/>
        <v>196815</v>
      </c>
      <c r="AA476" s="307">
        <v>6</v>
      </c>
      <c r="AB476" s="307">
        <v>42127.333333333336</v>
      </c>
      <c r="AC476" s="445">
        <f t="shared" si="175"/>
        <v>252764</v>
      </c>
      <c r="AD476" s="442">
        <v>80</v>
      </c>
      <c r="AE476" s="443">
        <v>34616.699999999997</v>
      </c>
      <c r="AF476" s="444">
        <f t="shared" si="176"/>
        <v>2769336</v>
      </c>
      <c r="AG476" s="307">
        <v>88</v>
      </c>
      <c r="AH476" s="307">
        <v>35360.022727272728</v>
      </c>
      <c r="AI476" s="445">
        <f t="shared" si="177"/>
        <v>3111682</v>
      </c>
      <c r="AJ476" s="446"/>
      <c r="AK476" s="443"/>
      <c r="AL476" s="444">
        <f t="shared" si="178"/>
        <v>0</v>
      </c>
      <c r="AM476" s="307"/>
      <c r="AN476" s="307"/>
      <c r="AO476" s="447">
        <f t="shared" si="179"/>
        <v>0</v>
      </c>
      <c r="AP476" s="448">
        <v>10</v>
      </c>
      <c r="AQ476" s="443">
        <v>119121.60000000001</v>
      </c>
      <c r="AR476" s="444">
        <f t="shared" si="180"/>
        <v>974652.93119999999</v>
      </c>
      <c r="AS476" s="307">
        <v>34</v>
      </c>
      <c r="AT476" s="307">
        <v>108408.29411764706</v>
      </c>
      <c r="AU476" s="441">
        <f t="shared" si="181"/>
        <v>3015788.6524</v>
      </c>
      <c r="AV476" s="442">
        <v>9</v>
      </c>
      <c r="AW476" s="443">
        <v>70735.222222222219</v>
      </c>
      <c r="AX476" s="444">
        <f t="shared" si="182"/>
        <v>520880.0294</v>
      </c>
      <c r="AY476" s="307">
        <v>16</v>
      </c>
      <c r="AZ476" s="307">
        <v>77770.75</v>
      </c>
      <c r="BA476" s="445">
        <f t="shared" si="183"/>
        <v>1018112.4424000001</v>
      </c>
      <c r="BB476" s="442">
        <v>9</v>
      </c>
      <c r="BC476" s="443">
        <v>63660.555555555555</v>
      </c>
      <c r="BD476" s="444">
        <f t="shared" si="184"/>
        <v>468783.59900000005</v>
      </c>
      <c r="BE476" s="307">
        <v>10</v>
      </c>
      <c r="BF476" s="307">
        <v>64489.2</v>
      </c>
      <c r="BG476" s="445">
        <f t="shared" si="185"/>
        <v>527650.63439999998</v>
      </c>
      <c r="BH476" s="442">
        <v>0</v>
      </c>
      <c r="BI476" s="443"/>
      <c r="BJ476" s="444">
        <f t="shared" si="186"/>
        <v>0</v>
      </c>
      <c r="BK476" s="307">
        <v>0</v>
      </c>
      <c r="BL476" s="307"/>
      <c r="BM476" s="445">
        <f t="shared" si="187"/>
        <v>0</v>
      </c>
      <c r="BN476" s="371">
        <v>4</v>
      </c>
      <c r="BO476" s="372">
        <v>53019.5</v>
      </c>
      <c r="BP476" s="444">
        <f t="shared" si="188"/>
        <v>173522.21960000001</v>
      </c>
      <c r="BQ476" s="307">
        <v>5</v>
      </c>
      <c r="BR476" s="307">
        <v>56055.6</v>
      </c>
      <c r="BS476" s="445">
        <f t="shared" si="189"/>
        <v>229323.4596</v>
      </c>
      <c r="BT476" s="371"/>
      <c r="BU476" s="372"/>
      <c r="BV476" s="444">
        <f t="shared" si="190"/>
        <v>0</v>
      </c>
      <c r="BW476" s="307"/>
      <c r="BX476" s="307"/>
      <c r="BY476" s="449">
        <f t="shared" si="191"/>
        <v>0</v>
      </c>
    </row>
    <row r="477" spans="1:77" s="308" customFormat="1" ht="12.75" customHeight="1">
      <c r="A477" s="365" t="s">
        <v>310</v>
      </c>
      <c r="B477" s="366" t="s">
        <v>14</v>
      </c>
      <c r="C477" s="366"/>
      <c r="D477" s="367">
        <v>221768</v>
      </c>
      <c r="E477" s="368">
        <v>5</v>
      </c>
      <c r="F477" s="453">
        <v>59</v>
      </c>
      <c r="G477" s="454">
        <v>74052.016949152545</v>
      </c>
      <c r="H477" s="439">
        <f t="shared" si="168"/>
        <v>4369069</v>
      </c>
      <c r="I477" s="311">
        <v>63</v>
      </c>
      <c r="J477" s="311">
        <v>72727.079365079364</v>
      </c>
      <c r="K477" s="441">
        <f t="shared" si="169"/>
        <v>4581806</v>
      </c>
      <c r="L477" s="442">
        <v>39</v>
      </c>
      <c r="M477" s="443">
        <v>58191.615384615383</v>
      </c>
      <c r="N477" s="444">
        <f t="shared" si="170"/>
        <v>2269473</v>
      </c>
      <c r="O477" s="307">
        <v>51</v>
      </c>
      <c r="P477" s="307">
        <v>58615.431372549021</v>
      </c>
      <c r="Q477" s="445">
        <f t="shared" si="171"/>
        <v>2989387</v>
      </c>
      <c r="R477" s="442">
        <v>82</v>
      </c>
      <c r="S477" s="443">
        <v>52074.743902439026</v>
      </c>
      <c r="T477" s="444">
        <f t="shared" si="172"/>
        <v>4270129</v>
      </c>
      <c r="U477" s="307">
        <v>77</v>
      </c>
      <c r="V477" s="307">
        <v>52847.207792207795</v>
      </c>
      <c r="W477" s="441">
        <f t="shared" si="173"/>
        <v>4069235</v>
      </c>
      <c r="X477" s="442">
        <v>17</v>
      </c>
      <c r="Y477" s="443">
        <v>47240.352941176468</v>
      </c>
      <c r="Z477" s="444">
        <f t="shared" si="174"/>
        <v>803086</v>
      </c>
      <c r="AA477" s="307">
        <v>14</v>
      </c>
      <c r="AB477" s="307">
        <v>46115.642857142855</v>
      </c>
      <c r="AC477" s="445">
        <f t="shared" si="175"/>
        <v>645619</v>
      </c>
      <c r="AD477" s="442">
        <v>48</v>
      </c>
      <c r="AE477" s="443">
        <v>41833.395833333336</v>
      </c>
      <c r="AF477" s="444">
        <f t="shared" si="176"/>
        <v>2008003</v>
      </c>
      <c r="AG477" s="307">
        <v>45</v>
      </c>
      <c r="AH477" s="307">
        <v>42352.555555555555</v>
      </c>
      <c r="AI477" s="445">
        <f t="shared" si="177"/>
        <v>1905865</v>
      </c>
      <c r="AJ477" s="446"/>
      <c r="AK477" s="443"/>
      <c r="AL477" s="444">
        <f t="shared" si="178"/>
        <v>0</v>
      </c>
      <c r="AM477" s="307"/>
      <c r="AN477" s="307"/>
      <c r="AO477" s="447">
        <f t="shared" si="179"/>
        <v>0</v>
      </c>
      <c r="AP477" s="448">
        <v>16</v>
      </c>
      <c r="AQ477" s="443">
        <v>95084.6875</v>
      </c>
      <c r="AR477" s="444">
        <f t="shared" si="180"/>
        <v>1244772.6610000001</v>
      </c>
      <c r="AS477" s="307">
        <v>15</v>
      </c>
      <c r="AT477" s="307">
        <v>93832.8</v>
      </c>
      <c r="AU477" s="441">
        <f t="shared" si="181"/>
        <v>1151609.9544000002</v>
      </c>
      <c r="AV477" s="442">
        <v>6</v>
      </c>
      <c r="AW477" s="443">
        <v>73201</v>
      </c>
      <c r="AX477" s="444">
        <f t="shared" si="182"/>
        <v>359358.3492</v>
      </c>
      <c r="AY477" s="307">
        <v>6</v>
      </c>
      <c r="AZ477" s="307">
        <v>75199.166666666672</v>
      </c>
      <c r="BA477" s="445">
        <f t="shared" si="183"/>
        <v>369167.74900000001</v>
      </c>
      <c r="BB477" s="442">
        <v>4</v>
      </c>
      <c r="BC477" s="443">
        <v>67325</v>
      </c>
      <c r="BD477" s="444">
        <f t="shared" si="184"/>
        <v>220341.26</v>
      </c>
      <c r="BE477" s="307">
        <v>4</v>
      </c>
      <c r="BF477" s="307">
        <v>67961.25</v>
      </c>
      <c r="BG477" s="445">
        <f t="shared" si="185"/>
        <v>222423.579</v>
      </c>
      <c r="BH477" s="442">
        <v>3</v>
      </c>
      <c r="BI477" s="443">
        <v>48785.333333333336</v>
      </c>
      <c r="BJ477" s="444">
        <f t="shared" si="186"/>
        <v>119748.4792</v>
      </c>
      <c r="BK477" s="307">
        <v>3</v>
      </c>
      <c r="BL477" s="307">
        <v>48851.666666666664</v>
      </c>
      <c r="BM477" s="445">
        <f t="shared" si="187"/>
        <v>119911.30100000001</v>
      </c>
      <c r="BN477" s="371">
        <v>0</v>
      </c>
      <c r="BO477" s="372"/>
      <c r="BP477" s="444">
        <f t="shared" si="188"/>
        <v>0</v>
      </c>
      <c r="BQ477" s="307">
        <v>0</v>
      </c>
      <c r="BR477" s="307"/>
      <c r="BS477" s="445">
        <f t="shared" si="189"/>
        <v>0</v>
      </c>
      <c r="BT477" s="371"/>
      <c r="BU477" s="372"/>
      <c r="BV477" s="444">
        <f t="shared" si="190"/>
        <v>0</v>
      </c>
      <c r="BW477" s="307"/>
      <c r="BX477" s="307"/>
      <c r="BY477" s="449">
        <f t="shared" si="191"/>
        <v>0</v>
      </c>
    </row>
    <row r="478" spans="1:77" s="308" customFormat="1" ht="12.75" customHeight="1">
      <c r="A478" s="365" t="s">
        <v>310</v>
      </c>
      <c r="B478" s="366" t="s">
        <v>15</v>
      </c>
      <c r="C478" s="366"/>
      <c r="D478" s="367">
        <v>219824</v>
      </c>
      <c r="E478" s="368">
        <v>8</v>
      </c>
      <c r="F478" s="453">
        <v>18</v>
      </c>
      <c r="G478" s="454">
        <v>57899.666666666664</v>
      </c>
      <c r="H478" s="439">
        <f t="shared" si="168"/>
        <v>1042194</v>
      </c>
      <c r="I478" s="311">
        <v>20</v>
      </c>
      <c r="J478" s="311">
        <v>56438.35</v>
      </c>
      <c r="K478" s="441">
        <f t="shared" si="169"/>
        <v>1128767</v>
      </c>
      <c r="L478" s="442">
        <v>79</v>
      </c>
      <c r="M478" s="443">
        <v>50383.151898734177</v>
      </c>
      <c r="N478" s="444">
        <f t="shared" si="170"/>
        <v>3980269</v>
      </c>
      <c r="O478" s="307">
        <v>72</v>
      </c>
      <c r="P478" s="307">
        <v>50225.972222222219</v>
      </c>
      <c r="Q478" s="445">
        <f t="shared" si="171"/>
        <v>3616270</v>
      </c>
      <c r="R478" s="442">
        <v>33</v>
      </c>
      <c r="S478" s="443">
        <v>45392.515151515152</v>
      </c>
      <c r="T478" s="444">
        <f t="shared" si="172"/>
        <v>1497953</v>
      </c>
      <c r="U478" s="307">
        <v>39</v>
      </c>
      <c r="V478" s="307">
        <v>45207.205128205125</v>
      </c>
      <c r="W478" s="441">
        <f t="shared" si="173"/>
        <v>1763081</v>
      </c>
      <c r="X478" s="442">
        <v>21</v>
      </c>
      <c r="Y478" s="443">
        <v>41286.714285714283</v>
      </c>
      <c r="Z478" s="444">
        <f t="shared" si="174"/>
        <v>867020.99999999988</v>
      </c>
      <c r="AA478" s="307">
        <v>22</v>
      </c>
      <c r="AB478" s="307">
        <v>41282.86363636364</v>
      </c>
      <c r="AC478" s="445">
        <f t="shared" si="175"/>
        <v>908223.00000000012</v>
      </c>
      <c r="AD478" s="442">
        <v>0</v>
      </c>
      <c r="AE478" s="443"/>
      <c r="AF478" s="444">
        <f t="shared" si="176"/>
        <v>0</v>
      </c>
      <c r="AG478" s="307"/>
      <c r="AH478" s="307"/>
      <c r="AI478" s="445">
        <f t="shared" si="177"/>
        <v>0</v>
      </c>
      <c r="AJ478" s="446"/>
      <c r="AK478" s="443"/>
      <c r="AL478" s="444">
        <f t="shared" si="178"/>
        <v>0</v>
      </c>
      <c r="AM478" s="307"/>
      <c r="AN478" s="307"/>
      <c r="AO478" s="447">
        <f t="shared" si="179"/>
        <v>0</v>
      </c>
      <c r="AP478" s="448">
        <v>5</v>
      </c>
      <c r="AQ478" s="443">
        <v>75486.600000000006</v>
      </c>
      <c r="AR478" s="444">
        <f t="shared" si="180"/>
        <v>308815.68060000002</v>
      </c>
      <c r="AS478" s="307">
        <v>5</v>
      </c>
      <c r="AT478" s="307">
        <v>75486.600000000006</v>
      </c>
      <c r="AU478" s="441">
        <f t="shared" si="181"/>
        <v>308815.68060000002</v>
      </c>
      <c r="AV478" s="442">
        <v>14</v>
      </c>
      <c r="AW478" s="443">
        <v>62558.571428571428</v>
      </c>
      <c r="AX478" s="444">
        <f t="shared" si="182"/>
        <v>716595.924</v>
      </c>
      <c r="AY478" s="307">
        <v>16</v>
      </c>
      <c r="AZ478" s="307">
        <v>62209.3125</v>
      </c>
      <c r="BA478" s="445">
        <f t="shared" si="183"/>
        <v>814394.55180000002</v>
      </c>
      <c r="BB478" s="442">
        <v>8</v>
      </c>
      <c r="BC478" s="443">
        <v>55522.25</v>
      </c>
      <c r="BD478" s="444">
        <f t="shared" si="184"/>
        <v>363426.43960000004</v>
      </c>
      <c r="BE478" s="307">
        <v>7</v>
      </c>
      <c r="BF478" s="307">
        <v>56374.285714285717</v>
      </c>
      <c r="BG478" s="445">
        <f t="shared" si="185"/>
        <v>322878.08400000003</v>
      </c>
      <c r="BH478" s="442">
        <v>36</v>
      </c>
      <c r="BI478" s="443">
        <v>48622.027777777781</v>
      </c>
      <c r="BJ478" s="444">
        <f t="shared" si="186"/>
        <v>1432171.5526000001</v>
      </c>
      <c r="BK478" s="307">
        <v>43</v>
      </c>
      <c r="BL478" s="307">
        <v>48189.953488372092</v>
      </c>
      <c r="BM478" s="445">
        <f t="shared" si="187"/>
        <v>1695447.8576</v>
      </c>
      <c r="BN478" s="371">
        <v>0</v>
      </c>
      <c r="BO478" s="372"/>
      <c r="BP478" s="444">
        <f t="shared" si="188"/>
        <v>0</v>
      </c>
      <c r="BQ478" s="307">
        <v>0</v>
      </c>
      <c r="BR478" s="307"/>
      <c r="BS478" s="445">
        <f t="shared" si="189"/>
        <v>0</v>
      </c>
      <c r="BT478" s="371"/>
      <c r="BU478" s="372"/>
      <c r="BV478" s="444">
        <f t="shared" si="190"/>
        <v>0</v>
      </c>
      <c r="BW478" s="307"/>
      <c r="BX478" s="307"/>
      <c r="BY478" s="449">
        <f t="shared" si="191"/>
        <v>0</v>
      </c>
    </row>
    <row r="479" spans="1:77" s="308" customFormat="1" ht="12.75" customHeight="1">
      <c r="A479" s="365" t="s">
        <v>310</v>
      </c>
      <c r="B479" s="366" t="s">
        <v>16</v>
      </c>
      <c r="C479" s="366"/>
      <c r="D479" s="367">
        <v>221643</v>
      </c>
      <c r="E479" s="368">
        <v>8</v>
      </c>
      <c r="F479" s="453">
        <v>38</v>
      </c>
      <c r="G479" s="454">
        <v>58046.052631578947</v>
      </c>
      <c r="H479" s="439">
        <f t="shared" si="168"/>
        <v>2205750</v>
      </c>
      <c r="I479" s="311">
        <v>36</v>
      </c>
      <c r="J479" s="311">
        <v>58101.944444444445</v>
      </c>
      <c r="K479" s="441">
        <f t="shared" si="169"/>
        <v>2091670</v>
      </c>
      <c r="L479" s="442">
        <v>100</v>
      </c>
      <c r="M479" s="443">
        <v>50630.1</v>
      </c>
      <c r="N479" s="444">
        <f t="shared" si="170"/>
        <v>5063010</v>
      </c>
      <c r="O479" s="307">
        <v>104</v>
      </c>
      <c r="P479" s="307">
        <v>50676.923076923078</v>
      </c>
      <c r="Q479" s="445">
        <f t="shared" si="171"/>
        <v>5270400</v>
      </c>
      <c r="R479" s="442">
        <v>18</v>
      </c>
      <c r="S479" s="443">
        <v>41430</v>
      </c>
      <c r="T479" s="444">
        <f t="shared" si="172"/>
        <v>745740</v>
      </c>
      <c r="U479" s="307">
        <v>21</v>
      </c>
      <c r="V479" s="307">
        <v>41504.285714285717</v>
      </c>
      <c r="W479" s="441">
        <f t="shared" si="173"/>
        <v>871590.00000000012</v>
      </c>
      <c r="X479" s="442">
        <v>24</v>
      </c>
      <c r="Y479" s="443">
        <v>35160.833333333336</v>
      </c>
      <c r="Z479" s="444">
        <f t="shared" si="174"/>
        <v>843860</v>
      </c>
      <c r="AA479" s="307">
        <v>28</v>
      </c>
      <c r="AB479" s="307">
        <v>31644.642857142859</v>
      </c>
      <c r="AC479" s="445">
        <f t="shared" si="175"/>
        <v>886050</v>
      </c>
      <c r="AD479" s="442">
        <v>0</v>
      </c>
      <c r="AE479" s="443"/>
      <c r="AF479" s="444">
        <f t="shared" si="176"/>
        <v>0</v>
      </c>
      <c r="AG479" s="307"/>
      <c r="AH479" s="307"/>
      <c r="AI479" s="445">
        <f t="shared" si="177"/>
        <v>0</v>
      </c>
      <c r="AJ479" s="446"/>
      <c r="AK479" s="443"/>
      <c r="AL479" s="444">
        <f t="shared" si="178"/>
        <v>0</v>
      </c>
      <c r="AM479" s="307"/>
      <c r="AN479" s="307"/>
      <c r="AO479" s="447">
        <f t="shared" si="179"/>
        <v>0</v>
      </c>
      <c r="AP479" s="448">
        <v>4</v>
      </c>
      <c r="AQ479" s="443">
        <v>80985</v>
      </c>
      <c r="AR479" s="444">
        <f t="shared" si="180"/>
        <v>265047.70799999998</v>
      </c>
      <c r="AS479" s="307">
        <v>4</v>
      </c>
      <c r="AT479" s="307">
        <v>80985</v>
      </c>
      <c r="AU479" s="441">
        <f t="shared" si="181"/>
        <v>265047.70799999998</v>
      </c>
      <c r="AV479" s="442">
        <v>2</v>
      </c>
      <c r="AW479" s="443">
        <v>59335</v>
      </c>
      <c r="AX479" s="444">
        <f t="shared" si="182"/>
        <v>97095.794000000009</v>
      </c>
      <c r="AY479" s="307">
        <v>2</v>
      </c>
      <c r="AZ479" s="307">
        <v>59335</v>
      </c>
      <c r="BA479" s="445">
        <f t="shared" si="183"/>
        <v>97095.794000000009</v>
      </c>
      <c r="BB479" s="442">
        <v>0</v>
      </c>
      <c r="BC479" s="443"/>
      <c r="BD479" s="444">
        <f t="shared" si="184"/>
        <v>0</v>
      </c>
      <c r="BE479" s="307">
        <v>0</v>
      </c>
      <c r="BF479" s="307"/>
      <c r="BG479" s="445">
        <f t="shared" si="185"/>
        <v>0</v>
      </c>
      <c r="BH479" s="442">
        <v>0</v>
      </c>
      <c r="BI479" s="443"/>
      <c r="BJ479" s="444">
        <f t="shared" si="186"/>
        <v>0</v>
      </c>
      <c r="BK479" s="307">
        <v>0</v>
      </c>
      <c r="BL479" s="307"/>
      <c r="BM479" s="445">
        <f t="shared" si="187"/>
        <v>0</v>
      </c>
      <c r="BN479" s="371">
        <v>0</v>
      </c>
      <c r="BO479" s="372"/>
      <c r="BP479" s="444">
        <f t="shared" si="188"/>
        <v>0</v>
      </c>
      <c r="BQ479" s="307">
        <v>0</v>
      </c>
      <c r="BR479" s="307"/>
      <c r="BS479" s="445">
        <f t="shared" si="189"/>
        <v>0</v>
      </c>
      <c r="BT479" s="371"/>
      <c r="BU479" s="372"/>
      <c r="BV479" s="444">
        <f t="shared" si="190"/>
        <v>0</v>
      </c>
      <c r="BW479" s="307"/>
      <c r="BX479" s="307"/>
      <c r="BY479" s="449">
        <f t="shared" si="191"/>
        <v>0</v>
      </c>
    </row>
    <row r="480" spans="1:77" s="308" customFormat="1" ht="12.75" customHeight="1">
      <c r="A480" s="365" t="s">
        <v>310</v>
      </c>
      <c r="B480" s="366" t="s">
        <v>17</v>
      </c>
      <c r="C480" s="366"/>
      <c r="D480" s="367">
        <v>221485</v>
      </c>
      <c r="E480" s="368">
        <v>8</v>
      </c>
      <c r="F480" s="453">
        <v>21</v>
      </c>
      <c r="G480" s="454">
        <v>59036.571428571428</v>
      </c>
      <c r="H480" s="439">
        <f t="shared" si="168"/>
        <v>1239768</v>
      </c>
      <c r="I480" s="311">
        <v>20</v>
      </c>
      <c r="J480" s="311">
        <v>59155.8</v>
      </c>
      <c r="K480" s="441">
        <f t="shared" si="169"/>
        <v>1183116</v>
      </c>
      <c r="L480" s="442">
        <v>94</v>
      </c>
      <c r="M480" s="443">
        <v>50167.148936170212</v>
      </c>
      <c r="N480" s="444">
        <f t="shared" si="170"/>
        <v>4715712</v>
      </c>
      <c r="O480" s="307">
        <v>92</v>
      </c>
      <c r="P480" s="307">
        <v>49923</v>
      </c>
      <c r="Q480" s="445">
        <f t="shared" si="171"/>
        <v>4592916</v>
      </c>
      <c r="R480" s="442">
        <v>60</v>
      </c>
      <c r="S480" s="443">
        <v>40762.98333333333</v>
      </c>
      <c r="T480" s="444">
        <f t="shared" si="172"/>
        <v>2445779</v>
      </c>
      <c r="U480" s="307">
        <v>57</v>
      </c>
      <c r="V480" s="307">
        <v>41491.57894736842</v>
      </c>
      <c r="W480" s="441">
        <f t="shared" si="173"/>
        <v>2365020</v>
      </c>
      <c r="X480" s="442">
        <v>44</v>
      </c>
      <c r="Y480" s="443">
        <v>34430.454545454544</v>
      </c>
      <c r="Z480" s="444">
        <f t="shared" si="174"/>
        <v>1514940</v>
      </c>
      <c r="AA480" s="307">
        <v>44</v>
      </c>
      <c r="AB480" s="307">
        <v>34743.545454545456</v>
      </c>
      <c r="AC480" s="445">
        <f t="shared" si="175"/>
        <v>1528716</v>
      </c>
      <c r="AD480" s="442">
        <v>0</v>
      </c>
      <c r="AE480" s="443"/>
      <c r="AF480" s="444">
        <f t="shared" si="176"/>
        <v>0</v>
      </c>
      <c r="AG480" s="307"/>
      <c r="AH480" s="307"/>
      <c r="AI480" s="445">
        <f t="shared" si="177"/>
        <v>0</v>
      </c>
      <c r="AJ480" s="446"/>
      <c r="AK480" s="443"/>
      <c r="AL480" s="444">
        <f t="shared" si="178"/>
        <v>0</v>
      </c>
      <c r="AM480" s="307"/>
      <c r="AN480" s="307"/>
      <c r="AO480" s="447">
        <f t="shared" si="179"/>
        <v>0</v>
      </c>
      <c r="AP480" s="448">
        <v>3</v>
      </c>
      <c r="AQ480" s="443">
        <v>75052</v>
      </c>
      <c r="AR480" s="444">
        <f t="shared" si="180"/>
        <v>184222.63920000001</v>
      </c>
      <c r="AS480" s="307">
        <v>2</v>
      </c>
      <c r="AT480" s="307">
        <v>74652</v>
      </c>
      <c r="AU480" s="441">
        <f t="shared" si="181"/>
        <v>122160.5328</v>
      </c>
      <c r="AV480" s="442">
        <v>13</v>
      </c>
      <c r="AW480" s="443">
        <v>65525.538461538461</v>
      </c>
      <c r="AX480" s="444">
        <f t="shared" si="182"/>
        <v>696968.94240000006</v>
      </c>
      <c r="AY480" s="307">
        <v>11</v>
      </c>
      <c r="AZ480" s="307">
        <v>64890.545454545456</v>
      </c>
      <c r="BA480" s="445">
        <f t="shared" si="183"/>
        <v>584027.8872</v>
      </c>
      <c r="BB480" s="442">
        <v>0</v>
      </c>
      <c r="BC480" s="443"/>
      <c r="BD480" s="444">
        <f t="shared" si="184"/>
        <v>0</v>
      </c>
      <c r="BE480" s="307">
        <v>2</v>
      </c>
      <c r="BF480" s="307">
        <v>48930</v>
      </c>
      <c r="BG480" s="445">
        <f t="shared" si="185"/>
        <v>80069.052000000011</v>
      </c>
      <c r="BH480" s="442">
        <v>0</v>
      </c>
      <c r="BI480" s="443"/>
      <c r="BJ480" s="444">
        <f t="shared" si="186"/>
        <v>0</v>
      </c>
      <c r="BK480" s="307">
        <v>0</v>
      </c>
      <c r="BL480" s="307"/>
      <c r="BM480" s="445">
        <f t="shared" si="187"/>
        <v>0</v>
      </c>
      <c r="BN480" s="371">
        <v>0</v>
      </c>
      <c r="BO480" s="372"/>
      <c r="BP480" s="444">
        <f t="shared" si="188"/>
        <v>0</v>
      </c>
      <c r="BQ480" s="307">
        <v>0</v>
      </c>
      <c r="BR480" s="307"/>
      <c r="BS480" s="445">
        <f t="shared" si="189"/>
        <v>0</v>
      </c>
      <c r="BT480" s="371"/>
      <c r="BU480" s="372"/>
      <c r="BV480" s="444">
        <f t="shared" si="190"/>
        <v>0</v>
      </c>
      <c r="BW480" s="307"/>
      <c r="BX480" s="307"/>
      <c r="BY480" s="449">
        <f t="shared" si="191"/>
        <v>0</v>
      </c>
    </row>
    <row r="481" spans="1:77" s="308" customFormat="1" ht="12.75" customHeight="1">
      <c r="A481" s="365" t="s">
        <v>310</v>
      </c>
      <c r="B481" s="366" t="s">
        <v>18</v>
      </c>
      <c r="C481" s="366"/>
      <c r="D481" s="367">
        <v>219879</v>
      </c>
      <c r="E481" s="368">
        <v>9</v>
      </c>
      <c r="F481" s="453">
        <v>5</v>
      </c>
      <c r="G481" s="454">
        <v>56745.599999999999</v>
      </c>
      <c r="H481" s="439">
        <f t="shared" si="168"/>
        <v>283728</v>
      </c>
      <c r="I481" s="311">
        <v>5</v>
      </c>
      <c r="J481" s="311">
        <v>56745.599999999999</v>
      </c>
      <c r="K481" s="441">
        <f t="shared" si="169"/>
        <v>283728</v>
      </c>
      <c r="L481" s="442">
        <v>32</v>
      </c>
      <c r="M481" s="443">
        <v>48851.125</v>
      </c>
      <c r="N481" s="444">
        <f t="shared" si="170"/>
        <v>1563236</v>
      </c>
      <c r="O481" s="307">
        <v>31</v>
      </c>
      <c r="P481" s="307">
        <v>47876.838709677417</v>
      </c>
      <c r="Q481" s="445">
        <f t="shared" si="171"/>
        <v>1484182</v>
      </c>
      <c r="R481" s="442">
        <v>12</v>
      </c>
      <c r="S481" s="443">
        <v>39691</v>
      </c>
      <c r="T481" s="444">
        <f t="shared" si="172"/>
        <v>476292</v>
      </c>
      <c r="U481" s="307">
        <v>14</v>
      </c>
      <c r="V481" s="307">
        <v>36373.714285714283</v>
      </c>
      <c r="W481" s="441">
        <f t="shared" si="173"/>
        <v>509231.99999999994</v>
      </c>
      <c r="X481" s="442">
        <v>16</v>
      </c>
      <c r="Y481" s="443">
        <v>34812.25</v>
      </c>
      <c r="Z481" s="444">
        <f t="shared" si="174"/>
        <v>556996</v>
      </c>
      <c r="AA481" s="307">
        <v>18</v>
      </c>
      <c r="AB481" s="307">
        <v>36252.777777777781</v>
      </c>
      <c r="AC481" s="445">
        <f t="shared" si="175"/>
        <v>652550</v>
      </c>
      <c r="AD481" s="442">
        <v>0</v>
      </c>
      <c r="AE481" s="443"/>
      <c r="AF481" s="444">
        <f t="shared" si="176"/>
        <v>0</v>
      </c>
      <c r="AG481" s="307"/>
      <c r="AH481" s="307"/>
      <c r="AI481" s="445">
        <f t="shared" si="177"/>
        <v>0</v>
      </c>
      <c r="AJ481" s="446"/>
      <c r="AK481" s="443"/>
      <c r="AL481" s="444">
        <f t="shared" si="178"/>
        <v>0</v>
      </c>
      <c r="AM481" s="307"/>
      <c r="AN481" s="307"/>
      <c r="AO481" s="447">
        <f t="shared" si="179"/>
        <v>0</v>
      </c>
      <c r="AP481" s="448">
        <v>0</v>
      </c>
      <c r="AQ481" s="443"/>
      <c r="AR481" s="444">
        <f t="shared" si="180"/>
        <v>0</v>
      </c>
      <c r="AS481" s="307">
        <v>0</v>
      </c>
      <c r="AT481" s="307"/>
      <c r="AU481" s="441">
        <f t="shared" si="181"/>
        <v>0</v>
      </c>
      <c r="AV481" s="442">
        <v>1</v>
      </c>
      <c r="AW481" s="443">
        <v>70156</v>
      </c>
      <c r="AX481" s="444">
        <f t="shared" si="182"/>
        <v>57401.639200000005</v>
      </c>
      <c r="AY481" s="307">
        <v>1</v>
      </c>
      <c r="AZ481" s="307">
        <v>70156</v>
      </c>
      <c r="BA481" s="445">
        <f t="shared" si="183"/>
        <v>57401.639200000005</v>
      </c>
      <c r="BB481" s="442">
        <v>0</v>
      </c>
      <c r="BC481" s="443"/>
      <c r="BD481" s="444">
        <f t="shared" si="184"/>
        <v>0</v>
      </c>
      <c r="BE481" s="307">
        <v>1</v>
      </c>
      <c r="BF481" s="307">
        <v>42092</v>
      </c>
      <c r="BG481" s="445">
        <f t="shared" si="185"/>
        <v>34439.674400000004</v>
      </c>
      <c r="BH481" s="442">
        <v>3</v>
      </c>
      <c r="BI481" s="443">
        <v>44973.333333333336</v>
      </c>
      <c r="BJ481" s="444">
        <f t="shared" si="186"/>
        <v>110391.54400000001</v>
      </c>
      <c r="BK481" s="307">
        <v>2</v>
      </c>
      <c r="BL481" s="307">
        <v>44168</v>
      </c>
      <c r="BM481" s="445">
        <f t="shared" si="187"/>
        <v>72276.515200000009</v>
      </c>
      <c r="BN481" s="371">
        <v>0</v>
      </c>
      <c r="BO481" s="372"/>
      <c r="BP481" s="444">
        <f t="shared" si="188"/>
        <v>0</v>
      </c>
      <c r="BQ481" s="307">
        <v>0</v>
      </c>
      <c r="BR481" s="307"/>
      <c r="BS481" s="445">
        <f t="shared" si="189"/>
        <v>0</v>
      </c>
      <c r="BT481" s="371"/>
      <c r="BU481" s="372"/>
      <c r="BV481" s="444">
        <f t="shared" si="190"/>
        <v>0</v>
      </c>
      <c r="BW481" s="307"/>
      <c r="BX481" s="307"/>
      <c r="BY481" s="449">
        <f t="shared" si="191"/>
        <v>0</v>
      </c>
    </row>
    <row r="482" spans="1:77" s="308" customFormat="1" ht="12.75" customHeight="1">
      <c r="A482" s="365" t="s">
        <v>310</v>
      </c>
      <c r="B482" s="366" t="s">
        <v>19</v>
      </c>
      <c r="C482" s="366"/>
      <c r="D482" s="367">
        <v>219888</v>
      </c>
      <c r="E482" s="368">
        <v>9</v>
      </c>
      <c r="F482" s="453">
        <v>14</v>
      </c>
      <c r="G482" s="454">
        <v>69252.857142857145</v>
      </c>
      <c r="H482" s="439">
        <f t="shared" si="168"/>
        <v>969540</v>
      </c>
      <c r="I482" s="311">
        <v>12</v>
      </c>
      <c r="J482" s="311">
        <v>68074.166666666672</v>
      </c>
      <c r="K482" s="441">
        <f t="shared" si="169"/>
        <v>816890</v>
      </c>
      <c r="L482" s="442">
        <v>34</v>
      </c>
      <c r="M482" s="443">
        <v>51415</v>
      </c>
      <c r="N482" s="444">
        <f t="shared" si="170"/>
        <v>1748110</v>
      </c>
      <c r="O482" s="307">
        <v>31</v>
      </c>
      <c r="P482" s="307">
        <v>51918.709677419356</v>
      </c>
      <c r="Q482" s="445">
        <f t="shared" si="171"/>
        <v>1609480</v>
      </c>
      <c r="R482" s="442">
        <v>20</v>
      </c>
      <c r="S482" s="443">
        <v>40820.5</v>
      </c>
      <c r="T482" s="444">
        <f t="shared" si="172"/>
        <v>816410</v>
      </c>
      <c r="U482" s="307">
        <v>17</v>
      </c>
      <c r="V482" s="307">
        <v>41054.117647058825</v>
      </c>
      <c r="W482" s="441">
        <f t="shared" si="173"/>
        <v>697920</v>
      </c>
      <c r="X482" s="442">
        <v>15</v>
      </c>
      <c r="Y482" s="443">
        <v>36712.666666666664</v>
      </c>
      <c r="Z482" s="444">
        <f t="shared" si="174"/>
        <v>550690</v>
      </c>
      <c r="AA482" s="307">
        <v>16</v>
      </c>
      <c r="AB482" s="307">
        <v>37459.375</v>
      </c>
      <c r="AC482" s="445">
        <f t="shared" si="175"/>
        <v>599350</v>
      </c>
      <c r="AD482" s="442">
        <v>3</v>
      </c>
      <c r="AE482" s="443">
        <v>39323.333333333336</v>
      </c>
      <c r="AF482" s="444">
        <f t="shared" si="176"/>
        <v>117970</v>
      </c>
      <c r="AG482" s="307">
        <v>6</v>
      </c>
      <c r="AH482" s="307">
        <v>38756.666666666664</v>
      </c>
      <c r="AI482" s="445">
        <f t="shared" si="177"/>
        <v>232540</v>
      </c>
      <c r="AJ482" s="446"/>
      <c r="AK482" s="443"/>
      <c r="AL482" s="444">
        <f t="shared" si="178"/>
        <v>0</v>
      </c>
      <c r="AM482" s="307"/>
      <c r="AN482" s="307"/>
      <c r="AO482" s="447">
        <f t="shared" si="179"/>
        <v>0</v>
      </c>
      <c r="AP482" s="448">
        <v>1</v>
      </c>
      <c r="AQ482" s="443">
        <v>97680</v>
      </c>
      <c r="AR482" s="444">
        <f t="shared" si="180"/>
        <v>79921.775999999998</v>
      </c>
      <c r="AS482" s="307">
        <v>0</v>
      </c>
      <c r="AT482" s="307"/>
      <c r="AU482" s="441">
        <f t="shared" si="181"/>
        <v>0</v>
      </c>
      <c r="AV482" s="442">
        <v>4</v>
      </c>
      <c r="AW482" s="443">
        <v>75042.5</v>
      </c>
      <c r="AX482" s="444">
        <f t="shared" si="182"/>
        <v>245599.09400000001</v>
      </c>
      <c r="AY482" s="307">
        <v>5</v>
      </c>
      <c r="AZ482" s="307">
        <v>72558</v>
      </c>
      <c r="BA482" s="445">
        <f t="shared" si="183"/>
        <v>296834.77799999999</v>
      </c>
      <c r="BB482" s="442">
        <v>2</v>
      </c>
      <c r="BC482" s="443">
        <v>58165</v>
      </c>
      <c r="BD482" s="444">
        <f t="shared" si="184"/>
        <v>95181.206000000006</v>
      </c>
      <c r="BE482" s="307">
        <v>2</v>
      </c>
      <c r="BF482" s="307">
        <v>55935</v>
      </c>
      <c r="BG482" s="445">
        <f t="shared" si="185"/>
        <v>91532.034</v>
      </c>
      <c r="BH482" s="442">
        <v>3</v>
      </c>
      <c r="BI482" s="443">
        <v>47156.666666666664</v>
      </c>
      <c r="BJ482" s="444">
        <f t="shared" si="186"/>
        <v>115750.754</v>
      </c>
      <c r="BK482" s="307">
        <v>3</v>
      </c>
      <c r="BL482" s="307">
        <v>47156.666666666664</v>
      </c>
      <c r="BM482" s="445">
        <f t="shared" si="187"/>
        <v>115750.754</v>
      </c>
      <c r="BN482" s="371">
        <v>1</v>
      </c>
      <c r="BO482" s="372">
        <v>45000</v>
      </c>
      <c r="BP482" s="444">
        <f t="shared" si="188"/>
        <v>36819</v>
      </c>
      <c r="BQ482" s="307">
        <v>1</v>
      </c>
      <c r="BR482" s="307">
        <v>45000</v>
      </c>
      <c r="BS482" s="445">
        <f t="shared" si="189"/>
        <v>36819</v>
      </c>
      <c r="BT482" s="371"/>
      <c r="BU482" s="372"/>
      <c r="BV482" s="444">
        <f t="shared" si="190"/>
        <v>0</v>
      </c>
      <c r="BW482" s="307"/>
      <c r="BX482" s="307"/>
      <c r="BY482" s="449">
        <f t="shared" si="191"/>
        <v>0</v>
      </c>
    </row>
    <row r="483" spans="1:77" s="308" customFormat="1" ht="12.75" customHeight="1">
      <c r="A483" s="365" t="s">
        <v>310</v>
      </c>
      <c r="B483" s="366" t="s">
        <v>20</v>
      </c>
      <c r="C483" s="366"/>
      <c r="D483" s="367">
        <v>220400</v>
      </c>
      <c r="E483" s="368">
        <v>9</v>
      </c>
      <c r="F483" s="453">
        <v>8</v>
      </c>
      <c r="G483" s="454">
        <v>59114.875</v>
      </c>
      <c r="H483" s="439">
        <f t="shared" si="168"/>
        <v>472919</v>
      </c>
      <c r="I483" s="311">
        <v>8</v>
      </c>
      <c r="J483" s="311">
        <v>59114.875</v>
      </c>
      <c r="K483" s="441">
        <f t="shared" si="169"/>
        <v>472919</v>
      </c>
      <c r="L483" s="442">
        <v>35</v>
      </c>
      <c r="M483" s="443">
        <v>48571.771428571432</v>
      </c>
      <c r="N483" s="444">
        <f t="shared" si="170"/>
        <v>1700012</v>
      </c>
      <c r="O483" s="307">
        <v>32</v>
      </c>
      <c r="P483" s="307">
        <v>49783.5</v>
      </c>
      <c r="Q483" s="445">
        <f t="shared" si="171"/>
        <v>1593072</v>
      </c>
      <c r="R483" s="442">
        <v>32</v>
      </c>
      <c r="S483" s="443">
        <v>43544.4375</v>
      </c>
      <c r="T483" s="444">
        <f t="shared" si="172"/>
        <v>1393422</v>
      </c>
      <c r="U483" s="307">
        <v>30</v>
      </c>
      <c r="V483" s="307">
        <v>42881.8</v>
      </c>
      <c r="W483" s="441">
        <f t="shared" si="173"/>
        <v>1286454</v>
      </c>
      <c r="X483" s="442">
        <v>11</v>
      </c>
      <c r="Y483" s="443">
        <v>42105.272727272728</v>
      </c>
      <c r="Z483" s="444">
        <f t="shared" si="174"/>
        <v>463158</v>
      </c>
      <c r="AA483" s="307">
        <v>11</v>
      </c>
      <c r="AB483" s="307">
        <v>42476.63636363636</v>
      </c>
      <c r="AC483" s="445">
        <f t="shared" si="175"/>
        <v>467242.99999999994</v>
      </c>
      <c r="AD483" s="442">
        <v>0</v>
      </c>
      <c r="AE483" s="443"/>
      <c r="AF483" s="444">
        <f t="shared" si="176"/>
        <v>0</v>
      </c>
      <c r="AG483" s="307">
        <v>1</v>
      </c>
      <c r="AH483" s="307">
        <v>39434</v>
      </c>
      <c r="AI483" s="445">
        <f t="shared" si="177"/>
        <v>39434</v>
      </c>
      <c r="AJ483" s="446"/>
      <c r="AK483" s="443"/>
      <c r="AL483" s="444">
        <f t="shared" si="178"/>
        <v>0</v>
      </c>
      <c r="AM483" s="307"/>
      <c r="AN483" s="307"/>
      <c r="AO483" s="447">
        <f t="shared" si="179"/>
        <v>0</v>
      </c>
      <c r="AP483" s="448">
        <v>1</v>
      </c>
      <c r="AQ483" s="443">
        <v>79567</v>
      </c>
      <c r="AR483" s="444">
        <f t="shared" si="180"/>
        <v>65101.719400000002</v>
      </c>
      <c r="AS483" s="307">
        <v>1</v>
      </c>
      <c r="AT483" s="307">
        <v>79567</v>
      </c>
      <c r="AU483" s="441">
        <f t="shared" si="181"/>
        <v>65101.719400000002</v>
      </c>
      <c r="AV483" s="442">
        <v>7</v>
      </c>
      <c r="AW483" s="443">
        <v>64925</v>
      </c>
      <c r="AX483" s="444">
        <f t="shared" si="182"/>
        <v>371851.44500000001</v>
      </c>
      <c r="AY483" s="307">
        <v>7</v>
      </c>
      <c r="AZ483" s="307">
        <v>64925</v>
      </c>
      <c r="BA483" s="445">
        <f t="shared" si="183"/>
        <v>371851.44500000001</v>
      </c>
      <c r="BB483" s="442">
        <v>4</v>
      </c>
      <c r="BC483" s="443">
        <v>53423.5</v>
      </c>
      <c r="BD483" s="444">
        <f t="shared" si="184"/>
        <v>174844.4308</v>
      </c>
      <c r="BE483" s="307">
        <v>5</v>
      </c>
      <c r="BF483" s="307">
        <v>52896.2</v>
      </c>
      <c r="BG483" s="445">
        <f t="shared" si="185"/>
        <v>216398.3542</v>
      </c>
      <c r="BH483" s="442">
        <v>1</v>
      </c>
      <c r="BI483" s="443">
        <v>47358</v>
      </c>
      <c r="BJ483" s="444">
        <f t="shared" si="186"/>
        <v>38748.315600000002</v>
      </c>
      <c r="BK483" s="307">
        <v>1</v>
      </c>
      <c r="BL483" s="307">
        <v>47358</v>
      </c>
      <c r="BM483" s="445">
        <f t="shared" si="187"/>
        <v>38748.315600000002</v>
      </c>
      <c r="BN483" s="371">
        <v>0</v>
      </c>
      <c r="BO483" s="372">
        <v>0</v>
      </c>
      <c r="BP483" s="444">
        <f t="shared" si="188"/>
        <v>0</v>
      </c>
      <c r="BQ483" s="307">
        <v>0</v>
      </c>
      <c r="BR483" s="307"/>
      <c r="BS483" s="445">
        <f t="shared" si="189"/>
        <v>0</v>
      </c>
      <c r="BT483" s="371"/>
      <c r="BU483" s="372"/>
      <c r="BV483" s="444">
        <f t="shared" si="190"/>
        <v>0</v>
      </c>
      <c r="BW483" s="307"/>
      <c r="BX483" s="307"/>
      <c r="BY483" s="449">
        <f t="shared" si="191"/>
        <v>0</v>
      </c>
    </row>
    <row r="484" spans="1:77" s="308" customFormat="1" ht="12.75" customHeight="1">
      <c r="A484" s="365" t="s">
        <v>310</v>
      </c>
      <c r="B484" s="366" t="s">
        <v>21</v>
      </c>
      <c r="C484" s="366"/>
      <c r="D484" s="367">
        <v>221096</v>
      </c>
      <c r="E484" s="368">
        <v>9</v>
      </c>
      <c r="F484" s="453">
        <v>9</v>
      </c>
      <c r="G484" s="454">
        <v>69418.666666666672</v>
      </c>
      <c r="H484" s="439">
        <f t="shared" si="168"/>
        <v>624768</v>
      </c>
      <c r="I484" s="311">
        <v>11</v>
      </c>
      <c r="J484" s="311">
        <v>64407.545454545456</v>
      </c>
      <c r="K484" s="441">
        <f t="shared" si="169"/>
        <v>708483</v>
      </c>
      <c r="L484" s="442">
        <v>20</v>
      </c>
      <c r="M484" s="443">
        <v>46018.1</v>
      </c>
      <c r="N484" s="444">
        <f t="shared" si="170"/>
        <v>920362</v>
      </c>
      <c r="O484" s="307">
        <v>20</v>
      </c>
      <c r="P484" s="307">
        <v>45613</v>
      </c>
      <c r="Q484" s="445">
        <f t="shared" si="171"/>
        <v>912260</v>
      </c>
      <c r="R484" s="442">
        <v>18</v>
      </c>
      <c r="S484" s="443">
        <v>38200.277777777781</v>
      </c>
      <c r="T484" s="444">
        <f t="shared" si="172"/>
        <v>687605</v>
      </c>
      <c r="U484" s="307">
        <v>18</v>
      </c>
      <c r="V484" s="307">
        <v>39067.222222222219</v>
      </c>
      <c r="W484" s="441">
        <f t="shared" si="173"/>
        <v>703210</v>
      </c>
      <c r="X484" s="442">
        <v>32</v>
      </c>
      <c r="Y484" s="443">
        <v>37144.46875</v>
      </c>
      <c r="Z484" s="444">
        <f t="shared" si="174"/>
        <v>1188623</v>
      </c>
      <c r="AA484" s="307">
        <v>27</v>
      </c>
      <c r="AB484" s="307">
        <v>37017.666666666664</v>
      </c>
      <c r="AC484" s="445">
        <f t="shared" si="175"/>
        <v>999476.99999999988</v>
      </c>
      <c r="AD484" s="442">
        <v>0</v>
      </c>
      <c r="AE484" s="443"/>
      <c r="AF484" s="444">
        <f t="shared" si="176"/>
        <v>0</v>
      </c>
      <c r="AG484" s="307"/>
      <c r="AH484" s="307"/>
      <c r="AI484" s="445">
        <f t="shared" si="177"/>
        <v>0</v>
      </c>
      <c r="AJ484" s="446"/>
      <c r="AK484" s="443"/>
      <c r="AL484" s="444">
        <f t="shared" si="178"/>
        <v>0</v>
      </c>
      <c r="AM484" s="307"/>
      <c r="AN484" s="307"/>
      <c r="AO484" s="447">
        <f t="shared" si="179"/>
        <v>0</v>
      </c>
      <c r="AP484" s="448">
        <v>0</v>
      </c>
      <c r="AQ484" s="443"/>
      <c r="AR484" s="444">
        <f t="shared" si="180"/>
        <v>0</v>
      </c>
      <c r="AS484" s="307">
        <v>0</v>
      </c>
      <c r="AT484" s="307"/>
      <c r="AU484" s="441">
        <f t="shared" si="181"/>
        <v>0</v>
      </c>
      <c r="AV484" s="442">
        <v>0</v>
      </c>
      <c r="AW484" s="443"/>
      <c r="AX484" s="444">
        <f t="shared" si="182"/>
        <v>0</v>
      </c>
      <c r="AY484" s="307">
        <v>0</v>
      </c>
      <c r="AZ484" s="307"/>
      <c r="BA484" s="445">
        <f t="shared" si="183"/>
        <v>0</v>
      </c>
      <c r="BB484" s="442">
        <v>0</v>
      </c>
      <c r="BC484" s="443"/>
      <c r="BD484" s="444">
        <f t="shared" si="184"/>
        <v>0</v>
      </c>
      <c r="BE484" s="307">
        <v>0</v>
      </c>
      <c r="BF484" s="307"/>
      <c r="BG484" s="445">
        <f t="shared" si="185"/>
        <v>0</v>
      </c>
      <c r="BH484" s="442">
        <v>0</v>
      </c>
      <c r="BI484" s="443"/>
      <c r="BJ484" s="444">
        <f t="shared" si="186"/>
        <v>0</v>
      </c>
      <c r="BK484" s="307">
        <v>0</v>
      </c>
      <c r="BL484" s="307"/>
      <c r="BM484" s="445">
        <f t="shared" si="187"/>
        <v>0</v>
      </c>
      <c r="BN484" s="371">
        <v>0</v>
      </c>
      <c r="BO484" s="372">
        <v>0</v>
      </c>
      <c r="BP484" s="444">
        <f t="shared" si="188"/>
        <v>0</v>
      </c>
      <c r="BQ484" s="307">
        <v>0</v>
      </c>
      <c r="BR484" s="307"/>
      <c r="BS484" s="445">
        <f t="shared" si="189"/>
        <v>0</v>
      </c>
      <c r="BT484" s="371"/>
      <c r="BU484" s="372"/>
      <c r="BV484" s="444">
        <f t="shared" si="190"/>
        <v>0</v>
      </c>
      <c r="BW484" s="307"/>
      <c r="BX484" s="307"/>
      <c r="BY484" s="449">
        <f t="shared" si="191"/>
        <v>0</v>
      </c>
    </row>
    <row r="485" spans="1:77" s="308" customFormat="1" ht="12.75" customHeight="1">
      <c r="A485" s="365" t="s">
        <v>310</v>
      </c>
      <c r="B485" s="396" t="s">
        <v>22</v>
      </c>
      <c r="C485" s="531" t="s">
        <v>1129</v>
      </c>
      <c r="D485" s="367">
        <v>221184</v>
      </c>
      <c r="E485" s="368">
        <v>9</v>
      </c>
      <c r="F485" s="453">
        <v>7</v>
      </c>
      <c r="G485" s="454">
        <v>59034</v>
      </c>
      <c r="H485" s="439">
        <f t="shared" si="168"/>
        <v>413238</v>
      </c>
      <c r="I485" s="311">
        <v>6</v>
      </c>
      <c r="J485" s="311">
        <v>59204.5</v>
      </c>
      <c r="K485" s="441">
        <f t="shared" si="169"/>
        <v>355227</v>
      </c>
      <c r="L485" s="442">
        <v>42</v>
      </c>
      <c r="M485" s="443">
        <v>51400.833333333336</v>
      </c>
      <c r="N485" s="444">
        <f t="shared" si="170"/>
        <v>2158835</v>
      </c>
      <c r="O485" s="307">
        <v>40</v>
      </c>
      <c r="P485" s="307">
        <v>50635.425000000003</v>
      </c>
      <c r="Q485" s="445">
        <f t="shared" si="171"/>
        <v>2025417</v>
      </c>
      <c r="R485" s="442">
        <v>28</v>
      </c>
      <c r="S485" s="443">
        <v>41883.571428571428</v>
      </c>
      <c r="T485" s="444">
        <f t="shared" si="172"/>
        <v>1172740</v>
      </c>
      <c r="U485" s="307">
        <v>33</v>
      </c>
      <c r="V485" s="307">
        <v>40660.393939393936</v>
      </c>
      <c r="W485" s="441">
        <f t="shared" si="173"/>
        <v>1341793</v>
      </c>
      <c r="X485" s="442">
        <v>71</v>
      </c>
      <c r="Y485" s="443">
        <v>37752.267605633802</v>
      </c>
      <c r="Z485" s="444">
        <f t="shared" si="174"/>
        <v>2680411</v>
      </c>
      <c r="AA485" s="307">
        <v>80</v>
      </c>
      <c r="AB485" s="307">
        <v>38752.912499999999</v>
      </c>
      <c r="AC485" s="445">
        <f t="shared" si="175"/>
        <v>3100233</v>
      </c>
      <c r="AD485" s="442">
        <v>0</v>
      </c>
      <c r="AE485" s="443"/>
      <c r="AF485" s="444">
        <f t="shared" si="176"/>
        <v>0</v>
      </c>
      <c r="AG485" s="307"/>
      <c r="AH485" s="307"/>
      <c r="AI485" s="445">
        <f t="shared" si="177"/>
        <v>0</v>
      </c>
      <c r="AJ485" s="446"/>
      <c r="AK485" s="443"/>
      <c r="AL485" s="444">
        <f t="shared" si="178"/>
        <v>0</v>
      </c>
      <c r="AM485" s="307"/>
      <c r="AN485" s="307"/>
      <c r="AO485" s="447">
        <f t="shared" si="179"/>
        <v>0</v>
      </c>
      <c r="AP485" s="448">
        <v>0</v>
      </c>
      <c r="AQ485" s="443"/>
      <c r="AR485" s="444">
        <f t="shared" si="180"/>
        <v>0</v>
      </c>
      <c r="AS485" s="307">
        <v>0</v>
      </c>
      <c r="AT485" s="307"/>
      <c r="AU485" s="441">
        <f t="shared" si="181"/>
        <v>0</v>
      </c>
      <c r="AV485" s="442">
        <v>0</v>
      </c>
      <c r="AW485" s="443"/>
      <c r="AX485" s="444">
        <f t="shared" si="182"/>
        <v>0</v>
      </c>
      <c r="AY485" s="307">
        <v>0</v>
      </c>
      <c r="AZ485" s="307"/>
      <c r="BA485" s="445">
        <f t="shared" si="183"/>
        <v>0</v>
      </c>
      <c r="BB485" s="442">
        <v>0</v>
      </c>
      <c r="BC485" s="443"/>
      <c r="BD485" s="444">
        <f t="shared" si="184"/>
        <v>0</v>
      </c>
      <c r="BE485" s="307">
        <v>0</v>
      </c>
      <c r="BF485" s="307"/>
      <c r="BG485" s="445">
        <f t="shared" si="185"/>
        <v>0</v>
      </c>
      <c r="BH485" s="442">
        <v>2</v>
      </c>
      <c r="BI485" s="443">
        <v>52253</v>
      </c>
      <c r="BJ485" s="444">
        <f t="shared" si="186"/>
        <v>85506.809200000003</v>
      </c>
      <c r="BK485" s="307">
        <v>2</v>
      </c>
      <c r="BL485" s="307">
        <v>63369.5</v>
      </c>
      <c r="BM485" s="445">
        <f t="shared" si="187"/>
        <v>103697.84980000001</v>
      </c>
      <c r="BN485" s="371">
        <v>0</v>
      </c>
      <c r="BO485" s="372">
        <v>0</v>
      </c>
      <c r="BP485" s="444">
        <f t="shared" si="188"/>
        <v>0</v>
      </c>
      <c r="BQ485" s="307">
        <v>0</v>
      </c>
      <c r="BR485" s="307"/>
      <c r="BS485" s="445">
        <f t="shared" si="189"/>
        <v>0</v>
      </c>
      <c r="BT485" s="371"/>
      <c r="BU485" s="372"/>
      <c r="BV485" s="444">
        <f t="shared" si="190"/>
        <v>0</v>
      </c>
      <c r="BW485" s="307"/>
      <c r="BX485" s="307"/>
      <c r="BY485" s="449">
        <f t="shared" si="191"/>
        <v>0</v>
      </c>
    </row>
    <row r="486" spans="1:77" s="308" customFormat="1" ht="12.75" customHeight="1">
      <c r="A486" s="365" t="s">
        <v>310</v>
      </c>
      <c r="B486" s="366" t="s">
        <v>23</v>
      </c>
      <c r="C486" s="366"/>
      <c r="D486" s="367">
        <v>221908</v>
      </c>
      <c r="E486" s="368">
        <v>9</v>
      </c>
      <c r="F486" s="453">
        <v>8</v>
      </c>
      <c r="G486" s="454">
        <v>54765.25</v>
      </c>
      <c r="H486" s="439">
        <f t="shared" si="168"/>
        <v>438122</v>
      </c>
      <c r="I486" s="311">
        <v>10</v>
      </c>
      <c r="J486" s="311">
        <v>51010.8</v>
      </c>
      <c r="K486" s="441">
        <f t="shared" si="169"/>
        <v>510108</v>
      </c>
      <c r="L486" s="442">
        <v>32</v>
      </c>
      <c r="M486" s="443">
        <v>47830.5625</v>
      </c>
      <c r="N486" s="444">
        <f t="shared" si="170"/>
        <v>1530578</v>
      </c>
      <c r="O486" s="307">
        <v>30</v>
      </c>
      <c r="P486" s="307">
        <v>45312.533333333333</v>
      </c>
      <c r="Q486" s="445">
        <f t="shared" si="171"/>
        <v>1359376</v>
      </c>
      <c r="R486" s="442">
        <v>25</v>
      </c>
      <c r="S486" s="443">
        <v>37779.919999999998</v>
      </c>
      <c r="T486" s="444">
        <f t="shared" si="172"/>
        <v>944498</v>
      </c>
      <c r="U486" s="307">
        <v>33</v>
      </c>
      <c r="V486" s="307">
        <v>36780.454545454544</v>
      </c>
      <c r="W486" s="441">
        <f t="shared" si="173"/>
        <v>1213755</v>
      </c>
      <c r="X486" s="442">
        <v>30</v>
      </c>
      <c r="Y486" s="443">
        <v>35159.866666666669</v>
      </c>
      <c r="Z486" s="444">
        <f t="shared" si="174"/>
        <v>1054796</v>
      </c>
      <c r="AA486" s="307">
        <v>27</v>
      </c>
      <c r="AB486" s="307">
        <v>36885.925925925927</v>
      </c>
      <c r="AC486" s="445">
        <f t="shared" si="175"/>
        <v>995920</v>
      </c>
      <c r="AD486" s="442">
        <v>0</v>
      </c>
      <c r="AE486" s="443"/>
      <c r="AF486" s="444">
        <f t="shared" si="176"/>
        <v>0</v>
      </c>
      <c r="AG486" s="307"/>
      <c r="AH486" s="307"/>
      <c r="AI486" s="445">
        <f t="shared" si="177"/>
        <v>0</v>
      </c>
      <c r="AJ486" s="446"/>
      <c r="AK486" s="443"/>
      <c r="AL486" s="444">
        <f t="shared" si="178"/>
        <v>0</v>
      </c>
      <c r="AM486" s="307"/>
      <c r="AN486" s="307"/>
      <c r="AO486" s="447">
        <f t="shared" si="179"/>
        <v>0</v>
      </c>
      <c r="AP486" s="448">
        <v>2</v>
      </c>
      <c r="AQ486" s="443">
        <v>68285</v>
      </c>
      <c r="AR486" s="444">
        <f t="shared" si="180"/>
        <v>111741.57400000001</v>
      </c>
      <c r="AS486" s="307">
        <v>2</v>
      </c>
      <c r="AT486" s="307">
        <v>69285</v>
      </c>
      <c r="AU486" s="441">
        <f t="shared" si="181"/>
        <v>113377.974</v>
      </c>
      <c r="AV486" s="442">
        <v>6</v>
      </c>
      <c r="AW486" s="443">
        <v>67377</v>
      </c>
      <c r="AX486" s="444">
        <f t="shared" si="182"/>
        <v>330767.16840000002</v>
      </c>
      <c r="AY486" s="307">
        <v>5</v>
      </c>
      <c r="AZ486" s="307">
        <v>68258.2</v>
      </c>
      <c r="BA486" s="445">
        <f t="shared" si="183"/>
        <v>279244.29620000004</v>
      </c>
      <c r="BB486" s="442">
        <v>2</v>
      </c>
      <c r="BC486" s="443">
        <v>77496</v>
      </c>
      <c r="BD486" s="444">
        <f t="shared" si="184"/>
        <v>126814.4544</v>
      </c>
      <c r="BE486" s="307">
        <v>3</v>
      </c>
      <c r="BF486" s="307">
        <v>72654.333333333328</v>
      </c>
      <c r="BG486" s="445">
        <f t="shared" si="185"/>
        <v>178337.3266</v>
      </c>
      <c r="BH486" s="442">
        <v>1</v>
      </c>
      <c r="BI486" s="443">
        <v>47327</v>
      </c>
      <c r="BJ486" s="444">
        <f t="shared" si="186"/>
        <v>38722.951400000005</v>
      </c>
      <c r="BK486" s="307">
        <v>1</v>
      </c>
      <c r="BL486" s="307">
        <v>48527</v>
      </c>
      <c r="BM486" s="445">
        <f t="shared" si="187"/>
        <v>39704.791400000002</v>
      </c>
      <c r="BN486" s="371">
        <v>0</v>
      </c>
      <c r="BO486" s="372">
        <v>0</v>
      </c>
      <c r="BP486" s="444">
        <f t="shared" si="188"/>
        <v>0</v>
      </c>
      <c r="BQ486" s="307">
        <v>0</v>
      </c>
      <c r="BR486" s="307"/>
      <c r="BS486" s="445">
        <f t="shared" si="189"/>
        <v>0</v>
      </c>
      <c r="BT486" s="371"/>
      <c r="BU486" s="372"/>
      <c r="BV486" s="444">
        <f t="shared" si="190"/>
        <v>0</v>
      </c>
      <c r="BW486" s="307"/>
      <c r="BX486" s="307"/>
      <c r="BY486" s="449">
        <f t="shared" si="191"/>
        <v>0</v>
      </c>
    </row>
    <row r="487" spans="1:77" s="308" customFormat="1" ht="12.75" customHeight="1">
      <c r="A487" s="365" t="s">
        <v>310</v>
      </c>
      <c r="B487" s="366" t="s">
        <v>24</v>
      </c>
      <c r="C487" s="366"/>
      <c r="D487" s="367">
        <v>221397</v>
      </c>
      <c r="E487" s="368">
        <v>9</v>
      </c>
      <c r="F487" s="453">
        <v>16</v>
      </c>
      <c r="G487" s="454">
        <v>58464.6875</v>
      </c>
      <c r="H487" s="439">
        <f t="shared" si="168"/>
        <v>935435</v>
      </c>
      <c r="I487" s="311">
        <v>36</v>
      </c>
      <c r="J487" s="311">
        <v>58101.944444444445</v>
      </c>
      <c r="K487" s="441">
        <f t="shared" si="169"/>
        <v>2091670</v>
      </c>
      <c r="L487" s="442">
        <v>59</v>
      </c>
      <c r="M487" s="443">
        <v>50509.847457627118</v>
      </c>
      <c r="N487" s="444">
        <f t="shared" si="170"/>
        <v>2980081</v>
      </c>
      <c r="O487" s="307">
        <v>104</v>
      </c>
      <c r="P487" s="307">
        <v>50676.923076923078</v>
      </c>
      <c r="Q487" s="445">
        <f t="shared" si="171"/>
        <v>5270400</v>
      </c>
      <c r="R487" s="442">
        <v>32</v>
      </c>
      <c r="S487" s="443">
        <v>43393.34375</v>
      </c>
      <c r="T487" s="444">
        <f t="shared" si="172"/>
        <v>1388587</v>
      </c>
      <c r="U487" s="307">
        <v>21</v>
      </c>
      <c r="V487" s="307">
        <v>41504.285714285717</v>
      </c>
      <c r="W487" s="441">
        <f t="shared" si="173"/>
        <v>871590.00000000012</v>
      </c>
      <c r="X487" s="442">
        <v>8</v>
      </c>
      <c r="Y487" s="443">
        <v>42339.5</v>
      </c>
      <c r="Z487" s="444">
        <f t="shared" si="174"/>
        <v>338716</v>
      </c>
      <c r="AA487" s="307">
        <v>28</v>
      </c>
      <c r="AB487" s="307">
        <v>31644.642857142859</v>
      </c>
      <c r="AC487" s="445">
        <f t="shared" si="175"/>
        <v>886050</v>
      </c>
      <c r="AD487" s="442">
        <v>0</v>
      </c>
      <c r="AE487" s="443"/>
      <c r="AF487" s="444">
        <f t="shared" si="176"/>
        <v>0</v>
      </c>
      <c r="AG487" s="307"/>
      <c r="AH487" s="307"/>
      <c r="AI487" s="445">
        <f t="shared" si="177"/>
        <v>0</v>
      </c>
      <c r="AJ487" s="446"/>
      <c r="AK487" s="443"/>
      <c r="AL487" s="444">
        <f t="shared" si="178"/>
        <v>0</v>
      </c>
      <c r="AM487" s="307"/>
      <c r="AN487" s="307"/>
      <c r="AO487" s="447">
        <f t="shared" si="179"/>
        <v>0</v>
      </c>
      <c r="AP487" s="448">
        <v>4</v>
      </c>
      <c r="AQ487" s="443">
        <v>77769.5</v>
      </c>
      <c r="AR487" s="444">
        <f t="shared" si="180"/>
        <v>254524.0196</v>
      </c>
      <c r="AS487" s="307">
        <v>4</v>
      </c>
      <c r="AT487" s="307">
        <v>80985</v>
      </c>
      <c r="AU487" s="441">
        <f t="shared" si="181"/>
        <v>265047.70799999998</v>
      </c>
      <c r="AV487" s="442">
        <v>5</v>
      </c>
      <c r="AW487" s="443">
        <v>67122.399999999994</v>
      </c>
      <c r="AX487" s="444">
        <f t="shared" si="182"/>
        <v>274597.73840000003</v>
      </c>
      <c r="AY487" s="307">
        <v>2</v>
      </c>
      <c r="AZ487" s="307">
        <v>59335</v>
      </c>
      <c r="BA487" s="445">
        <f t="shared" si="183"/>
        <v>97095.794000000009</v>
      </c>
      <c r="BB487" s="442">
        <v>6</v>
      </c>
      <c r="BC487" s="443">
        <v>49263</v>
      </c>
      <c r="BD487" s="444">
        <f t="shared" si="184"/>
        <v>241841.91960000002</v>
      </c>
      <c r="BE487" s="307">
        <v>0</v>
      </c>
      <c r="BF487" s="307"/>
      <c r="BG487" s="445">
        <f t="shared" si="185"/>
        <v>0</v>
      </c>
      <c r="BH487" s="442">
        <v>3</v>
      </c>
      <c r="BI487" s="443">
        <v>41950.333333333336</v>
      </c>
      <c r="BJ487" s="444">
        <f t="shared" si="186"/>
        <v>102971.28820000001</v>
      </c>
      <c r="BK487" s="307">
        <v>0</v>
      </c>
      <c r="BL487" s="307"/>
      <c r="BM487" s="445">
        <f t="shared" si="187"/>
        <v>0</v>
      </c>
      <c r="BN487" s="371">
        <v>0</v>
      </c>
      <c r="BO487" s="372">
        <v>0</v>
      </c>
      <c r="BP487" s="444">
        <f t="shared" si="188"/>
        <v>0</v>
      </c>
      <c r="BQ487" s="307">
        <v>0</v>
      </c>
      <c r="BR487" s="307"/>
      <c r="BS487" s="445">
        <f t="shared" si="189"/>
        <v>0</v>
      </c>
      <c r="BT487" s="371"/>
      <c r="BU487" s="372"/>
      <c r="BV487" s="444">
        <f t="shared" si="190"/>
        <v>0</v>
      </c>
      <c r="BW487" s="307"/>
      <c r="BX487" s="307"/>
      <c r="BY487" s="449">
        <f t="shared" si="191"/>
        <v>0</v>
      </c>
    </row>
    <row r="488" spans="1:77" s="308" customFormat="1" ht="12.75" customHeight="1">
      <c r="A488" s="365" t="s">
        <v>310</v>
      </c>
      <c r="B488" s="396" t="s">
        <v>25</v>
      </c>
      <c r="C488" s="531" t="s">
        <v>1074</v>
      </c>
      <c r="D488" s="367">
        <v>222053</v>
      </c>
      <c r="E488" s="368">
        <v>9</v>
      </c>
      <c r="F488" s="453">
        <v>17</v>
      </c>
      <c r="G488" s="454">
        <v>56105.529411764706</v>
      </c>
      <c r="H488" s="439">
        <f t="shared" si="168"/>
        <v>953794</v>
      </c>
      <c r="I488" s="311">
        <v>17</v>
      </c>
      <c r="J488" s="311">
        <v>56103.529411764706</v>
      </c>
      <c r="K488" s="441">
        <f t="shared" si="169"/>
        <v>953760</v>
      </c>
      <c r="L488" s="442">
        <v>72</v>
      </c>
      <c r="M488" s="443">
        <v>48797.458333333336</v>
      </c>
      <c r="N488" s="444">
        <f t="shared" si="170"/>
        <v>3513417</v>
      </c>
      <c r="O488" s="307">
        <v>69</v>
      </c>
      <c r="P488" s="307">
        <v>48442.014492753624</v>
      </c>
      <c r="Q488" s="445">
        <f t="shared" si="171"/>
        <v>3342499</v>
      </c>
      <c r="R488" s="442">
        <v>12</v>
      </c>
      <c r="S488" s="443">
        <v>40381.166666666664</v>
      </c>
      <c r="T488" s="444">
        <f t="shared" si="172"/>
        <v>484574</v>
      </c>
      <c r="U488" s="307">
        <v>13</v>
      </c>
      <c r="V488" s="307">
        <v>40563.153846153844</v>
      </c>
      <c r="W488" s="441">
        <f t="shared" si="173"/>
        <v>527321</v>
      </c>
      <c r="X488" s="442">
        <v>23</v>
      </c>
      <c r="Y488" s="443">
        <v>36833.695652173912</v>
      </c>
      <c r="Z488" s="444">
        <f t="shared" si="174"/>
        <v>847175</v>
      </c>
      <c r="AA488" s="307">
        <v>25</v>
      </c>
      <c r="AB488" s="307">
        <v>38847.599999999999</v>
      </c>
      <c r="AC488" s="445">
        <f t="shared" si="175"/>
        <v>971190</v>
      </c>
      <c r="AD488" s="442">
        <v>0</v>
      </c>
      <c r="AE488" s="443"/>
      <c r="AF488" s="444">
        <f t="shared" si="176"/>
        <v>0</v>
      </c>
      <c r="AG488" s="307"/>
      <c r="AH488" s="307"/>
      <c r="AI488" s="445">
        <f t="shared" si="177"/>
        <v>0</v>
      </c>
      <c r="AJ488" s="446"/>
      <c r="AK488" s="443"/>
      <c r="AL488" s="444">
        <f t="shared" si="178"/>
        <v>0</v>
      </c>
      <c r="AM488" s="307"/>
      <c r="AN488" s="307"/>
      <c r="AO488" s="447">
        <f t="shared" si="179"/>
        <v>0</v>
      </c>
      <c r="AP488" s="448">
        <v>0</v>
      </c>
      <c r="AQ488" s="443"/>
      <c r="AR488" s="444">
        <f t="shared" si="180"/>
        <v>0</v>
      </c>
      <c r="AS488" s="307">
        <v>0</v>
      </c>
      <c r="AT488" s="307"/>
      <c r="AU488" s="441">
        <f t="shared" si="181"/>
        <v>0</v>
      </c>
      <c r="AV488" s="442">
        <v>9</v>
      </c>
      <c r="AW488" s="443">
        <v>62298.666666666664</v>
      </c>
      <c r="AX488" s="444">
        <f t="shared" si="182"/>
        <v>458754.9216</v>
      </c>
      <c r="AY488" s="307">
        <v>11</v>
      </c>
      <c r="AZ488" s="307">
        <v>62569.090909090912</v>
      </c>
      <c r="BA488" s="445">
        <f t="shared" si="183"/>
        <v>563134.33200000005</v>
      </c>
      <c r="BB488" s="442">
        <v>5</v>
      </c>
      <c r="BC488" s="443">
        <v>57430.6</v>
      </c>
      <c r="BD488" s="444">
        <f t="shared" si="184"/>
        <v>234948.5846</v>
      </c>
      <c r="BE488" s="307">
        <v>4</v>
      </c>
      <c r="BF488" s="307">
        <v>57639.5</v>
      </c>
      <c r="BG488" s="445">
        <f t="shared" si="185"/>
        <v>188642.55560000002</v>
      </c>
      <c r="BH488" s="442">
        <v>10</v>
      </c>
      <c r="BI488" s="443">
        <v>55915</v>
      </c>
      <c r="BJ488" s="444">
        <f t="shared" si="186"/>
        <v>457496.53</v>
      </c>
      <c r="BK488" s="307">
        <v>12</v>
      </c>
      <c r="BL488" s="307">
        <v>56313</v>
      </c>
      <c r="BM488" s="445">
        <f t="shared" si="187"/>
        <v>552903.55920000002</v>
      </c>
      <c r="BN488" s="371">
        <v>0</v>
      </c>
      <c r="BO488" s="372">
        <v>0</v>
      </c>
      <c r="BP488" s="444">
        <f t="shared" si="188"/>
        <v>0</v>
      </c>
      <c r="BQ488" s="307">
        <v>0</v>
      </c>
      <c r="BR488" s="307"/>
      <c r="BS488" s="445">
        <f t="shared" si="189"/>
        <v>0</v>
      </c>
      <c r="BT488" s="371"/>
      <c r="BU488" s="372"/>
      <c r="BV488" s="444">
        <f t="shared" si="190"/>
        <v>0</v>
      </c>
      <c r="BW488" s="307"/>
      <c r="BX488" s="307"/>
      <c r="BY488" s="449">
        <f t="shared" si="191"/>
        <v>0</v>
      </c>
    </row>
    <row r="489" spans="1:77" s="308" customFormat="1" ht="12.75" customHeight="1">
      <c r="A489" s="365" t="s">
        <v>310</v>
      </c>
      <c r="B489" s="366" t="s">
        <v>26</v>
      </c>
      <c r="C489" s="366"/>
      <c r="D489" s="367">
        <v>222062</v>
      </c>
      <c r="E489" s="368">
        <v>9</v>
      </c>
      <c r="F489" s="453">
        <v>12</v>
      </c>
      <c r="G489" s="454">
        <v>61255.333333333336</v>
      </c>
      <c r="H489" s="439">
        <f t="shared" si="168"/>
        <v>735064</v>
      </c>
      <c r="I489" s="311">
        <v>13</v>
      </c>
      <c r="J489" s="311">
        <v>60192.692307692305</v>
      </c>
      <c r="K489" s="441">
        <f t="shared" si="169"/>
        <v>782505</v>
      </c>
      <c r="L489" s="442">
        <v>60</v>
      </c>
      <c r="M489" s="443">
        <v>50322.883333333331</v>
      </c>
      <c r="N489" s="444">
        <f t="shared" si="170"/>
        <v>3019373</v>
      </c>
      <c r="O489" s="307">
        <v>63</v>
      </c>
      <c r="P489" s="307">
        <v>50122.968253968254</v>
      </c>
      <c r="Q489" s="445">
        <f t="shared" si="171"/>
        <v>3157747</v>
      </c>
      <c r="R489" s="442">
        <v>31</v>
      </c>
      <c r="S489" s="443">
        <v>43917.709677419356</v>
      </c>
      <c r="T489" s="444">
        <f t="shared" si="172"/>
        <v>1361449</v>
      </c>
      <c r="U489" s="307">
        <v>30</v>
      </c>
      <c r="V489" s="307">
        <v>44621.366666666669</v>
      </c>
      <c r="W489" s="441">
        <f t="shared" si="173"/>
        <v>1338641</v>
      </c>
      <c r="X489" s="442">
        <v>16</v>
      </c>
      <c r="Y489" s="443">
        <v>37325.5625</v>
      </c>
      <c r="Z489" s="444">
        <f t="shared" si="174"/>
        <v>597209</v>
      </c>
      <c r="AA489" s="307">
        <v>19</v>
      </c>
      <c r="AB489" s="307">
        <v>36542.15789473684</v>
      </c>
      <c r="AC489" s="445">
        <f t="shared" si="175"/>
        <v>694301</v>
      </c>
      <c r="AD489" s="442">
        <v>0</v>
      </c>
      <c r="AE489" s="443"/>
      <c r="AF489" s="444">
        <f t="shared" si="176"/>
        <v>0</v>
      </c>
      <c r="AG489" s="307"/>
      <c r="AH489" s="307"/>
      <c r="AI489" s="445">
        <f t="shared" si="177"/>
        <v>0</v>
      </c>
      <c r="AJ489" s="446"/>
      <c r="AK489" s="443"/>
      <c r="AL489" s="444">
        <f t="shared" si="178"/>
        <v>0</v>
      </c>
      <c r="AM489" s="307"/>
      <c r="AN489" s="307"/>
      <c r="AO489" s="447">
        <f t="shared" si="179"/>
        <v>0</v>
      </c>
      <c r="AP489" s="448">
        <v>6</v>
      </c>
      <c r="AQ489" s="443">
        <v>81059.333333333328</v>
      </c>
      <c r="AR489" s="444">
        <f t="shared" si="180"/>
        <v>397936.4792</v>
      </c>
      <c r="AS489" s="307">
        <v>6</v>
      </c>
      <c r="AT489" s="307">
        <v>81059.333333333328</v>
      </c>
      <c r="AU489" s="441">
        <f t="shared" si="181"/>
        <v>397936.4792</v>
      </c>
      <c r="AV489" s="442">
        <v>14</v>
      </c>
      <c r="AW489" s="443">
        <v>65122</v>
      </c>
      <c r="AX489" s="444">
        <f t="shared" si="182"/>
        <v>745959.48560000001</v>
      </c>
      <c r="AY489" s="307">
        <v>13</v>
      </c>
      <c r="AZ489" s="307">
        <v>64530.692307692305</v>
      </c>
      <c r="BA489" s="445">
        <f t="shared" si="183"/>
        <v>686387.1618</v>
      </c>
      <c r="BB489" s="442">
        <v>5</v>
      </c>
      <c r="BC489" s="443">
        <v>55635.6</v>
      </c>
      <c r="BD489" s="444">
        <f t="shared" si="184"/>
        <v>227605.2396</v>
      </c>
      <c r="BE489" s="307">
        <v>6</v>
      </c>
      <c r="BF489" s="307">
        <v>58246.666666666664</v>
      </c>
      <c r="BG489" s="445">
        <f t="shared" si="185"/>
        <v>285944.53600000002</v>
      </c>
      <c r="BH489" s="442">
        <v>4</v>
      </c>
      <c r="BI489" s="443">
        <v>50167</v>
      </c>
      <c r="BJ489" s="444">
        <f t="shared" si="186"/>
        <v>164186.5576</v>
      </c>
      <c r="BK489" s="307">
        <v>4</v>
      </c>
      <c r="BL489" s="307">
        <v>47725.25</v>
      </c>
      <c r="BM489" s="445">
        <f t="shared" si="187"/>
        <v>156195.19820000001</v>
      </c>
      <c r="BN489" s="371">
        <v>0</v>
      </c>
      <c r="BO489" s="372">
        <v>0</v>
      </c>
      <c r="BP489" s="444">
        <f t="shared" si="188"/>
        <v>0</v>
      </c>
      <c r="BQ489" s="307">
        <v>0</v>
      </c>
      <c r="BR489" s="307"/>
      <c r="BS489" s="445">
        <f t="shared" si="189"/>
        <v>0</v>
      </c>
      <c r="BT489" s="371"/>
      <c r="BU489" s="372"/>
      <c r="BV489" s="444">
        <f t="shared" si="190"/>
        <v>0</v>
      </c>
      <c r="BW489" s="307"/>
      <c r="BX489" s="307"/>
      <c r="BY489" s="449">
        <f t="shared" si="191"/>
        <v>0</v>
      </c>
    </row>
    <row r="490" spans="1:77" s="308" customFormat="1" ht="12.75" customHeight="1">
      <c r="A490" s="365" t="s">
        <v>310</v>
      </c>
      <c r="B490" s="396" t="s">
        <v>27</v>
      </c>
      <c r="C490" s="531" t="s">
        <v>1093</v>
      </c>
      <c r="D490" s="367">
        <v>220057</v>
      </c>
      <c r="E490" s="368">
        <v>10</v>
      </c>
      <c r="F490" s="453">
        <v>8</v>
      </c>
      <c r="G490" s="454">
        <v>55751.125</v>
      </c>
      <c r="H490" s="439">
        <f t="shared" si="168"/>
        <v>446009</v>
      </c>
      <c r="I490" s="311">
        <v>8</v>
      </c>
      <c r="J490" s="311">
        <v>54973.625</v>
      </c>
      <c r="K490" s="441">
        <f t="shared" si="169"/>
        <v>439789</v>
      </c>
      <c r="L490" s="442">
        <v>16</v>
      </c>
      <c r="M490" s="443">
        <v>47191.9375</v>
      </c>
      <c r="N490" s="444">
        <f t="shared" si="170"/>
        <v>755071</v>
      </c>
      <c r="O490" s="307">
        <v>17</v>
      </c>
      <c r="P490" s="307">
        <v>47055.76470588235</v>
      </c>
      <c r="Q490" s="445">
        <f t="shared" si="171"/>
        <v>799948</v>
      </c>
      <c r="R490" s="442">
        <v>7</v>
      </c>
      <c r="S490" s="443">
        <v>40021.571428571428</v>
      </c>
      <c r="T490" s="444">
        <f t="shared" si="172"/>
        <v>280151</v>
      </c>
      <c r="U490" s="307">
        <v>8</v>
      </c>
      <c r="V490" s="307">
        <v>41888.25</v>
      </c>
      <c r="W490" s="441">
        <f t="shared" si="173"/>
        <v>335106</v>
      </c>
      <c r="X490" s="442">
        <v>16</v>
      </c>
      <c r="Y490" s="443">
        <v>41954.8125</v>
      </c>
      <c r="Z490" s="444">
        <f t="shared" si="174"/>
        <v>671277</v>
      </c>
      <c r="AA490" s="307">
        <v>13</v>
      </c>
      <c r="AB490" s="307">
        <v>42168.461538461539</v>
      </c>
      <c r="AC490" s="445">
        <f t="shared" si="175"/>
        <v>548190</v>
      </c>
      <c r="AD490" s="442">
        <v>0</v>
      </c>
      <c r="AE490" s="443"/>
      <c r="AF490" s="444">
        <f t="shared" si="176"/>
        <v>0</v>
      </c>
      <c r="AG490" s="307"/>
      <c r="AH490" s="307"/>
      <c r="AI490" s="445">
        <f t="shared" si="177"/>
        <v>0</v>
      </c>
      <c r="AJ490" s="446"/>
      <c r="AK490" s="443"/>
      <c r="AL490" s="444">
        <f t="shared" si="178"/>
        <v>0</v>
      </c>
      <c r="AM490" s="307"/>
      <c r="AN490" s="307"/>
      <c r="AO490" s="447">
        <f t="shared" si="179"/>
        <v>0</v>
      </c>
      <c r="AP490" s="448">
        <v>2</v>
      </c>
      <c r="AQ490" s="443">
        <v>76142</v>
      </c>
      <c r="AR490" s="444">
        <f t="shared" si="180"/>
        <v>124598.76880000001</v>
      </c>
      <c r="AS490" s="307">
        <v>1</v>
      </c>
      <c r="AT490" s="307">
        <v>74313</v>
      </c>
      <c r="AU490" s="441">
        <f t="shared" si="181"/>
        <v>60802.8966</v>
      </c>
      <c r="AV490" s="442">
        <v>5</v>
      </c>
      <c r="AW490" s="443">
        <v>63400.800000000003</v>
      </c>
      <c r="AX490" s="444">
        <f t="shared" si="182"/>
        <v>259372.6728</v>
      </c>
      <c r="AY490" s="307">
        <v>4</v>
      </c>
      <c r="AZ490" s="307">
        <v>61117</v>
      </c>
      <c r="BA490" s="445">
        <f t="shared" si="183"/>
        <v>200023.7176</v>
      </c>
      <c r="BB490" s="442">
        <v>0</v>
      </c>
      <c r="BC490" s="443"/>
      <c r="BD490" s="444">
        <f t="shared" si="184"/>
        <v>0</v>
      </c>
      <c r="BE490" s="307">
        <v>0</v>
      </c>
      <c r="BF490" s="307"/>
      <c r="BG490" s="445">
        <f t="shared" si="185"/>
        <v>0</v>
      </c>
      <c r="BH490" s="442">
        <v>0</v>
      </c>
      <c r="BI490" s="443"/>
      <c r="BJ490" s="444">
        <f t="shared" si="186"/>
        <v>0</v>
      </c>
      <c r="BK490" s="307">
        <v>2</v>
      </c>
      <c r="BL490" s="307">
        <v>49826.5</v>
      </c>
      <c r="BM490" s="445">
        <f t="shared" si="187"/>
        <v>81536.084600000002</v>
      </c>
      <c r="BN490" s="371">
        <v>0</v>
      </c>
      <c r="BO490" s="372">
        <v>0</v>
      </c>
      <c r="BP490" s="444">
        <f t="shared" si="188"/>
        <v>0</v>
      </c>
      <c r="BQ490" s="307">
        <v>0</v>
      </c>
      <c r="BR490" s="307"/>
      <c r="BS490" s="445">
        <f t="shared" si="189"/>
        <v>0</v>
      </c>
      <c r="BT490" s="371"/>
      <c r="BU490" s="372"/>
      <c r="BV490" s="444">
        <f t="shared" si="190"/>
        <v>0</v>
      </c>
      <c r="BW490" s="307"/>
      <c r="BX490" s="307"/>
      <c r="BY490" s="449">
        <f t="shared" si="191"/>
        <v>0</v>
      </c>
    </row>
    <row r="491" spans="1:77" s="308" customFormat="1" ht="12.75" customHeight="1">
      <c r="A491" s="365" t="s">
        <v>310</v>
      </c>
      <c r="B491" s="366" t="s">
        <v>28</v>
      </c>
      <c r="C491" s="366"/>
      <c r="D491" s="367">
        <v>219596</v>
      </c>
      <c r="E491" s="368">
        <v>13</v>
      </c>
      <c r="F491" s="453"/>
      <c r="G491" s="454"/>
      <c r="H491" s="439">
        <f t="shared" si="168"/>
        <v>0</v>
      </c>
      <c r="I491" s="311"/>
      <c r="J491" s="311"/>
      <c r="K491" s="441">
        <f t="shared" si="169"/>
        <v>0</v>
      </c>
      <c r="L491" s="442"/>
      <c r="M491" s="443"/>
      <c r="N491" s="444">
        <f t="shared" si="170"/>
        <v>0</v>
      </c>
      <c r="O491" s="307"/>
      <c r="P491" s="307"/>
      <c r="Q491" s="445">
        <f t="shared" si="171"/>
        <v>0</v>
      </c>
      <c r="R491" s="442"/>
      <c r="S491" s="443"/>
      <c r="T491" s="444">
        <f t="shared" si="172"/>
        <v>0</v>
      </c>
      <c r="U491" s="307"/>
      <c r="V491" s="307"/>
      <c r="W491" s="441">
        <f t="shared" si="173"/>
        <v>0</v>
      </c>
      <c r="X491" s="442"/>
      <c r="Y491" s="443"/>
      <c r="Z491" s="444">
        <f t="shared" si="174"/>
        <v>0</v>
      </c>
      <c r="AA491" s="307"/>
      <c r="AB491" s="307"/>
      <c r="AC491" s="445">
        <f t="shared" si="175"/>
        <v>0</v>
      </c>
      <c r="AD491" s="442"/>
      <c r="AE491" s="443"/>
      <c r="AF491" s="444">
        <f t="shared" si="176"/>
        <v>0</v>
      </c>
      <c r="AG491" s="307"/>
      <c r="AH491" s="307"/>
      <c r="AI491" s="445">
        <f t="shared" si="177"/>
        <v>0</v>
      </c>
      <c r="AJ491" s="446"/>
      <c r="AK491" s="443"/>
      <c r="AL491" s="444">
        <f t="shared" si="178"/>
        <v>0</v>
      </c>
      <c r="AM491" s="307"/>
      <c r="AN491" s="307"/>
      <c r="AO491" s="447">
        <f t="shared" si="179"/>
        <v>0</v>
      </c>
      <c r="AP491" s="448"/>
      <c r="AQ491" s="443"/>
      <c r="AR491" s="444">
        <f t="shared" si="180"/>
        <v>0</v>
      </c>
      <c r="AS491" s="307"/>
      <c r="AT491" s="307"/>
      <c r="AU491" s="441">
        <f t="shared" si="181"/>
        <v>0</v>
      </c>
      <c r="AV491" s="442"/>
      <c r="AW491" s="443"/>
      <c r="AX491" s="444">
        <f t="shared" si="182"/>
        <v>0</v>
      </c>
      <c r="AY491" s="307"/>
      <c r="AZ491" s="307"/>
      <c r="BA491" s="445">
        <f t="shared" si="183"/>
        <v>0</v>
      </c>
      <c r="BB491" s="442"/>
      <c r="BC491" s="443"/>
      <c r="BD491" s="444">
        <f t="shared" si="184"/>
        <v>0</v>
      </c>
      <c r="BE491" s="307"/>
      <c r="BF491" s="307"/>
      <c r="BG491" s="445">
        <f t="shared" si="185"/>
        <v>0</v>
      </c>
      <c r="BH491" s="442"/>
      <c r="BI491" s="443"/>
      <c r="BJ491" s="444">
        <f t="shared" si="186"/>
        <v>0</v>
      </c>
      <c r="BK491" s="307"/>
      <c r="BL491" s="307"/>
      <c r="BM491" s="445">
        <f t="shared" si="187"/>
        <v>0</v>
      </c>
      <c r="BN491" s="371"/>
      <c r="BO491" s="372"/>
      <c r="BP491" s="444">
        <f t="shared" si="188"/>
        <v>0</v>
      </c>
      <c r="BQ491" s="307"/>
      <c r="BR491" s="307"/>
      <c r="BS491" s="445">
        <f t="shared" si="189"/>
        <v>0</v>
      </c>
      <c r="BT491" s="371">
        <v>12</v>
      </c>
      <c r="BU491" s="372">
        <v>43921.5</v>
      </c>
      <c r="BV491" s="444">
        <f t="shared" si="190"/>
        <v>431238.85560000001</v>
      </c>
      <c r="BW491" s="307">
        <v>13</v>
      </c>
      <c r="BX491" s="307">
        <v>43593.923076923078</v>
      </c>
      <c r="BY491" s="449">
        <f t="shared" si="191"/>
        <v>463691.12220000004</v>
      </c>
    </row>
    <row r="492" spans="1:77" s="308" customFormat="1" ht="12.75" customHeight="1">
      <c r="A492" s="365" t="s">
        <v>310</v>
      </c>
      <c r="B492" s="397" t="s">
        <v>29</v>
      </c>
      <c r="C492" s="552" t="s">
        <v>1131</v>
      </c>
      <c r="D492" s="367" t="s">
        <v>30</v>
      </c>
      <c r="E492" s="368">
        <v>13</v>
      </c>
      <c r="F492" s="453"/>
      <c r="G492" s="454"/>
      <c r="H492" s="439">
        <f t="shared" si="168"/>
        <v>0</v>
      </c>
      <c r="I492" s="311"/>
      <c r="J492" s="311"/>
      <c r="K492" s="441">
        <f t="shared" si="169"/>
        <v>0</v>
      </c>
      <c r="L492" s="442"/>
      <c r="M492" s="443"/>
      <c r="N492" s="444">
        <f t="shared" si="170"/>
        <v>0</v>
      </c>
      <c r="O492" s="307"/>
      <c r="P492" s="307"/>
      <c r="Q492" s="445">
        <f t="shared" si="171"/>
        <v>0</v>
      </c>
      <c r="R492" s="442"/>
      <c r="S492" s="443"/>
      <c r="T492" s="444">
        <f t="shared" si="172"/>
        <v>0</v>
      </c>
      <c r="U492" s="307"/>
      <c r="V492" s="307"/>
      <c r="W492" s="441">
        <f t="shared" si="173"/>
        <v>0</v>
      </c>
      <c r="X492" s="442"/>
      <c r="Y492" s="443"/>
      <c r="Z492" s="444">
        <f t="shared" si="174"/>
        <v>0</v>
      </c>
      <c r="AA492" s="307"/>
      <c r="AB492" s="307"/>
      <c r="AC492" s="445">
        <f t="shared" si="175"/>
        <v>0</v>
      </c>
      <c r="AD492" s="442"/>
      <c r="AE492" s="443"/>
      <c r="AF492" s="444">
        <f t="shared" si="176"/>
        <v>0</v>
      </c>
      <c r="AG492" s="307"/>
      <c r="AH492" s="307"/>
      <c r="AI492" s="445">
        <f t="shared" si="177"/>
        <v>0</v>
      </c>
      <c r="AJ492" s="446"/>
      <c r="AK492" s="443"/>
      <c r="AL492" s="444">
        <f t="shared" si="178"/>
        <v>0</v>
      </c>
      <c r="AM492" s="307"/>
      <c r="AN492" s="307"/>
      <c r="AO492" s="447">
        <f t="shared" si="179"/>
        <v>0</v>
      </c>
      <c r="AP492" s="448"/>
      <c r="AQ492" s="443"/>
      <c r="AR492" s="444">
        <f t="shared" si="180"/>
        <v>0</v>
      </c>
      <c r="AS492" s="307"/>
      <c r="AT492" s="307"/>
      <c r="AU492" s="441">
        <f t="shared" si="181"/>
        <v>0</v>
      </c>
      <c r="AV492" s="442"/>
      <c r="AW492" s="443"/>
      <c r="AX492" s="444">
        <f t="shared" si="182"/>
        <v>0</v>
      </c>
      <c r="AY492" s="307"/>
      <c r="AZ492" s="307"/>
      <c r="BA492" s="445">
        <f t="shared" si="183"/>
        <v>0</v>
      </c>
      <c r="BB492" s="442"/>
      <c r="BC492" s="443"/>
      <c r="BD492" s="444">
        <f t="shared" si="184"/>
        <v>0</v>
      </c>
      <c r="BE492" s="307"/>
      <c r="BF492" s="307"/>
      <c r="BG492" s="445">
        <f t="shared" si="185"/>
        <v>0</v>
      </c>
      <c r="BH492" s="442"/>
      <c r="BI492" s="443"/>
      <c r="BJ492" s="444">
        <f t="shared" si="186"/>
        <v>0</v>
      </c>
      <c r="BK492" s="307"/>
      <c r="BL492" s="307"/>
      <c r="BM492" s="445">
        <f t="shared" si="187"/>
        <v>0</v>
      </c>
      <c r="BN492" s="371"/>
      <c r="BO492" s="372"/>
      <c r="BP492" s="444">
        <f t="shared" si="188"/>
        <v>0</v>
      </c>
      <c r="BQ492" s="307"/>
      <c r="BR492" s="307"/>
      <c r="BS492" s="445">
        <f t="shared" si="189"/>
        <v>0</v>
      </c>
      <c r="BT492" s="371">
        <v>35</v>
      </c>
      <c r="BU492" s="372">
        <v>47341.314285714288</v>
      </c>
      <c r="BV492" s="444">
        <f t="shared" si="190"/>
        <v>1355713.2172000001</v>
      </c>
      <c r="BW492" s="307">
        <v>40</v>
      </c>
      <c r="BX492" s="307">
        <v>47048.85</v>
      </c>
      <c r="BY492" s="449">
        <f t="shared" si="191"/>
        <v>1539814.7628000001</v>
      </c>
    </row>
    <row r="493" spans="1:77" s="308" customFormat="1" ht="12.75" customHeight="1">
      <c r="A493" s="365" t="s">
        <v>310</v>
      </c>
      <c r="B493" s="366" t="s">
        <v>31</v>
      </c>
      <c r="C493" s="366"/>
      <c r="D493" s="367">
        <v>219921</v>
      </c>
      <c r="E493" s="368">
        <v>13</v>
      </c>
      <c r="F493" s="453"/>
      <c r="G493" s="454"/>
      <c r="H493" s="439">
        <f t="shared" si="168"/>
        <v>0</v>
      </c>
      <c r="I493" s="311"/>
      <c r="J493" s="311"/>
      <c r="K493" s="441">
        <f t="shared" si="169"/>
        <v>0</v>
      </c>
      <c r="L493" s="442"/>
      <c r="M493" s="443"/>
      <c r="N493" s="444">
        <f t="shared" si="170"/>
        <v>0</v>
      </c>
      <c r="O493" s="307"/>
      <c r="P493" s="307"/>
      <c r="Q493" s="445">
        <f t="shared" si="171"/>
        <v>0</v>
      </c>
      <c r="R493" s="442"/>
      <c r="S493" s="443"/>
      <c r="T493" s="444">
        <f t="shared" si="172"/>
        <v>0</v>
      </c>
      <c r="U493" s="307"/>
      <c r="V493" s="307"/>
      <c r="W493" s="441">
        <f t="shared" si="173"/>
        <v>0</v>
      </c>
      <c r="X493" s="442"/>
      <c r="Y493" s="443"/>
      <c r="Z493" s="444">
        <f t="shared" si="174"/>
        <v>0</v>
      </c>
      <c r="AA493" s="307"/>
      <c r="AB493" s="307"/>
      <c r="AC493" s="445">
        <f t="shared" si="175"/>
        <v>0</v>
      </c>
      <c r="AD493" s="442"/>
      <c r="AE493" s="443"/>
      <c r="AF493" s="444">
        <f t="shared" si="176"/>
        <v>0</v>
      </c>
      <c r="AG493" s="307"/>
      <c r="AH493" s="307"/>
      <c r="AI493" s="445">
        <f t="shared" si="177"/>
        <v>0</v>
      </c>
      <c r="AJ493" s="446"/>
      <c r="AK493" s="443"/>
      <c r="AL493" s="444">
        <f t="shared" si="178"/>
        <v>0</v>
      </c>
      <c r="AM493" s="307"/>
      <c r="AN493" s="307"/>
      <c r="AO493" s="447">
        <f t="shared" si="179"/>
        <v>0</v>
      </c>
      <c r="AP493" s="448"/>
      <c r="AQ493" s="443"/>
      <c r="AR493" s="444">
        <f t="shared" si="180"/>
        <v>0</v>
      </c>
      <c r="AS493" s="307"/>
      <c r="AT493" s="307"/>
      <c r="AU493" s="441">
        <f t="shared" si="181"/>
        <v>0</v>
      </c>
      <c r="AV493" s="442"/>
      <c r="AW493" s="443"/>
      <c r="AX493" s="444">
        <f t="shared" si="182"/>
        <v>0</v>
      </c>
      <c r="AY493" s="307"/>
      <c r="AZ493" s="307"/>
      <c r="BA493" s="445">
        <f t="shared" si="183"/>
        <v>0</v>
      </c>
      <c r="BB493" s="442"/>
      <c r="BC493" s="443"/>
      <c r="BD493" s="444">
        <f t="shared" si="184"/>
        <v>0</v>
      </c>
      <c r="BE493" s="307"/>
      <c r="BF493" s="307"/>
      <c r="BG493" s="445">
        <f t="shared" si="185"/>
        <v>0</v>
      </c>
      <c r="BH493" s="442"/>
      <c r="BI493" s="443"/>
      <c r="BJ493" s="444">
        <f t="shared" si="186"/>
        <v>0</v>
      </c>
      <c r="BK493" s="307"/>
      <c r="BL493" s="307"/>
      <c r="BM493" s="445">
        <f t="shared" si="187"/>
        <v>0</v>
      </c>
      <c r="BN493" s="371"/>
      <c r="BO493" s="372"/>
      <c r="BP493" s="444">
        <f t="shared" si="188"/>
        <v>0</v>
      </c>
      <c r="BQ493" s="307"/>
      <c r="BR493" s="307"/>
      <c r="BS493" s="445">
        <f t="shared" si="189"/>
        <v>0</v>
      </c>
      <c r="BT493" s="371">
        <v>9</v>
      </c>
      <c r="BU493" s="372">
        <v>42403.444444444445</v>
      </c>
      <c r="BV493" s="444">
        <f t="shared" si="190"/>
        <v>312250.48420000001</v>
      </c>
      <c r="BW493" s="307">
        <v>10</v>
      </c>
      <c r="BX493" s="307">
        <v>43731.3</v>
      </c>
      <c r="BY493" s="449">
        <f t="shared" si="191"/>
        <v>357809.49660000001</v>
      </c>
    </row>
    <row r="494" spans="1:77" s="308" customFormat="1" ht="12.75" customHeight="1">
      <c r="A494" s="365" t="s">
        <v>310</v>
      </c>
      <c r="B494" s="366" t="s">
        <v>32</v>
      </c>
      <c r="C494" s="366"/>
      <c r="D494" s="367">
        <v>221591</v>
      </c>
      <c r="E494" s="368">
        <v>13</v>
      </c>
      <c r="F494" s="453"/>
      <c r="G494" s="454"/>
      <c r="H494" s="439">
        <f t="shared" si="168"/>
        <v>0</v>
      </c>
      <c r="I494" s="311"/>
      <c r="J494" s="311"/>
      <c r="K494" s="441">
        <f t="shared" si="169"/>
        <v>0</v>
      </c>
      <c r="L494" s="442"/>
      <c r="M494" s="443"/>
      <c r="N494" s="444">
        <f t="shared" si="170"/>
        <v>0</v>
      </c>
      <c r="O494" s="307"/>
      <c r="P494" s="307"/>
      <c r="Q494" s="445">
        <f t="shared" si="171"/>
        <v>0</v>
      </c>
      <c r="R494" s="442"/>
      <c r="S494" s="443"/>
      <c r="T494" s="444">
        <f t="shared" si="172"/>
        <v>0</v>
      </c>
      <c r="U494" s="307"/>
      <c r="V494" s="307"/>
      <c r="W494" s="441">
        <f t="shared" si="173"/>
        <v>0</v>
      </c>
      <c r="X494" s="442"/>
      <c r="Y494" s="443"/>
      <c r="Z494" s="444">
        <f t="shared" si="174"/>
        <v>0</v>
      </c>
      <c r="AA494" s="307"/>
      <c r="AB494" s="307"/>
      <c r="AC494" s="445">
        <f t="shared" si="175"/>
        <v>0</v>
      </c>
      <c r="AD494" s="442"/>
      <c r="AE494" s="443"/>
      <c r="AF494" s="444">
        <f t="shared" si="176"/>
        <v>0</v>
      </c>
      <c r="AG494" s="307"/>
      <c r="AH494" s="307"/>
      <c r="AI494" s="445">
        <f t="shared" si="177"/>
        <v>0</v>
      </c>
      <c r="AJ494" s="446"/>
      <c r="AK494" s="443"/>
      <c r="AL494" s="444">
        <f t="shared" si="178"/>
        <v>0</v>
      </c>
      <c r="AM494" s="307"/>
      <c r="AN494" s="307"/>
      <c r="AO494" s="447">
        <f t="shared" si="179"/>
        <v>0</v>
      </c>
      <c r="AP494" s="448"/>
      <c r="AQ494" s="443"/>
      <c r="AR494" s="444">
        <f t="shared" si="180"/>
        <v>0</v>
      </c>
      <c r="AS494" s="307"/>
      <c r="AT494" s="307"/>
      <c r="AU494" s="441">
        <f t="shared" si="181"/>
        <v>0</v>
      </c>
      <c r="AV494" s="442"/>
      <c r="AW494" s="443"/>
      <c r="AX494" s="444">
        <f t="shared" si="182"/>
        <v>0</v>
      </c>
      <c r="AY494" s="307"/>
      <c r="AZ494" s="307"/>
      <c r="BA494" s="445">
        <f t="shared" si="183"/>
        <v>0</v>
      </c>
      <c r="BB494" s="442"/>
      <c r="BC494" s="443"/>
      <c r="BD494" s="444">
        <f t="shared" si="184"/>
        <v>0</v>
      </c>
      <c r="BE494" s="307"/>
      <c r="BF494" s="307"/>
      <c r="BG494" s="445">
        <f t="shared" si="185"/>
        <v>0</v>
      </c>
      <c r="BH494" s="442"/>
      <c r="BI494" s="443"/>
      <c r="BJ494" s="444">
        <f t="shared" si="186"/>
        <v>0</v>
      </c>
      <c r="BK494" s="307"/>
      <c r="BL494" s="307"/>
      <c r="BM494" s="445">
        <f t="shared" si="187"/>
        <v>0</v>
      </c>
      <c r="BN494" s="371"/>
      <c r="BO494" s="372"/>
      <c r="BP494" s="444">
        <f t="shared" si="188"/>
        <v>0</v>
      </c>
      <c r="BQ494" s="307"/>
      <c r="BR494" s="307"/>
      <c r="BS494" s="445">
        <f t="shared" si="189"/>
        <v>0</v>
      </c>
      <c r="BT494" s="371">
        <v>21</v>
      </c>
      <c r="BU494" s="372">
        <v>44644.619047619046</v>
      </c>
      <c r="BV494" s="444">
        <f t="shared" si="190"/>
        <v>767092.77340000006</v>
      </c>
      <c r="BW494" s="307">
        <v>18</v>
      </c>
      <c r="BX494" s="307">
        <v>43940.111111111109</v>
      </c>
      <c r="BY494" s="449">
        <f t="shared" si="191"/>
        <v>647132.38040000002</v>
      </c>
    </row>
    <row r="495" spans="1:77" s="308" customFormat="1" ht="12.75" customHeight="1">
      <c r="A495" s="365" t="s">
        <v>310</v>
      </c>
      <c r="B495" s="366" t="s">
        <v>33</v>
      </c>
      <c r="C495" s="366"/>
      <c r="D495" s="367">
        <v>221430</v>
      </c>
      <c r="E495" s="368">
        <v>13</v>
      </c>
      <c r="F495" s="453"/>
      <c r="G495" s="454"/>
      <c r="H495" s="439">
        <f t="shared" si="168"/>
        <v>0</v>
      </c>
      <c r="I495" s="311"/>
      <c r="J495" s="311"/>
      <c r="K495" s="441">
        <f t="shared" si="169"/>
        <v>0</v>
      </c>
      <c r="L495" s="442"/>
      <c r="M495" s="443"/>
      <c r="N495" s="444">
        <f t="shared" si="170"/>
        <v>0</v>
      </c>
      <c r="O495" s="307"/>
      <c r="P495" s="307"/>
      <c r="Q495" s="445">
        <f t="shared" si="171"/>
        <v>0</v>
      </c>
      <c r="R495" s="442"/>
      <c r="S495" s="443"/>
      <c r="T495" s="444">
        <f t="shared" si="172"/>
        <v>0</v>
      </c>
      <c r="U495" s="307"/>
      <c r="V495" s="307"/>
      <c r="W495" s="441">
        <f t="shared" si="173"/>
        <v>0</v>
      </c>
      <c r="X495" s="442"/>
      <c r="Y495" s="443"/>
      <c r="Z495" s="444">
        <f t="shared" si="174"/>
        <v>0</v>
      </c>
      <c r="AA495" s="307"/>
      <c r="AB495" s="307"/>
      <c r="AC495" s="445">
        <f t="shared" si="175"/>
        <v>0</v>
      </c>
      <c r="AD495" s="442"/>
      <c r="AE495" s="443"/>
      <c r="AF495" s="444">
        <f t="shared" si="176"/>
        <v>0</v>
      </c>
      <c r="AG495" s="307"/>
      <c r="AH495" s="307"/>
      <c r="AI495" s="445">
        <f t="shared" si="177"/>
        <v>0</v>
      </c>
      <c r="AJ495" s="446"/>
      <c r="AK495" s="443"/>
      <c r="AL495" s="444">
        <f t="shared" si="178"/>
        <v>0</v>
      </c>
      <c r="AM495" s="307"/>
      <c r="AN495" s="307"/>
      <c r="AO495" s="447">
        <f t="shared" si="179"/>
        <v>0</v>
      </c>
      <c r="AP495" s="448"/>
      <c r="AQ495" s="443"/>
      <c r="AR495" s="444">
        <f t="shared" si="180"/>
        <v>0</v>
      </c>
      <c r="AS495" s="307"/>
      <c r="AT495" s="307"/>
      <c r="AU495" s="441">
        <f t="shared" si="181"/>
        <v>0</v>
      </c>
      <c r="AV495" s="442"/>
      <c r="AW495" s="443"/>
      <c r="AX495" s="444">
        <f t="shared" si="182"/>
        <v>0</v>
      </c>
      <c r="AY495" s="307"/>
      <c r="AZ495" s="307"/>
      <c r="BA495" s="445">
        <f t="shared" si="183"/>
        <v>0</v>
      </c>
      <c r="BB495" s="442"/>
      <c r="BC495" s="443"/>
      <c r="BD495" s="444">
        <f t="shared" si="184"/>
        <v>0</v>
      </c>
      <c r="BE495" s="307"/>
      <c r="BF495" s="307"/>
      <c r="BG495" s="445">
        <f t="shared" si="185"/>
        <v>0</v>
      </c>
      <c r="BH495" s="442"/>
      <c r="BI495" s="443"/>
      <c r="BJ495" s="444">
        <f t="shared" si="186"/>
        <v>0</v>
      </c>
      <c r="BK495" s="307"/>
      <c r="BL495" s="307"/>
      <c r="BM495" s="445">
        <f t="shared" si="187"/>
        <v>0</v>
      </c>
      <c r="BN495" s="371"/>
      <c r="BO495" s="372"/>
      <c r="BP495" s="444">
        <f t="shared" si="188"/>
        <v>0</v>
      </c>
      <c r="BQ495" s="307"/>
      <c r="BR495" s="307"/>
      <c r="BS495" s="445">
        <f t="shared" si="189"/>
        <v>0</v>
      </c>
      <c r="BT495" s="371">
        <v>8</v>
      </c>
      <c r="BU495" s="372">
        <v>49461.75</v>
      </c>
      <c r="BV495" s="444">
        <f t="shared" si="190"/>
        <v>323756.8308</v>
      </c>
      <c r="BW495" s="307">
        <v>13</v>
      </c>
      <c r="BX495" s="307">
        <v>46785.076923076922</v>
      </c>
      <c r="BY495" s="449">
        <f t="shared" si="191"/>
        <v>497634.14920000004</v>
      </c>
    </row>
    <row r="496" spans="1:77" s="308" customFormat="1" ht="12.75" customHeight="1">
      <c r="A496" s="365" t="s">
        <v>310</v>
      </c>
      <c r="B496" s="366" t="s">
        <v>34</v>
      </c>
      <c r="C496" s="366"/>
      <c r="D496" s="367">
        <v>219994</v>
      </c>
      <c r="E496" s="368">
        <v>13</v>
      </c>
      <c r="F496" s="453"/>
      <c r="G496" s="454"/>
      <c r="H496" s="439">
        <f t="shared" si="168"/>
        <v>0</v>
      </c>
      <c r="I496" s="311"/>
      <c r="J496" s="311"/>
      <c r="K496" s="441">
        <f t="shared" si="169"/>
        <v>0</v>
      </c>
      <c r="L496" s="442"/>
      <c r="M496" s="443"/>
      <c r="N496" s="444">
        <f t="shared" si="170"/>
        <v>0</v>
      </c>
      <c r="O496" s="307"/>
      <c r="P496" s="307"/>
      <c r="Q496" s="445">
        <f t="shared" si="171"/>
        <v>0</v>
      </c>
      <c r="R496" s="442"/>
      <c r="S496" s="443"/>
      <c r="T496" s="444">
        <f t="shared" si="172"/>
        <v>0</v>
      </c>
      <c r="U496" s="307"/>
      <c r="V496" s="307"/>
      <c r="W496" s="441">
        <f t="shared" si="173"/>
        <v>0</v>
      </c>
      <c r="X496" s="442"/>
      <c r="Y496" s="443"/>
      <c r="Z496" s="444">
        <f t="shared" si="174"/>
        <v>0</v>
      </c>
      <c r="AA496" s="307"/>
      <c r="AB496" s="307"/>
      <c r="AC496" s="445">
        <f t="shared" si="175"/>
        <v>0</v>
      </c>
      <c r="AD496" s="442"/>
      <c r="AE496" s="443"/>
      <c r="AF496" s="444">
        <f t="shared" si="176"/>
        <v>0</v>
      </c>
      <c r="AG496" s="307"/>
      <c r="AH496" s="307"/>
      <c r="AI496" s="445">
        <f t="shared" si="177"/>
        <v>0</v>
      </c>
      <c r="AJ496" s="446"/>
      <c r="AK496" s="443"/>
      <c r="AL496" s="444">
        <f t="shared" si="178"/>
        <v>0</v>
      </c>
      <c r="AM496" s="307"/>
      <c r="AN496" s="307"/>
      <c r="AO496" s="447">
        <f t="shared" si="179"/>
        <v>0</v>
      </c>
      <c r="AP496" s="448"/>
      <c r="AQ496" s="443"/>
      <c r="AR496" s="444">
        <f t="shared" si="180"/>
        <v>0</v>
      </c>
      <c r="AS496" s="307"/>
      <c r="AT496" s="307"/>
      <c r="AU496" s="441">
        <f t="shared" si="181"/>
        <v>0</v>
      </c>
      <c r="AV496" s="442"/>
      <c r="AW496" s="443"/>
      <c r="AX496" s="444">
        <f t="shared" si="182"/>
        <v>0</v>
      </c>
      <c r="AY496" s="307"/>
      <c r="AZ496" s="307"/>
      <c r="BA496" s="445">
        <f t="shared" si="183"/>
        <v>0</v>
      </c>
      <c r="BB496" s="442"/>
      <c r="BC496" s="443"/>
      <c r="BD496" s="444">
        <f t="shared" si="184"/>
        <v>0</v>
      </c>
      <c r="BE496" s="307"/>
      <c r="BF496" s="307"/>
      <c r="BG496" s="445">
        <f t="shared" si="185"/>
        <v>0</v>
      </c>
      <c r="BH496" s="442"/>
      <c r="BI496" s="443"/>
      <c r="BJ496" s="444">
        <f t="shared" si="186"/>
        <v>0</v>
      </c>
      <c r="BK496" s="307"/>
      <c r="BL496" s="307"/>
      <c r="BM496" s="445">
        <f t="shared" si="187"/>
        <v>0</v>
      </c>
      <c r="BN496" s="371"/>
      <c r="BO496" s="372"/>
      <c r="BP496" s="444">
        <f t="shared" si="188"/>
        <v>0</v>
      </c>
      <c r="BQ496" s="307"/>
      <c r="BR496" s="307"/>
      <c r="BS496" s="445">
        <f t="shared" si="189"/>
        <v>0</v>
      </c>
      <c r="BT496" s="371">
        <v>28</v>
      </c>
      <c r="BU496" s="372">
        <v>45396.892857142855</v>
      </c>
      <c r="BV496" s="444">
        <f t="shared" si="190"/>
        <v>1040024.6566000001</v>
      </c>
      <c r="BW496" s="307">
        <v>29</v>
      </c>
      <c r="BX496" s="307">
        <v>44427.586206896551</v>
      </c>
      <c r="BY496" s="449">
        <f t="shared" si="191"/>
        <v>1054168.8800000001</v>
      </c>
    </row>
    <row r="497" spans="1:77" s="308" customFormat="1" ht="12.75" customHeight="1">
      <c r="A497" s="365" t="s">
        <v>310</v>
      </c>
      <c r="B497" s="366" t="s">
        <v>35</v>
      </c>
      <c r="C497" s="366"/>
      <c r="D497" s="367">
        <v>220127</v>
      </c>
      <c r="E497" s="368">
        <v>13</v>
      </c>
      <c r="F497" s="453"/>
      <c r="G497" s="454"/>
      <c r="H497" s="439">
        <f t="shared" si="168"/>
        <v>0</v>
      </c>
      <c r="I497" s="311"/>
      <c r="J497" s="311"/>
      <c r="K497" s="441">
        <f t="shared" si="169"/>
        <v>0</v>
      </c>
      <c r="L497" s="442"/>
      <c r="M497" s="443"/>
      <c r="N497" s="444">
        <f t="shared" si="170"/>
        <v>0</v>
      </c>
      <c r="O497" s="307"/>
      <c r="P497" s="307"/>
      <c r="Q497" s="445">
        <f t="shared" si="171"/>
        <v>0</v>
      </c>
      <c r="R497" s="442"/>
      <c r="S497" s="443"/>
      <c r="T497" s="444">
        <f t="shared" si="172"/>
        <v>0</v>
      </c>
      <c r="U497" s="307"/>
      <c r="V497" s="307"/>
      <c r="W497" s="441">
        <f t="shared" si="173"/>
        <v>0</v>
      </c>
      <c r="X497" s="442"/>
      <c r="Y497" s="443"/>
      <c r="Z497" s="444">
        <f t="shared" si="174"/>
        <v>0</v>
      </c>
      <c r="AA497" s="307"/>
      <c r="AB497" s="307"/>
      <c r="AC497" s="445">
        <f t="shared" si="175"/>
        <v>0</v>
      </c>
      <c r="AD497" s="442"/>
      <c r="AE497" s="443"/>
      <c r="AF497" s="444">
        <f t="shared" si="176"/>
        <v>0</v>
      </c>
      <c r="AG497" s="307"/>
      <c r="AH497" s="307"/>
      <c r="AI497" s="445">
        <f t="shared" si="177"/>
        <v>0</v>
      </c>
      <c r="AJ497" s="446"/>
      <c r="AK497" s="443"/>
      <c r="AL497" s="444">
        <f t="shared" si="178"/>
        <v>0</v>
      </c>
      <c r="AM497" s="307"/>
      <c r="AN497" s="307"/>
      <c r="AO497" s="447">
        <f t="shared" si="179"/>
        <v>0</v>
      </c>
      <c r="AP497" s="448"/>
      <c r="AQ497" s="443"/>
      <c r="AR497" s="444">
        <f t="shared" si="180"/>
        <v>0</v>
      </c>
      <c r="AS497" s="307"/>
      <c r="AT497" s="307"/>
      <c r="AU497" s="441">
        <f t="shared" si="181"/>
        <v>0</v>
      </c>
      <c r="AV497" s="442"/>
      <c r="AW497" s="443"/>
      <c r="AX497" s="444">
        <f t="shared" si="182"/>
        <v>0</v>
      </c>
      <c r="AY497" s="307"/>
      <c r="AZ497" s="307"/>
      <c r="BA497" s="445">
        <f t="shared" si="183"/>
        <v>0</v>
      </c>
      <c r="BB497" s="442"/>
      <c r="BC497" s="443"/>
      <c r="BD497" s="444">
        <f t="shared" si="184"/>
        <v>0</v>
      </c>
      <c r="BE497" s="307"/>
      <c r="BF497" s="307"/>
      <c r="BG497" s="445">
        <f t="shared" si="185"/>
        <v>0</v>
      </c>
      <c r="BH497" s="442"/>
      <c r="BI497" s="443"/>
      <c r="BJ497" s="444">
        <f t="shared" si="186"/>
        <v>0</v>
      </c>
      <c r="BK497" s="307"/>
      <c r="BL497" s="307"/>
      <c r="BM497" s="445">
        <f t="shared" si="187"/>
        <v>0</v>
      </c>
      <c r="BN497" s="371"/>
      <c r="BO497" s="372"/>
      <c r="BP497" s="444">
        <f t="shared" si="188"/>
        <v>0</v>
      </c>
      <c r="BQ497" s="307"/>
      <c r="BR497" s="307"/>
      <c r="BS497" s="445">
        <f t="shared" si="189"/>
        <v>0</v>
      </c>
      <c r="BT497" s="371">
        <v>15</v>
      </c>
      <c r="BU497" s="372">
        <v>45306.133333333331</v>
      </c>
      <c r="BV497" s="444">
        <f t="shared" si="190"/>
        <v>556042.17440000002</v>
      </c>
      <c r="BW497" s="307">
        <v>18</v>
      </c>
      <c r="BX497" s="307">
        <v>44983.944444444445</v>
      </c>
      <c r="BY497" s="449">
        <f t="shared" si="191"/>
        <v>662505.54020000005</v>
      </c>
    </row>
    <row r="498" spans="1:77" s="308" customFormat="1" ht="12.75" customHeight="1">
      <c r="A498" s="365" t="s">
        <v>310</v>
      </c>
      <c r="B498" s="366" t="s">
        <v>36</v>
      </c>
      <c r="C498" s="366"/>
      <c r="D498" s="367">
        <v>220251</v>
      </c>
      <c r="E498" s="368">
        <v>13</v>
      </c>
      <c r="F498" s="453"/>
      <c r="G498" s="454"/>
      <c r="H498" s="439">
        <f t="shared" si="168"/>
        <v>0</v>
      </c>
      <c r="I498" s="311"/>
      <c r="J498" s="311"/>
      <c r="K498" s="441">
        <f t="shared" si="169"/>
        <v>0</v>
      </c>
      <c r="L498" s="442"/>
      <c r="M498" s="443"/>
      <c r="N498" s="444">
        <f t="shared" si="170"/>
        <v>0</v>
      </c>
      <c r="O498" s="307"/>
      <c r="P498" s="307"/>
      <c r="Q498" s="445">
        <f t="shared" si="171"/>
        <v>0</v>
      </c>
      <c r="R498" s="442"/>
      <c r="S498" s="443"/>
      <c r="T498" s="444">
        <f t="shared" si="172"/>
        <v>0</v>
      </c>
      <c r="U498" s="307"/>
      <c r="V498" s="307"/>
      <c r="W498" s="441">
        <f t="shared" si="173"/>
        <v>0</v>
      </c>
      <c r="X498" s="442"/>
      <c r="Y498" s="443"/>
      <c r="Z498" s="444">
        <f t="shared" si="174"/>
        <v>0</v>
      </c>
      <c r="AA498" s="307"/>
      <c r="AB498" s="307"/>
      <c r="AC498" s="445">
        <f t="shared" si="175"/>
        <v>0</v>
      </c>
      <c r="AD498" s="442"/>
      <c r="AE498" s="443"/>
      <c r="AF498" s="444">
        <f t="shared" si="176"/>
        <v>0</v>
      </c>
      <c r="AG498" s="307"/>
      <c r="AH498" s="307"/>
      <c r="AI498" s="445">
        <f t="shared" si="177"/>
        <v>0</v>
      </c>
      <c r="AJ498" s="446"/>
      <c r="AK498" s="443"/>
      <c r="AL498" s="444">
        <f t="shared" si="178"/>
        <v>0</v>
      </c>
      <c r="AM498" s="307"/>
      <c r="AN498" s="307"/>
      <c r="AO498" s="447">
        <f t="shared" si="179"/>
        <v>0</v>
      </c>
      <c r="AP498" s="448"/>
      <c r="AQ498" s="443"/>
      <c r="AR498" s="444">
        <f t="shared" si="180"/>
        <v>0</v>
      </c>
      <c r="AS498" s="307"/>
      <c r="AT498" s="307"/>
      <c r="AU498" s="441">
        <f t="shared" si="181"/>
        <v>0</v>
      </c>
      <c r="AV498" s="442"/>
      <c r="AW498" s="443"/>
      <c r="AX498" s="444">
        <f t="shared" si="182"/>
        <v>0</v>
      </c>
      <c r="AY498" s="307"/>
      <c r="AZ498" s="307"/>
      <c r="BA498" s="445">
        <f t="shared" si="183"/>
        <v>0</v>
      </c>
      <c r="BB498" s="442"/>
      <c r="BC498" s="443"/>
      <c r="BD498" s="444">
        <f t="shared" si="184"/>
        <v>0</v>
      </c>
      <c r="BE498" s="307"/>
      <c r="BF498" s="307"/>
      <c r="BG498" s="445">
        <f t="shared" si="185"/>
        <v>0</v>
      </c>
      <c r="BH498" s="442"/>
      <c r="BI498" s="443"/>
      <c r="BJ498" s="444">
        <f t="shared" si="186"/>
        <v>0</v>
      </c>
      <c r="BK498" s="307"/>
      <c r="BL498" s="307"/>
      <c r="BM498" s="445">
        <f t="shared" si="187"/>
        <v>0</v>
      </c>
      <c r="BN498" s="371"/>
      <c r="BO498" s="372"/>
      <c r="BP498" s="444">
        <f t="shared" si="188"/>
        <v>0</v>
      </c>
      <c r="BQ498" s="307"/>
      <c r="BR498" s="307"/>
      <c r="BS498" s="445">
        <f t="shared" si="189"/>
        <v>0</v>
      </c>
      <c r="BT498" s="371">
        <v>12</v>
      </c>
      <c r="BU498" s="372">
        <v>40267.833333333336</v>
      </c>
      <c r="BV498" s="444">
        <f t="shared" si="190"/>
        <v>395365.6948</v>
      </c>
      <c r="BW498" s="307">
        <v>11</v>
      </c>
      <c r="BX498" s="307">
        <v>40455.818181818184</v>
      </c>
      <c r="BY498" s="449">
        <f t="shared" si="191"/>
        <v>364110.45480000001</v>
      </c>
    </row>
    <row r="499" spans="1:77" s="308" customFormat="1" ht="12.75" customHeight="1">
      <c r="A499" s="365" t="s">
        <v>310</v>
      </c>
      <c r="B499" s="366" t="s">
        <v>37</v>
      </c>
      <c r="C499" s="366"/>
      <c r="D499" s="367">
        <v>220279</v>
      </c>
      <c r="E499" s="368">
        <v>13</v>
      </c>
      <c r="F499" s="453"/>
      <c r="G499" s="454"/>
      <c r="H499" s="439">
        <f t="shared" si="168"/>
        <v>0</v>
      </c>
      <c r="I499" s="311"/>
      <c r="J499" s="311"/>
      <c r="K499" s="441">
        <f t="shared" si="169"/>
        <v>0</v>
      </c>
      <c r="L499" s="442"/>
      <c r="M499" s="443"/>
      <c r="N499" s="444">
        <f t="shared" si="170"/>
        <v>0</v>
      </c>
      <c r="O499" s="307"/>
      <c r="P499" s="307"/>
      <c r="Q499" s="445">
        <f t="shared" si="171"/>
        <v>0</v>
      </c>
      <c r="R499" s="442"/>
      <c r="S499" s="443"/>
      <c r="T499" s="444">
        <f t="shared" si="172"/>
        <v>0</v>
      </c>
      <c r="U499" s="307"/>
      <c r="V499" s="307"/>
      <c r="W499" s="441">
        <f t="shared" si="173"/>
        <v>0</v>
      </c>
      <c r="X499" s="442"/>
      <c r="Y499" s="443"/>
      <c r="Z499" s="444">
        <f t="shared" si="174"/>
        <v>0</v>
      </c>
      <c r="AA499" s="307"/>
      <c r="AB499" s="307"/>
      <c r="AC499" s="445">
        <f t="shared" si="175"/>
        <v>0</v>
      </c>
      <c r="AD499" s="442"/>
      <c r="AE499" s="443"/>
      <c r="AF499" s="444">
        <f t="shared" si="176"/>
        <v>0</v>
      </c>
      <c r="AG499" s="307"/>
      <c r="AH499" s="307"/>
      <c r="AI499" s="445">
        <f t="shared" si="177"/>
        <v>0</v>
      </c>
      <c r="AJ499" s="446"/>
      <c r="AK499" s="443"/>
      <c r="AL499" s="444">
        <f t="shared" si="178"/>
        <v>0</v>
      </c>
      <c r="AM499" s="307"/>
      <c r="AN499" s="307"/>
      <c r="AO499" s="447">
        <f t="shared" si="179"/>
        <v>0</v>
      </c>
      <c r="AP499" s="448"/>
      <c r="AQ499" s="443"/>
      <c r="AR499" s="444">
        <f t="shared" si="180"/>
        <v>0</v>
      </c>
      <c r="AS499" s="307"/>
      <c r="AT499" s="307"/>
      <c r="AU499" s="441">
        <f t="shared" si="181"/>
        <v>0</v>
      </c>
      <c r="AV499" s="442"/>
      <c r="AW499" s="443"/>
      <c r="AX499" s="444">
        <f t="shared" si="182"/>
        <v>0</v>
      </c>
      <c r="AY499" s="307"/>
      <c r="AZ499" s="307"/>
      <c r="BA499" s="445">
        <f t="shared" si="183"/>
        <v>0</v>
      </c>
      <c r="BB499" s="442"/>
      <c r="BC499" s="443"/>
      <c r="BD499" s="444">
        <f t="shared" si="184"/>
        <v>0</v>
      </c>
      <c r="BE499" s="307"/>
      <c r="BF499" s="307"/>
      <c r="BG499" s="445">
        <f t="shared" si="185"/>
        <v>0</v>
      </c>
      <c r="BH499" s="442"/>
      <c r="BI499" s="443"/>
      <c r="BJ499" s="444">
        <f t="shared" si="186"/>
        <v>0</v>
      </c>
      <c r="BK499" s="307"/>
      <c r="BL499" s="307"/>
      <c r="BM499" s="445">
        <f t="shared" si="187"/>
        <v>0</v>
      </c>
      <c r="BN499" s="371"/>
      <c r="BO499" s="372"/>
      <c r="BP499" s="444">
        <f t="shared" si="188"/>
        <v>0</v>
      </c>
      <c r="BQ499" s="307"/>
      <c r="BR499" s="307"/>
      <c r="BS499" s="445">
        <f t="shared" si="189"/>
        <v>0</v>
      </c>
      <c r="BT499" s="371">
        <v>10</v>
      </c>
      <c r="BU499" s="372">
        <v>44969.9</v>
      </c>
      <c r="BV499" s="444">
        <f t="shared" si="190"/>
        <v>367943.7218</v>
      </c>
      <c r="BW499" s="307">
        <v>20</v>
      </c>
      <c r="BX499" s="307">
        <v>40410.300000000003</v>
      </c>
      <c r="BY499" s="449">
        <f t="shared" si="191"/>
        <v>661274.14919999999</v>
      </c>
    </row>
    <row r="500" spans="1:77" s="308" customFormat="1" ht="12.75" customHeight="1">
      <c r="A500" s="365" t="s">
        <v>310</v>
      </c>
      <c r="B500" s="366" t="s">
        <v>730</v>
      </c>
      <c r="C500" s="366"/>
      <c r="D500" s="367">
        <v>220321</v>
      </c>
      <c r="E500" s="368">
        <v>13</v>
      </c>
      <c r="F500" s="453"/>
      <c r="G500" s="454"/>
      <c r="H500" s="439">
        <f t="shared" si="168"/>
        <v>0</v>
      </c>
      <c r="I500" s="311"/>
      <c r="J500" s="311"/>
      <c r="K500" s="441">
        <f t="shared" si="169"/>
        <v>0</v>
      </c>
      <c r="L500" s="442"/>
      <c r="M500" s="443"/>
      <c r="N500" s="444">
        <f t="shared" si="170"/>
        <v>0</v>
      </c>
      <c r="O500" s="307"/>
      <c r="P500" s="307"/>
      <c r="Q500" s="445">
        <f t="shared" si="171"/>
        <v>0</v>
      </c>
      <c r="R500" s="442"/>
      <c r="S500" s="443"/>
      <c r="T500" s="444">
        <f t="shared" si="172"/>
        <v>0</v>
      </c>
      <c r="U500" s="307"/>
      <c r="V500" s="307"/>
      <c r="W500" s="441">
        <f t="shared" si="173"/>
        <v>0</v>
      </c>
      <c r="X500" s="442"/>
      <c r="Y500" s="443"/>
      <c r="Z500" s="444">
        <f t="shared" si="174"/>
        <v>0</v>
      </c>
      <c r="AA500" s="307"/>
      <c r="AB500" s="307"/>
      <c r="AC500" s="445">
        <f t="shared" si="175"/>
        <v>0</v>
      </c>
      <c r="AD500" s="442"/>
      <c r="AE500" s="443"/>
      <c r="AF500" s="444">
        <f t="shared" si="176"/>
        <v>0</v>
      </c>
      <c r="AG500" s="307"/>
      <c r="AH500" s="307"/>
      <c r="AI500" s="445">
        <f t="shared" si="177"/>
        <v>0</v>
      </c>
      <c r="AJ500" s="446"/>
      <c r="AK500" s="443"/>
      <c r="AL500" s="444">
        <f t="shared" si="178"/>
        <v>0</v>
      </c>
      <c r="AM500" s="307"/>
      <c r="AN500" s="307"/>
      <c r="AO500" s="447">
        <f t="shared" si="179"/>
        <v>0</v>
      </c>
      <c r="AP500" s="448"/>
      <c r="AQ500" s="443"/>
      <c r="AR500" s="444">
        <f t="shared" si="180"/>
        <v>0</v>
      </c>
      <c r="AS500" s="307"/>
      <c r="AT500" s="307"/>
      <c r="AU500" s="441">
        <f t="shared" si="181"/>
        <v>0</v>
      </c>
      <c r="AV500" s="442"/>
      <c r="AW500" s="443"/>
      <c r="AX500" s="444">
        <f t="shared" si="182"/>
        <v>0</v>
      </c>
      <c r="AY500" s="307"/>
      <c r="AZ500" s="307"/>
      <c r="BA500" s="445">
        <f t="shared" si="183"/>
        <v>0</v>
      </c>
      <c r="BB500" s="442"/>
      <c r="BC500" s="443"/>
      <c r="BD500" s="444">
        <f t="shared" si="184"/>
        <v>0</v>
      </c>
      <c r="BE500" s="307"/>
      <c r="BF500" s="307"/>
      <c r="BG500" s="445">
        <f t="shared" si="185"/>
        <v>0</v>
      </c>
      <c r="BH500" s="442"/>
      <c r="BI500" s="443"/>
      <c r="BJ500" s="444">
        <f t="shared" si="186"/>
        <v>0</v>
      </c>
      <c r="BK500" s="307"/>
      <c r="BL500" s="307"/>
      <c r="BM500" s="445">
        <f t="shared" si="187"/>
        <v>0</v>
      </c>
      <c r="BN500" s="371"/>
      <c r="BO500" s="372"/>
      <c r="BP500" s="444">
        <f t="shared" si="188"/>
        <v>0</v>
      </c>
      <c r="BQ500" s="307"/>
      <c r="BR500" s="307"/>
      <c r="BS500" s="445">
        <f t="shared" si="189"/>
        <v>0</v>
      </c>
      <c r="BT500" s="371">
        <v>21</v>
      </c>
      <c r="BU500" s="372">
        <v>41991.428571428572</v>
      </c>
      <c r="BV500" s="444">
        <f t="shared" si="190"/>
        <v>721505.12400000007</v>
      </c>
      <c r="BW500" s="307">
        <v>24</v>
      </c>
      <c r="BX500" s="307">
        <v>42642.041666666664</v>
      </c>
      <c r="BY500" s="449">
        <f t="shared" si="191"/>
        <v>837353.24380000005</v>
      </c>
    </row>
    <row r="501" spans="1:77" s="308" customFormat="1" ht="12.75" customHeight="1">
      <c r="A501" s="365" t="s">
        <v>310</v>
      </c>
      <c r="B501" s="366" t="s">
        <v>38</v>
      </c>
      <c r="C501" s="366"/>
      <c r="D501" s="367">
        <v>220394</v>
      </c>
      <c r="E501" s="368">
        <v>13</v>
      </c>
      <c r="F501" s="453"/>
      <c r="G501" s="454"/>
      <c r="H501" s="439">
        <f t="shared" si="168"/>
        <v>0</v>
      </c>
      <c r="I501" s="311"/>
      <c r="J501" s="311"/>
      <c r="K501" s="441">
        <f t="shared" si="169"/>
        <v>0</v>
      </c>
      <c r="L501" s="442"/>
      <c r="M501" s="443"/>
      <c r="N501" s="444">
        <f t="shared" si="170"/>
        <v>0</v>
      </c>
      <c r="O501" s="307"/>
      <c r="P501" s="307"/>
      <c r="Q501" s="445">
        <f t="shared" si="171"/>
        <v>0</v>
      </c>
      <c r="R501" s="442"/>
      <c r="S501" s="443"/>
      <c r="T501" s="444">
        <f t="shared" si="172"/>
        <v>0</v>
      </c>
      <c r="U501" s="307"/>
      <c r="V501" s="307"/>
      <c r="W501" s="441">
        <f t="shared" si="173"/>
        <v>0</v>
      </c>
      <c r="X501" s="442"/>
      <c r="Y501" s="443"/>
      <c r="Z501" s="444">
        <f t="shared" si="174"/>
        <v>0</v>
      </c>
      <c r="AA501" s="307"/>
      <c r="AB501" s="307"/>
      <c r="AC501" s="445">
        <f t="shared" si="175"/>
        <v>0</v>
      </c>
      <c r="AD501" s="442"/>
      <c r="AE501" s="443"/>
      <c r="AF501" s="444">
        <f t="shared" si="176"/>
        <v>0</v>
      </c>
      <c r="AG501" s="307"/>
      <c r="AH501" s="307"/>
      <c r="AI501" s="445">
        <f t="shared" si="177"/>
        <v>0</v>
      </c>
      <c r="AJ501" s="446"/>
      <c r="AK501" s="443"/>
      <c r="AL501" s="444">
        <f t="shared" si="178"/>
        <v>0</v>
      </c>
      <c r="AM501" s="307"/>
      <c r="AN501" s="307"/>
      <c r="AO501" s="447">
        <f t="shared" si="179"/>
        <v>0</v>
      </c>
      <c r="AP501" s="448"/>
      <c r="AQ501" s="443"/>
      <c r="AR501" s="444">
        <f t="shared" si="180"/>
        <v>0</v>
      </c>
      <c r="AS501" s="307"/>
      <c r="AT501" s="307"/>
      <c r="AU501" s="441">
        <f t="shared" si="181"/>
        <v>0</v>
      </c>
      <c r="AV501" s="442"/>
      <c r="AW501" s="443"/>
      <c r="AX501" s="444">
        <f t="shared" si="182"/>
        <v>0</v>
      </c>
      <c r="AY501" s="307"/>
      <c r="AZ501" s="307"/>
      <c r="BA501" s="445">
        <f t="shared" si="183"/>
        <v>0</v>
      </c>
      <c r="BB501" s="442"/>
      <c r="BC501" s="443"/>
      <c r="BD501" s="444">
        <f t="shared" si="184"/>
        <v>0</v>
      </c>
      <c r="BE501" s="307"/>
      <c r="BF501" s="307"/>
      <c r="BG501" s="445">
        <f t="shared" si="185"/>
        <v>0</v>
      </c>
      <c r="BH501" s="442"/>
      <c r="BI501" s="443"/>
      <c r="BJ501" s="444">
        <f t="shared" si="186"/>
        <v>0</v>
      </c>
      <c r="BK501" s="307"/>
      <c r="BL501" s="307"/>
      <c r="BM501" s="445">
        <f t="shared" si="187"/>
        <v>0</v>
      </c>
      <c r="BN501" s="371"/>
      <c r="BO501" s="372"/>
      <c r="BP501" s="444">
        <f t="shared" si="188"/>
        <v>0</v>
      </c>
      <c r="BQ501" s="307"/>
      <c r="BR501" s="307"/>
      <c r="BS501" s="445">
        <f t="shared" si="189"/>
        <v>0</v>
      </c>
      <c r="BT501" s="371">
        <v>9</v>
      </c>
      <c r="BU501" s="372">
        <v>47083.444444444445</v>
      </c>
      <c r="BV501" s="444">
        <f t="shared" si="190"/>
        <v>346713.06820000004</v>
      </c>
      <c r="BW501" s="307">
        <v>9</v>
      </c>
      <c r="BX501" s="307">
        <v>48926.111111111109</v>
      </c>
      <c r="BY501" s="449">
        <f t="shared" si="191"/>
        <v>360282.09700000001</v>
      </c>
    </row>
    <row r="502" spans="1:77" s="308" customFormat="1" ht="12.75" customHeight="1">
      <c r="A502" s="365" t="s">
        <v>310</v>
      </c>
      <c r="B502" s="366" t="s">
        <v>39</v>
      </c>
      <c r="C502" s="366"/>
      <c r="D502" s="367">
        <v>221616</v>
      </c>
      <c r="E502" s="368">
        <v>13</v>
      </c>
      <c r="F502" s="453"/>
      <c r="G502" s="454"/>
      <c r="H502" s="439">
        <f t="shared" si="168"/>
        <v>0</v>
      </c>
      <c r="I502" s="311"/>
      <c r="J502" s="311"/>
      <c r="K502" s="441">
        <f t="shared" si="169"/>
        <v>0</v>
      </c>
      <c r="L502" s="442"/>
      <c r="M502" s="443"/>
      <c r="N502" s="444">
        <f t="shared" si="170"/>
        <v>0</v>
      </c>
      <c r="O502" s="307"/>
      <c r="P502" s="307"/>
      <c r="Q502" s="445">
        <f t="shared" si="171"/>
        <v>0</v>
      </c>
      <c r="R502" s="442"/>
      <c r="S502" s="443"/>
      <c r="T502" s="444">
        <f t="shared" si="172"/>
        <v>0</v>
      </c>
      <c r="U502" s="307"/>
      <c r="V502" s="307"/>
      <c r="W502" s="441">
        <f t="shared" si="173"/>
        <v>0</v>
      </c>
      <c r="X502" s="442"/>
      <c r="Y502" s="443"/>
      <c r="Z502" s="444">
        <f t="shared" si="174"/>
        <v>0</v>
      </c>
      <c r="AA502" s="307"/>
      <c r="AB502" s="307"/>
      <c r="AC502" s="445">
        <f t="shared" si="175"/>
        <v>0</v>
      </c>
      <c r="AD502" s="442"/>
      <c r="AE502" s="443"/>
      <c r="AF502" s="444">
        <f t="shared" si="176"/>
        <v>0</v>
      </c>
      <c r="AG502" s="307"/>
      <c r="AH502" s="307"/>
      <c r="AI502" s="445">
        <f t="shared" si="177"/>
        <v>0</v>
      </c>
      <c r="AJ502" s="446"/>
      <c r="AK502" s="443"/>
      <c r="AL502" s="444">
        <f t="shared" si="178"/>
        <v>0</v>
      </c>
      <c r="AM502" s="307"/>
      <c r="AN502" s="307"/>
      <c r="AO502" s="447">
        <f t="shared" si="179"/>
        <v>0</v>
      </c>
      <c r="AP502" s="448"/>
      <c r="AQ502" s="443"/>
      <c r="AR502" s="444">
        <f t="shared" si="180"/>
        <v>0</v>
      </c>
      <c r="AS502" s="307"/>
      <c r="AT502" s="307"/>
      <c r="AU502" s="441">
        <f t="shared" si="181"/>
        <v>0</v>
      </c>
      <c r="AV502" s="442"/>
      <c r="AW502" s="443"/>
      <c r="AX502" s="444">
        <f t="shared" si="182"/>
        <v>0</v>
      </c>
      <c r="AY502" s="307"/>
      <c r="AZ502" s="307"/>
      <c r="BA502" s="445">
        <f t="shared" si="183"/>
        <v>0</v>
      </c>
      <c r="BB502" s="442"/>
      <c r="BC502" s="443"/>
      <c r="BD502" s="444">
        <f t="shared" si="184"/>
        <v>0</v>
      </c>
      <c r="BE502" s="307"/>
      <c r="BF502" s="307"/>
      <c r="BG502" s="445">
        <f t="shared" si="185"/>
        <v>0</v>
      </c>
      <c r="BH502" s="442"/>
      <c r="BI502" s="443"/>
      <c r="BJ502" s="444">
        <f t="shared" si="186"/>
        <v>0</v>
      </c>
      <c r="BK502" s="307"/>
      <c r="BL502" s="307"/>
      <c r="BM502" s="445">
        <f t="shared" si="187"/>
        <v>0</v>
      </c>
      <c r="BN502" s="371"/>
      <c r="BO502" s="372"/>
      <c r="BP502" s="444">
        <f t="shared" si="188"/>
        <v>0</v>
      </c>
      <c r="BQ502" s="307"/>
      <c r="BR502" s="307"/>
      <c r="BS502" s="445">
        <f t="shared" si="189"/>
        <v>0</v>
      </c>
      <c r="BT502" s="371">
        <v>25</v>
      </c>
      <c r="BU502" s="372">
        <v>47505.04</v>
      </c>
      <c r="BV502" s="444">
        <f t="shared" si="190"/>
        <v>971715.5932</v>
      </c>
      <c r="BW502" s="307">
        <v>25</v>
      </c>
      <c r="BX502" s="307">
        <v>46710.68</v>
      </c>
      <c r="BY502" s="449">
        <f t="shared" si="191"/>
        <v>955466.95940000005</v>
      </c>
    </row>
    <row r="503" spans="1:77" s="308" customFormat="1" ht="12.75" customHeight="1">
      <c r="A503" s="365" t="s">
        <v>310</v>
      </c>
      <c r="B503" s="366" t="s">
        <v>40</v>
      </c>
      <c r="C503" s="366"/>
      <c r="D503" s="367">
        <v>221625</v>
      </c>
      <c r="E503" s="368">
        <v>13</v>
      </c>
      <c r="F503" s="453"/>
      <c r="G503" s="454"/>
      <c r="H503" s="439">
        <f t="shared" si="168"/>
        <v>0</v>
      </c>
      <c r="I503" s="311"/>
      <c r="J503" s="311"/>
      <c r="K503" s="441">
        <f t="shared" si="169"/>
        <v>0</v>
      </c>
      <c r="L503" s="442"/>
      <c r="M503" s="443"/>
      <c r="N503" s="444">
        <f t="shared" si="170"/>
        <v>0</v>
      </c>
      <c r="O503" s="307"/>
      <c r="P503" s="307"/>
      <c r="Q503" s="445">
        <f t="shared" si="171"/>
        <v>0</v>
      </c>
      <c r="R503" s="442"/>
      <c r="S503" s="443"/>
      <c r="T503" s="444">
        <f t="shared" si="172"/>
        <v>0</v>
      </c>
      <c r="U503" s="307"/>
      <c r="V503" s="307"/>
      <c r="W503" s="441">
        <f t="shared" si="173"/>
        <v>0</v>
      </c>
      <c r="X503" s="442"/>
      <c r="Y503" s="443"/>
      <c r="Z503" s="444">
        <f t="shared" si="174"/>
        <v>0</v>
      </c>
      <c r="AA503" s="307"/>
      <c r="AB503" s="307"/>
      <c r="AC503" s="445">
        <f t="shared" si="175"/>
        <v>0</v>
      </c>
      <c r="AD503" s="442"/>
      <c r="AE503" s="443"/>
      <c r="AF503" s="444">
        <f t="shared" si="176"/>
        <v>0</v>
      </c>
      <c r="AG503" s="307"/>
      <c r="AH503" s="307"/>
      <c r="AI503" s="445">
        <f t="shared" si="177"/>
        <v>0</v>
      </c>
      <c r="AJ503" s="446"/>
      <c r="AK503" s="443"/>
      <c r="AL503" s="444">
        <f t="shared" si="178"/>
        <v>0</v>
      </c>
      <c r="AM503" s="307"/>
      <c r="AN503" s="307"/>
      <c r="AO503" s="447">
        <f t="shared" si="179"/>
        <v>0</v>
      </c>
      <c r="AP503" s="448"/>
      <c r="AQ503" s="443"/>
      <c r="AR503" s="444">
        <f t="shared" si="180"/>
        <v>0</v>
      </c>
      <c r="AS503" s="307"/>
      <c r="AT503" s="307"/>
      <c r="AU503" s="441">
        <f t="shared" si="181"/>
        <v>0</v>
      </c>
      <c r="AV503" s="442"/>
      <c r="AW503" s="443"/>
      <c r="AX503" s="444">
        <f t="shared" si="182"/>
        <v>0</v>
      </c>
      <c r="AY503" s="307"/>
      <c r="AZ503" s="307"/>
      <c r="BA503" s="445">
        <f t="shared" si="183"/>
        <v>0</v>
      </c>
      <c r="BB503" s="442"/>
      <c r="BC503" s="443"/>
      <c r="BD503" s="444">
        <f t="shared" si="184"/>
        <v>0</v>
      </c>
      <c r="BE503" s="307"/>
      <c r="BF503" s="307"/>
      <c r="BG503" s="445">
        <f t="shared" si="185"/>
        <v>0</v>
      </c>
      <c r="BH503" s="442"/>
      <c r="BI503" s="443"/>
      <c r="BJ503" s="444">
        <f t="shared" si="186"/>
        <v>0</v>
      </c>
      <c r="BK503" s="307"/>
      <c r="BL503" s="307"/>
      <c r="BM503" s="445">
        <f t="shared" si="187"/>
        <v>0</v>
      </c>
      <c r="BN503" s="371"/>
      <c r="BO503" s="372"/>
      <c r="BP503" s="444">
        <f t="shared" si="188"/>
        <v>0</v>
      </c>
      <c r="BQ503" s="307"/>
      <c r="BR503" s="307"/>
      <c r="BS503" s="445">
        <f t="shared" si="189"/>
        <v>0</v>
      </c>
      <c r="BT503" s="371">
        <v>31</v>
      </c>
      <c r="BU503" s="372">
        <v>45381.322580645159</v>
      </c>
      <c r="BV503" s="444">
        <f t="shared" si="190"/>
        <v>1151060.9422000002</v>
      </c>
      <c r="BW503" s="307">
        <v>31</v>
      </c>
      <c r="BX503" s="307">
        <v>45472.806451612902</v>
      </c>
      <c r="BY503" s="449">
        <f t="shared" si="191"/>
        <v>1153381.3574000001</v>
      </c>
    </row>
    <row r="504" spans="1:77" s="308" customFormat="1" ht="12.75" customHeight="1">
      <c r="A504" s="365" t="s">
        <v>310</v>
      </c>
      <c r="B504" s="366" t="s">
        <v>41</v>
      </c>
      <c r="C504" s="366"/>
      <c r="D504" s="367">
        <v>220640</v>
      </c>
      <c r="E504" s="368">
        <v>13</v>
      </c>
      <c r="F504" s="453"/>
      <c r="G504" s="454"/>
      <c r="H504" s="439">
        <f t="shared" si="168"/>
        <v>0</v>
      </c>
      <c r="I504" s="311"/>
      <c r="J504" s="311"/>
      <c r="K504" s="441">
        <f t="shared" si="169"/>
        <v>0</v>
      </c>
      <c r="L504" s="442"/>
      <c r="M504" s="443"/>
      <c r="N504" s="444">
        <f t="shared" si="170"/>
        <v>0</v>
      </c>
      <c r="O504" s="307"/>
      <c r="P504" s="307"/>
      <c r="Q504" s="445">
        <f t="shared" si="171"/>
        <v>0</v>
      </c>
      <c r="R504" s="442"/>
      <c r="S504" s="443"/>
      <c r="T504" s="444">
        <f t="shared" si="172"/>
        <v>0</v>
      </c>
      <c r="U504" s="307"/>
      <c r="V504" s="307"/>
      <c r="W504" s="441">
        <f t="shared" si="173"/>
        <v>0</v>
      </c>
      <c r="X504" s="442"/>
      <c r="Y504" s="443"/>
      <c r="Z504" s="444">
        <f t="shared" si="174"/>
        <v>0</v>
      </c>
      <c r="AA504" s="307"/>
      <c r="AB504" s="307"/>
      <c r="AC504" s="445">
        <f t="shared" si="175"/>
        <v>0</v>
      </c>
      <c r="AD504" s="442"/>
      <c r="AE504" s="443"/>
      <c r="AF504" s="444">
        <f t="shared" si="176"/>
        <v>0</v>
      </c>
      <c r="AG504" s="307"/>
      <c r="AH504" s="307"/>
      <c r="AI504" s="445">
        <f t="shared" si="177"/>
        <v>0</v>
      </c>
      <c r="AJ504" s="446"/>
      <c r="AK504" s="443"/>
      <c r="AL504" s="444">
        <f t="shared" si="178"/>
        <v>0</v>
      </c>
      <c r="AM504" s="307"/>
      <c r="AN504" s="307"/>
      <c r="AO504" s="447">
        <f t="shared" si="179"/>
        <v>0</v>
      </c>
      <c r="AP504" s="448"/>
      <c r="AQ504" s="443"/>
      <c r="AR504" s="444">
        <f t="shared" si="180"/>
        <v>0</v>
      </c>
      <c r="AS504" s="307"/>
      <c r="AT504" s="307"/>
      <c r="AU504" s="441">
        <f t="shared" si="181"/>
        <v>0</v>
      </c>
      <c r="AV504" s="442"/>
      <c r="AW504" s="443"/>
      <c r="AX504" s="444">
        <f t="shared" si="182"/>
        <v>0</v>
      </c>
      <c r="AY504" s="307"/>
      <c r="AZ504" s="307"/>
      <c r="BA504" s="445">
        <f t="shared" si="183"/>
        <v>0</v>
      </c>
      <c r="BB504" s="442"/>
      <c r="BC504" s="443"/>
      <c r="BD504" s="444">
        <f t="shared" si="184"/>
        <v>0</v>
      </c>
      <c r="BE504" s="307"/>
      <c r="BF504" s="307"/>
      <c r="BG504" s="445">
        <f t="shared" si="185"/>
        <v>0</v>
      </c>
      <c r="BH504" s="442"/>
      <c r="BI504" s="443"/>
      <c r="BJ504" s="444">
        <f t="shared" si="186"/>
        <v>0</v>
      </c>
      <c r="BK504" s="307"/>
      <c r="BL504" s="307"/>
      <c r="BM504" s="445">
        <f t="shared" si="187"/>
        <v>0</v>
      </c>
      <c r="BN504" s="371"/>
      <c r="BO504" s="372"/>
      <c r="BP504" s="444">
        <f t="shared" si="188"/>
        <v>0</v>
      </c>
      <c r="BQ504" s="307"/>
      <c r="BR504" s="307"/>
      <c r="BS504" s="445">
        <f t="shared" si="189"/>
        <v>0</v>
      </c>
      <c r="BT504" s="371">
        <v>18</v>
      </c>
      <c r="BU504" s="372">
        <v>43852.833333333336</v>
      </c>
      <c r="BV504" s="444">
        <f t="shared" si="190"/>
        <v>645846.98820000002</v>
      </c>
      <c r="BW504" s="307">
        <v>19</v>
      </c>
      <c r="BX504" s="307">
        <v>43994.15789473684</v>
      </c>
      <c r="BY504" s="449">
        <f t="shared" si="191"/>
        <v>683924.3798</v>
      </c>
    </row>
    <row r="505" spans="1:77" s="308" customFormat="1" ht="12.75" customHeight="1">
      <c r="A505" s="365" t="s">
        <v>310</v>
      </c>
      <c r="B505" s="366" t="s">
        <v>42</v>
      </c>
      <c r="C505" s="366"/>
      <c r="D505" s="367">
        <v>220756</v>
      </c>
      <c r="E505" s="368">
        <v>13</v>
      </c>
      <c r="F505" s="453"/>
      <c r="G505" s="454"/>
      <c r="H505" s="439">
        <f t="shared" si="168"/>
        <v>0</v>
      </c>
      <c r="I505" s="311"/>
      <c r="J505" s="311"/>
      <c r="K505" s="441">
        <f t="shared" si="169"/>
        <v>0</v>
      </c>
      <c r="L505" s="442"/>
      <c r="M505" s="443"/>
      <c r="N505" s="444">
        <f t="shared" si="170"/>
        <v>0</v>
      </c>
      <c r="O505" s="307"/>
      <c r="P505" s="307"/>
      <c r="Q505" s="445">
        <f t="shared" si="171"/>
        <v>0</v>
      </c>
      <c r="R505" s="442"/>
      <c r="S505" s="443"/>
      <c r="T505" s="444">
        <f t="shared" si="172"/>
        <v>0</v>
      </c>
      <c r="U505" s="307"/>
      <c r="V505" s="307"/>
      <c r="W505" s="441">
        <f t="shared" si="173"/>
        <v>0</v>
      </c>
      <c r="X505" s="442"/>
      <c r="Y505" s="443"/>
      <c r="Z505" s="444">
        <f t="shared" si="174"/>
        <v>0</v>
      </c>
      <c r="AA505" s="307"/>
      <c r="AB505" s="307"/>
      <c r="AC505" s="445">
        <f t="shared" si="175"/>
        <v>0</v>
      </c>
      <c r="AD505" s="442"/>
      <c r="AE505" s="443"/>
      <c r="AF505" s="444">
        <f t="shared" si="176"/>
        <v>0</v>
      </c>
      <c r="AG505" s="307"/>
      <c r="AH505" s="307"/>
      <c r="AI505" s="445">
        <f t="shared" si="177"/>
        <v>0</v>
      </c>
      <c r="AJ505" s="446"/>
      <c r="AK505" s="443"/>
      <c r="AL505" s="444">
        <f t="shared" si="178"/>
        <v>0</v>
      </c>
      <c r="AM505" s="307"/>
      <c r="AN505" s="307"/>
      <c r="AO505" s="447">
        <f t="shared" si="179"/>
        <v>0</v>
      </c>
      <c r="AP505" s="448"/>
      <c r="AQ505" s="443"/>
      <c r="AR505" s="444">
        <f t="shared" si="180"/>
        <v>0</v>
      </c>
      <c r="AS505" s="307"/>
      <c r="AT505" s="307"/>
      <c r="AU505" s="441">
        <f t="shared" si="181"/>
        <v>0</v>
      </c>
      <c r="AV505" s="442"/>
      <c r="AW505" s="443"/>
      <c r="AX505" s="444">
        <f t="shared" si="182"/>
        <v>0</v>
      </c>
      <c r="AY505" s="307"/>
      <c r="AZ505" s="307"/>
      <c r="BA505" s="445">
        <f t="shared" si="183"/>
        <v>0</v>
      </c>
      <c r="BB505" s="442"/>
      <c r="BC505" s="443"/>
      <c r="BD505" s="444">
        <f t="shared" si="184"/>
        <v>0</v>
      </c>
      <c r="BE505" s="307"/>
      <c r="BF505" s="307"/>
      <c r="BG505" s="445">
        <f t="shared" si="185"/>
        <v>0</v>
      </c>
      <c r="BH505" s="442"/>
      <c r="BI505" s="443"/>
      <c r="BJ505" s="444">
        <f t="shared" si="186"/>
        <v>0</v>
      </c>
      <c r="BK505" s="307"/>
      <c r="BL505" s="307"/>
      <c r="BM505" s="445">
        <f t="shared" si="187"/>
        <v>0</v>
      </c>
      <c r="BN505" s="371"/>
      <c r="BO505" s="372"/>
      <c r="BP505" s="444">
        <f t="shared" si="188"/>
        <v>0</v>
      </c>
      <c r="BQ505" s="307"/>
      <c r="BR505" s="307"/>
      <c r="BS505" s="445">
        <f t="shared" si="189"/>
        <v>0</v>
      </c>
      <c r="BT505" s="371">
        <v>10</v>
      </c>
      <c r="BU505" s="372">
        <v>43037</v>
      </c>
      <c r="BV505" s="444">
        <f t="shared" si="190"/>
        <v>352128.734</v>
      </c>
      <c r="BW505" s="307">
        <v>9</v>
      </c>
      <c r="BX505" s="307">
        <v>43708</v>
      </c>
      <c r="BY505" s="449">
        <f t="shared" si="191"/>
        <v>321856.97039999999</v>
      </c>
    </row>
    <row r="506" spans="1:77" s="308" customFormat="1" ht="12.75" customHeight="1">
      <c r="A506" s="365" t="s">
        <v>310</v>
      </c>
      <c r="B506" s="366" t="s">
        <v>43</v>
      </c>
      <c r="C506" s="366"/>
      <c r="D506" s="367">
        <v>221607</v>
      </c>
      <c r="E506" s="368">
        <v>13</v>
      </c>
      <c r="F506" s="453"/>
      <c r="G506" s="454"/>
      <c r="H506" s="439">
        <f t="shared" si="168"/>
        <v>0</v>
      </c>
      <c r="I506" s="311"/>
      <c r="J506" s="311"/>
      <c r="K506" s="441">
        <f t="shared" si="169"/>
        <v>0</v>
      </c>
      <c r="L506" s="442"/>
      <c r="M506" s="443"/>
      <c r="N506" s="444">
        <f t="shared" si="170"/>
        <v>0</v>
      </c>
      <c r="O506" s="307"/>
      <c r="P506" s="307"/>
      <c r="Q506" s="445">
        <f t="shared" si="171"/>
        <v>0</v>
      </c>
      <c r="R506" s="442"/>
      <c r="S506" s="443"/>
      <c r="T506" s="444">
        <f t="shared" si="172"/>
        <v>0</v>
      </c>
      <c r="U506" s="307"/>
      <c r="V506" s="307"/>
      <c r="W506" s="441">
        <f t="shared" si="173"/>
        <v>0</v>
      </c>
      <c r="X506" s="442"/>
      <c r="Y506" s="443"/>
      <c r="Z506" s="444">
        <f t="shared" si="174"/>
        <v>0</v>
      </c>
      <c r="AA506" s="307"/>
      <c r="AB506" s="307"/>
      <c r="AC506" s="445">
        <f t="shared" si="175"/>
        <v>0</v>
      </c>
      <c r="AD506" s="442"/>
      <c r="AE506" s="443"/>
      <c r="AF506" s="444">
        <f t="shared" si="176"/>
        <v>0</v>
      </c>
      <c r="AG506" s="307"/>
      <c r="AH506" s="307"/>
      <c r="AI506" s="445">
        <f t="shared" si="177"/>
        <v>0</v>
      </c>
      <c r="AJ506" s="446"/>
      <c r="AK506" s="443"/>
      <c r="AL506" s="444">
        <f t="shared" si="178"/>
        <v>0</v>
      </c>
      <c r="AM506" s="307"/>
      <c r="AN506" s="307"/>
      <c r="AO506" s="447">
        <f t="shared" si="179"/>
        <v>0</v>
      </c>
      <c r="AP506" s="448"/>
      <c r="AQ506" s="443"/>
      <c r="AR506" s="444">
        <f t="shared" si="180"/>
        <v>0</v>
      </c>
      <c r="AS506" s="307"/>
      <c r="AT506" s="307"/>
      <c r="AU506" s="441">
        <f t="shared" si="181"/>
        <v>0</v>
      </c>
      <c r="AV506" s="442"/>
      <c r="AW506" s="443"/>
      <c r="AX506" s="444">
        <f t="shared" si="182"/>
        <v>0</v>
      </c>
      <c r="AY506" s="307"/>
      <c r="AZ506" s="307"/>
      <c r="BA506" s="445">
        <f t="shared" si="183"/>
        <v>0</v>
      </c>
      <c r="BB506" s="442"/>
      <c r="BC506" s="443"/>
      <c r="BD506" s="444">
        <f t="shared" si="184"/>
        <v>0</v>
      </c>
      <c r="BE506" s="307"/>
      <c r="BF506" s="307"/>
      <c r="BG506" s="445">
        <f t="shared" si="185"/>
        <v>0</v>
      </c>
      <c r="BH506" s="442"/>
      <c r="BI506" s="443"/>
      <c r="BJ506" s="444">
        <f t="shared" si="186"/>
        <v>0</v>
      </c>
      <c r="BK506" s="307"/>
      <c r="BL506" s="307"/>
      <c r="BM506" s="445">
        <f t="shared" si="187"/>
        <v>0</v>
      </c>
      <c r="BN506" s="371"/>
      <c r="BO506" s="372"/>
      <c r="BP506" s="444">
        <f t="shared" si="188"/>
        <v>0</v>
      </c>
      <c r="BQ506" s="307"/>
      <c r="BR506" s="307"/>
      <c r="BS506" s="445">
        <f t="shared" si="189"/>
        <v>0</v>
      </c>
      <c r="BT506" s="371">
        <v>12</v>
      </c>
      <c r="BU506" s="372">
        <v>46209</v>
      </c>
      <c r="BV506" s="444">
        <f t="shared" si="190"/>
        <v>453698.44560000004</v>
      </c>
      <c r="BW506" s="307">
        <v>12</v>
      </c>
      <c r="BX506" s="307">
        <v>45230.083333333336</v>
      </c>
      <c r="BY506" s="449">
        <f t="shared" si="191"/>
        <v>444087.0502</v>
      </c>
    </row>
    <row r="507" spans="1:77" s="308" customFormat="1" ht="12.75" customHeight="1">
      <c r="A507" s="365" t="s">
        <v>310</v>
      </c>
      <c r="B507" s="366" t="s">
        <v>44</v>
      </c>
      <c r="C507" s="366"/>
      <c r="D507" s="367">
        <v>220853</v>
      </c>
      <c r="E507" s="368">
        <v>13</v>
      </c>
      <c r="F507" s="453"/>
      <c r="G507" s="454"/>
      <c r="H507" s="439">
        <f t="shared" si="168"/>
        <v>0</v>
      </c>
      <c r="I507" s="311"/>
      <c r="J507" s="311"/>
      <c r="K507" s="441">
        <f t="shared" si="169"/>
        <v>0</v>
      </c>
      <c r="L507" s="442"/>
      <c r="M507" s="443"/>
      <c r="N507" s="444">
        <f t="shared" si="170"/>
        <v>0</v>
      </c>
      <c r="O507" s="307"/>
      <c r="P507" s="307"/>
      <c r="Q507" s="445">
        <f t="shared" si="171"/>
        <v>0</v>
      </c>
      <c r="R507" s="442"/>
      <c r="S507" s="443"/>
      <c r="T507" s="444">
        <f t="shared" si="172"/>
        <v>0</v>
      </c>
      <c r="U507" s="307"/>
      <c r="V507" s="307"/>
      <c r="W507" s="441">
        <f t="shared" si="173"/>
        <v>0</v>
      </c>
      <c r="X507" s="442"/>
      <c r="Y507" s="443"/>
      <c r="Z507" s="444">
        <f t="shared" si="174"/>
        <v>0</v>
      </c>
      <c r="AA507" s="307"/>
      <c r="AB507" s="307"/>
      <c r="AC507" s="445">
        <f t="shared" si="175"/>
        <v>0</v>
      </c>
      <c r="AD507" s="442"/>
      <c r="AE507" s="443"/>
      <c r="AF507" s="444">
        <f t="shared" si="176"/>
        <v>0</v>
      </c>
      <c r="AG507" s="307"/>
      <c r="AH507" s="307"/>
      <c r="AI507" s="445">
        <f t="shared" si="177"/>
        <v>0</v>
      </c>
      <c r="AJ507" s="446"/>
      <c r="AK507" s="443"/>
      <c r="AL507" s="444">
        <f t="shared" si="178"/>
        <v>0</v>
      </c>
      <c r="AM507" s="307"/>
      <c r="AN507" s="307"/>
      <c r="AO507" s="447">
        <f t="shared" si="179"/>
        <v>0</v>
      </c>
      <c r="AP507" s="448"/>
      <c r="AQ507" s="443"/>
      <c r="AR507" s="444">
        <f t="shared" si="180"/>
        <v>0</v>
      </c>
      <c r="AS507" s="307"/>
      <c r="AT507" s="307"/>
      <c r="AU507" s="441">
        <f t="shared" si="181"/>
        <v>0</v>
      </c>
      <c r="AV507" s="442"/>
      <c r="AW507" s="443"/>
      <c r="AX507" s="444">
        <f t="shared" si="182"/>
        <v>0</v>
      </c>
      <c r="AY507" s="307"/>
      <c r="AZ507" s="307"/>
      <c r="BA507" s="445">
        <f t="shared" si="183"/>
        <v>0</v>
      </c>
      <c r="BB507" s="442"/>
      <c r="BC507" s="443"/>
      <c r="BD507" s="444">
        <f t="shared" si="184"/>
        <v>0</v>
      </c>
      <c r="BE507" s="307"/>
      <c r="BF507" s="307"/>
      <c r="BG507" s="445">
        <f t="shared" si="185"/>
        <v>0</v>
      </c>
      <c r="BH507" s="442"/>
      <c r="BI507" s="443"/>
      <c r="BJ507" s="444">
        <f t="shared" si="186"/>
        <v>0</v>
      </c>
      <c r="BK507" s="307"/>
      <c r="BL507" s="307"/>
      <c r="BM507" s="445">
        <f t="shared" si="187"/>
        <v>0</v>
      </c>
      <c r="BN507" s="371"/>
      <c r="BO507" s="372"/>
      <c r="BP507" s="444">
        <f t="shared" si="188"/>
        <v>0</v>
      </c>
      <c r="BQ507" s="307"/>
      <c r="BR507" s="307"/>
      <c r="BS507" s="445">
        <f t="shared" si="189"/>
        <v>0</v>
      </c>
      <c r="BT507" s="371">
        <v>38</v>
      </c>
      <c r="BU507" s="372">
        <v>45950.526315789473</v>
      </c>
      <c r="BV507" s="444">
        <f t="shared" si="190"/>
        <v>1428675.3840000001</v>
      </c>
      <c r="BW507" s="307">
        <v>36</v>
      </c>
      <c r="BX507" s="307">
        <v>44371.555555555555</v>
      </c>
      <c r="BY507" s="449">
        <f t="shared" si="191"/>
        <v>1306973.0432</v>
      </c>
    </row>
    <row r="508" spans="1:77" s="308" customFormat="1" ht="12.75" customHeight="1">
      <c r="A508" s="365" t="s">
        <v>310</v>
      </c>
      <c r="B508" s="366" t="s">
        <v>45</v>
      </c>
      <c r="C508" s="366"/>
      <c r="D508" s="367">
        <v>221050</v>
      </c>
      <c r="E508" s="368">
        <v>13</v>
      </c>
      <c r="F508" s="453"/>
      <c r="G508" s="454"/>
      <c r="H508" s="439">
        <f t="shared" si="168"/>
        <v>0</v>
      </c>
      <c r="I508" s="311"/>
      <c r="J508" s="311"/>
      <c r="K508" s="441">
        <f t="shared" si="169"/>
        <v>0</v>
      </c>
      <c r="L508" s="442"/>
      <c r="M508" s="443"/>
      <c r="N508" s="444">
        <f t="shared" si="170"/>
        <v>0</v>
      </c>
      <c r="O508" s="307"/>
      <c r="P508" s="307"/>
      <c r="Q508" s="445">
        <f t="shared" si="171"/>
        <v>0</v>
      </c>
      <c r="R508" s="442"/>
      <c r="S508" s="443"/>
      <c r="T508" s="444">
        <f t="shared" si="172"/>
        <v>0</v>
      </c>
      <c r="U508" s="307"/>
      <c r="V508" s="307"/>
      <c r="W508" s="441">
        <f t="shared" si="173"/>
        <v>0</v>
      </c>
      <c r="X508" s="442"/>
      <c r="Y508" s="443"/>
      <c r="Z508" s="444">
        <f t="shared" si="174"/>
        <v>0</v>
      </c>
      <c r="AA508" s="307"/>
      <c r="AB508" s="307"/>
      <c r="AC508" s="445">
        <f t="shared" si="175"/>
        <v>0</v>
      </c>
      <c r="AD508" s="442"/>
      <c r="AE508" s="443"/>
      <c r="AF508" s="444">
        <f t="shared" si="176"/>
        <v>0</v>
      </c>
      <c r="AG508" s="307"/>
      <c r="AH508" s="307"/>
      <c r="AI508" s="445">
        <f t="shared" si="177"/>
        <v>0</v>
      </c>
      <c r="AJ508" s="446"/>
      <c r="AK508" s="443"/>
      <c r="AL508" s="444">
        <f t="shared" si="178"/>
        <v>0</v>
      </c>
      <c r="AM508" s="307"/>
      <c r="AN508" s="307"/>
      <c r="AO508" s="447">
        <f t="shared" si="179"/>
        <v>0</v>
      </c>
      <c r="AP508" s="448"/>
      <c r="AQ508" s="443"/>
      <c r="AR508" s="444">
        <f t="shared" si="180"/>
        <v>0</v>
      </c>
      <c r="AS508" s="307"/>
      <c r="AT508" s="307"/>
      <c r="AU508" s="441">
        <f t="shared" si="181"/>
        <v>0</v>
      </c>
      <c r="AV508" s="442"/>
      <c r="AW508" s="443"/>
      <c r="AX508" s="444">
        <f t="shared" si="182"/>
        <v>0</v>
      </c>
      <c r="AY508" s="307"/>
      <c r="AZ508" s="307"/>
      <c r="BA508" s="445">
        <f t="shared" si="183"/>
        <v>0</v>
      </c>
      <c r="BB508" s="442"/>
      <c r="BC508" s="443"/>
      <c r="BD508" s="444">
        <f t="shared" si="184"/>
        <v>0</v>
      </c>
      <c r="BE508" s="307"/>
      <c r="BF508" s="307"/>
      <c r="BG508" s="445">
        <f t="shared" si="185"/>
        <v>0</v>
      </c>
      <c r="BH508" s="442"/>
      <c r="BI508" s="443"/>
      <c r="BJ508" s="444">
        <f t="shared" si="186"/>
        <v>0</v>
      </c>
      <c r="BK508" s="307"/>
      <c r="BL508" s="307"/>
      <c r="BM508" s="445">
        <f t="shared" si="187"/>
        <v>0</v>
      </c>
      <c r="BN508" s="371"/>
      <c r="BO508" s="372"/>
      <c r="BP508" s="444">
        <f t="shared" si="188"/>
        <v>0</v>
      </c>
      <c r="BQ508" s="307"/>
      <c r="BR508" s="307"/>
      <c r="BS508" s="445">
        <f t="shared" si="189"/>
        <v>0</v>
      </c>
      <c r="BT508" s="371">
        <v>36</v>
      </c>
      <c r="BU508" s="372">
        <v>48869.861111111109</v>
      </c>
      <c r="BV508" s="444">
        <f t="shared" si="190"/>
        <v>1439471.5330000001</v>
      </c>
      <c r="BW508" s="307">
        <v>36</v>
      </c>
      <c r="BX508" s="307">
        <v>48137.055555555555</v>
      </c>
      <c r="BY508" s="449">
        <f t="shared" si="191"/>
        <v>1417886.5988</v>
      </c>
    </row>
    <row r="509" spans="1:77" s="308" customFormat="1" ht="12.75" customHeight="1">
      <c r="A509" s="365" t="s">
        <v>310</v>
      </c>
      <c r="B509" s="366" t="s">
        <v>46</v>
      </c>
      <c r="C509" s="366"/>
      <c r="D509" s="367">
        <v>221102</v>
      </c>
      <c r="E509" s="368">
        <v>13</v>
      </c>
      <c r="F509" s="453"/>
      <c r="G509" s="454"/>
      <c r="H509" s="439">
        <f t="shared" si="168"/>
        <v>0</v>
      </c>
      <c r="I509" s="311"/>
      <c r="J509" s="311"/>
      <c r="K509" s="441">
        <f t="shared" si="169"/>
        <v>0</v>
      </c>
      <c r="L509" s="442"/>
      <c r="M509" s="443"/>
      <c r="N509" s="444">
        <f t="shared" si="170"/>
        <v>0</v>
      </c>
      <c r="O509" s="307"/>
      <c r="P509" s="307"/>
      <c r="Q509" s="445">
        <f t="shared" si="171"/>
        <v>0</v>
      </c>
      <c r="R509" s="442"/>
      <c r="S509" s="443"/>
      <c r="T509" s="444">
        <f t="shared" si="172"/>
        <v>0</v>
      </c>
      <c r="U509" s="307"/>
      <c r="V509" s="307"/>
      <c r="W509" s="441">
        <f t="shared" si="173"/>
        <v>0</v>
      </c>
      <c r="X509" s="442"/>
      <c r="Y509" s="443"/>
      <c r="Z509" s="444">
        <f t="shared" si="174"/>
        <v>0</v>
      </c>
      <c r="AA509" s="307"/>
      <c r="AB509" s="307"/>
      <c r="AC509" s="445">
        <f t="shared" si="175"/>
        <v>0</v>
      </c>
      <c r="AD509" s="442"/>
      <c r="AE509" s="443"/>
      <c r="AF509" s="444">
        <f t="shared" si="176"/>
        <v>0</v>
      </c>
      <c r="AG509" s="307"/>
      <c r="AH509" s="307"/>
      <c r="AI509" s="445">
        <f t="shared" si="177"/>
        <v>0</v>
      </c>
      <c r="AJ509" s="446"/>
      <c r="AK509" s="443"/>
      <c r="AL509" s="444">
        <f t="shared" si="178"/>
        <v>0</v>
      </c>
      <c r="AM509" s="307"/>
      <c r="AN509" s="307"/>
      <c r="AO509" s="447">
        <f t="shared" si="179"/>
        <v>0</v>
      </c>
      <c r="AP509" s="448"/>
      <c r="AQ509" s="443"/>
      <c r="AR509" s="444">
        <f t="shared" si="180"/>
        <v>0</v>
      </c>
      <c r="AS509" s="307"/>
      <c r="AT509" s="307"/>
      <c r="AU509" s="441">
        <f t="shared" si="181"/>
        <v>0</v>
      </c>
      <c r="AV509" s="442"/>
      <c r="AW509" s="443"/>
      <c r="AX509" s="444">
        <f t="shared" si="182"/>
        <v>0</v>
      </c>
      <c r="AY509" s="307"/>
      <c r="AZ509" s="307"/>
      <c r="BA509" s="445">
        <f t="shared" si="183"/>
        <v>0</v>
      </c>
      <c r="BB509" s="442"/>
      <c r="BC509" s="443"/>
      <c r="BD509" s="444">
        <f t="shared" si="184"/>
        <v>0</v>
      </c>
      <c r="BE509" s="307"/>
      <c r="BF509" s="307"/>
      <c r="BG509" s="445">
        <f t="shared" si="185"/>
        <v>0</v>
      </c>
      <c r="BH509" s="442"/>
      <c r="BI509" s="443"/>
      <c r="BJ509" s="444">
        <f t="shared" si="186"/>
        <v>0</v>
      </c>
      <c r="BK509" s="307"/>
      <c r="BL509" s="307"/>
      <c r="BM509" s="445">
        <f t="shared" si="187"/>
        <v>0</v>
      </c>
      <c r="BN509" s="371"/>
      <c r="BO509" s="372"/>
      <c r="BP509" s="444">
        <f t="shared" si="188"/>
        <v>0</v>
      </c>
      <c r="BQ509" s="307"/>
      <c r="BR509" s="307"/>
      <c r="BS509" s="445">
        <f t="shared" si="189"/>
        <v>0</v>
      </c>
      <c r="BT509" s="371">
        <v>19</v>
      </c>
      <c r="BU509" s="372">
        <v>47231.052631578947</v>
      </c>
      <c r="BV509" s="444">
        <f t="shared" si="190"/>
        <v>734244.49800000002</v>
      </c>
      <c r="BW509" s="307">
        <v>21</v>
      </c>
      <c r="BX509" s="307">
        <v>50978.952380952382</v>
      </c>
      <c r="BY509" s="449">
        <f t="shared" si="191"/>
        <v>875930.55560000008</v>
      </c>
    </row>
    <row r="510" spans="1:77" s="308" customFormat="1" ht="12.75" customHeight="1">
      <c r="A510" s="365" t="s">
        <v>310</v>
      </c>
      <c r="B510" s="366" t="s">
        <v>47</v>
      </c>
      <c r="C510" s="366"/>
      <c r="D510" s="367">
        <v>248925</v>
      </c>
      <c r="E510" s="368">
        <v>13</v>
      </c>
      <c r="F510" s="453"/>
      <c r="G510" s="454"/>
      <c r="H510" s="439">
        <f t="shared" si="168"/>
        <v>0</v>
      </c>
      <c r="I510" s="311"/>
      <c r="J510" s="311"/>
      <c r="K510" s="441">
        <f t="shared" si="169"/>
        <v>0</v>
      </c>
      <c r="L510" s="442"/>
      <c r="M510" s="443"/>
      <c r="N510" s="444">
        <f t="shared" si="170"/>
        <v>0</v>
      </c>
      <c r="O510" s="307"/>
      <c r="P510" s="307"/>
      <c r="Q510" s="445">
        <f t="shared" si="171"/>
        <v>0</v>
      </c>
      <c r="R510" s="442"/>
      <c r="S510" s="443"/>
      <c r="T510" s="444">
        <f t="shared" si="172"/>
        <v>0</v>
      </c>
      <c r="U510" s="307"/>
      <c r="V510" s="307"/>
      <c r="W510" s="441">
        <f t="shared" si="173"/>
        <v>0</v>
      </c>
      <c r="X510" s="442"/>
      <c r="Y510" s="443"/>
      <c r="Z510" s="444">
        <f t="shared" si="174"/>
        <v>0</v>
      </c>
      <c r="AA510" s="307"/>
      <c r="AB510" s="307"/>
      <c r="AC510" s="445">
        <f t="shared" si="175"/>
        <v>0</v>
      </c>
      <c r="AD510" s="442"/>
      <c r="AE510" s="443"/>
      <c r="AF510" s="444">
        <f t="shared" si="176"/>
        <v>0</v>
      </c>
      <c r="AG510" s="307"/>
      <c r="AH510" s="307"/>
      <c r="AI510" s="445">
        <f t="shared" si="177"/>
        <v>0</v>
      </c>
      <c r="AJ510" s="446"/>
      <c r="AK510" s="443"/>
      <c r="AL510" s="444">
        <f t="shared" si="178"/>
        <v>0</v>
      </c>
      <c r="AM510" s="307"/>
      <c r="AN510" s="307"/>
      <c r="AO510" s="447">
        <f t="shared" si="179"/>
        <v>0</v>
      </c>
      <c r="AP510" s="448"/>
      <c r="AQ510" s="443"/>
      <c r="AR510" s="444">
        <f t="shared" si="180"/>
        <v>0</v>
      </c>
      <c r="AS510" s="307"/>
      <c r="AT510" s="307"/>
      <c r="AU510" s="441">
        <f t="shared" si="181"/>
        <v>0</v>
      </c>
      <c r="AV510" s="442"/>
      <c r="AW510" s="443"/>
      <c r="AX510" s="444">
        <f t="shared" si="182"/>
        <v>0</v>
      </c>
      <c r="AY510" s="307"/>
      <c r="AZ510" s="307"/>
      <c r="BA510" s="445">
        <f t="shared" si="183"/>
        <v>0</v>
      </c>
      <c r="BB510" s="442"/>
      <c r="BC510" s="443"/>
      <c r="BD510" s="444">
        <f t="shared" si="184"/>
        <v>0</v>
      </c>
      <c r="BE510" s="307"/>
      <c r="BF510" s="307"/>
      <c r="BG510" s="445">
        <f t="shared" si="185"/>
        <v>0</v>
      </c>
      <c r="BH510" s="442"/>
      <c r="BI510" s="443"/>
      <c r="BJ510" s="444">
        <f t="shared" si="186"/>
        <v>0</v>
      </c>
      <c r="BK510" s="307"/>
      <c r="BL510" s="307"/>
      <c r="BM510" s="445">
        <f t="shared" si="187"/>
        <v>0</v>
      </c>
      <c r="BN510" s="371"/>
      <c r="BO510" s="372"/>
      <c r="BP510" s="444">
        <f t="shared" si="188"/>
        <v>0</v>
      </c>
      <c r="BQ510" s="307"/>
      <c r="BR510" s="307"/>
      <c r="BS510" s="445">
        <f t="shared" si="189"/>
        <v>0</v>
      </c>
      <c r="BT510" s="371">
        <v>34</v>
      </c>
      <c r="BU510" s="372">
        <v>43906.029411764706</v>
      </c>
      <c r="BV510" s="444">
        <f t="shared" si="190"/>
        <v>1221413.051</v>
      </c>
      <c r="BW510" s="307">
        <v>34</v>
      </c>
      <c r="BX510" s="307">
        <v>43997.617647058825</v>
      </c>
      <c r="BY510" s="449">
        <f t="shared" si="191"/>
        <v>1223960.9258000001</v>
      </c>
    </row>
    <row r="511" spans="1:77" s="308" customFormat="1" ht="12.75" customHeight="1">
      <c r="A511" s="365" t="s">
        <v>310</v>
      </c>
      <c r="B511" s="366" t="s">
        <v>48</v>
      </c>
      <c r="C511" s="366"/>
      <c r="D511" s="367">
        <v>221236</v>
      </c>
      <c r="E511" s="368">
        <v>13</v>
      </c>
      <c r="F511" s="453"/>
      <c r="G511" s="454"/>
      <c r="H511" s="439">
        <f t="shared" si="168"/>
        <v>0</v>
      </c>
      <c r="I511" s="311"/>
      <c r="J511" s="311"/>
      <c r="K511" s="441">
        <f t="shared" si="169"/>
        <v>0</v>
      </c>
      <c r="L511" s="442"/>
      <c r="M511" s="443"/>
      <c r="N511" s="444">
        <f t="shared" si="170"/>
        <v>0</v>
      </c>
      <c r="O511" s="307"/>
      <c r="P511" s="307"/>
      <c r="Q511" s="445">
        <f t="shared" si="171"/>
        <v>0</v>
      </c>
      <c r="R511" s="442"/>
      <c r="S511" s="443"/>
      <c r="T511" s="444">
        <f t="shared" si="172"/>
        <v>0</v>
      </c>
      <c r="U511" s="307"/>
      <c r="V511" s="307"/>
      <c r="W511" s="441">
        <f t="shared" si="173"/>
        <v>0</v>
      </c>
      <c r="X511" s="442"/>
      <c r="Y511" s="443"/>
      <c r="Z511" s="444">
        <f t="shared" si="174"/>
        <v>0</v>
      </c>
      <c r="AA511" s="307"/>
      <c r="AB511" s="307"/>
      <c r="AC511" s="445">
        <f t="shared" si="175"/>
        <v>0</v>
      </c>
      <c r="AD511" s="442"/>
      <c r="AE511" s="443"/>
      <c r="AF511" s="444">
        <f t="shared" si="176"/>
        <v>0</v>
      </c>
      <c r="AG511" s="307"/>
      <c r="AH511" s="307"/>
      <c r="AI511" s="445">
        <f t="shared" si="177"/>
        <v>0</v>
      </c>
      <c r="AJ511" s="446"/>
      <c r="AK511" s="443"/>
      <c r="AL511" s="444">
        <f t="shared" si="178"/>
        <v>0</v>
      </c>
      <c r="AM511" s="307"/>
      <c r="AN511" s="307"/>
      <c r="AO511" s="447">
        <f t="shared" si="179"/>
        <v>0</v>
      </c>
      <c r="AP511" s="448"/>
      <c r="AQ511" s="443"/>
      <c r="AR511" s="444">
        <f t="shared" si="180"/>
        <v>0</v>
      </c>
      <c r="AS511" s="307"/>
      <c r="AT511" s="307"/>
      <c r="AU511" s="441">
        <f t="shared" si="181"/>
        <v>0</v>
      </c>
      <c r="AV511" s="442"/>
      <c r="AW511" s="443"/>
      <c r="AX511" s="444">
        <f t="shared" si="182"/>
        <v>0</v>
      </c>
      <c r="AY511" s="307"/>
      <c r="AZ511" s="307"/>
      <c r="BA511" s="445">
        <f t="shared" si="183"/>
        <v>0</v>
      </c>
      <c r="BB511" s="442"/>
      <c r="BC511" s="443"/>
      <c r="BD511" s="444">
        <f t="shared" si="184"/>
        <v>0</v>
      </c>
      <c r="BE511" s="307"/>
      <c r="BF511" s="307"/>
      <c r="BG511" s="445">
        <f t="shared" si="185"/>
        <v>0</v>
      </c>
      <c r="BH511" s="442"/>
      <c r="BI511" s="443"/>
      <c r="BJ511" s="444">
        <f t="shared" si="186"/>
        <v>0</v>
      </c>
      <c r="BK511" s="307"/>
      <c r="BL511" s="307"/>
      <c r="BM511" s="445">
        <f t="shared" si="187"/>
        <v>0</v>
      </c>
      <c r="BN511" s="371"/>
      <c r="BO511" s="372"/>
      <c r="BP511" s="444">
        <f t="shared" si="188"/>
        <v>0</v>
      </c>
      <c r="BQ511" s="307"/>
      <c r="BR511" s="307"/>
      <c r="BS511" s="445">
        <f t="shared" si="189"/>
        <v>0</v>
      </c>
      <c r="BT511" s="371">
        <v>11</v>
      </c>
      <c r="BU511" s="372">
        <v>42607.63636363636</v>
      </c>
      <c r="BV511" s="444">
        <f t="shared" si="190"/>
        <v>383477.24879999994</v>
      </c>
      <c r="BW511" s="307">
        <v>11</v>
      </c>
      <c r="BX511" s="307">
        <v>42310.727272727272</v>
      </c>
      <c r="BY511" s="449">
        <f t="shared" si="191"/>
        <v>380805.00760000001</v>
      </c>
    </row>
    <row r="512" spans="1:77" s="308" customFormat="1" ht="12.75" customHeight="1">
      <c r="A512" s="365" t="s">
        <v>310</v>
      </c>
      <c r="B512" s="366" t="s">
        <v>49</v>
      </c>
      <c r="C512" s="366"/>
      <c r="D512" s="367">
        <v>221582</v>
      </c>
      <c r="E512" s="368">
        <v>13</v>
      </c>
      <c r="F512" s="453"/>
      <c r="G512" s="454"/>
      <c r="H512" s="439">
        <f t="shared" si="168"/>
        <v>0</v>
      </c>
      <c r="I512" s="311"/>
      <c r="J512" s="311"/>
      <c r="K512" s="441">
        <f t="shared" si="169"/>
        <v>0</v>
      </c>
      <c r="L512" s="442"/>
      <c r="M512" s="443"/>
      <c r="N512" s="444">
        <f t="shared" si="170"/>
        <v>0</v>
      </c>
      <c r="O512" s="307"/>
      <c r="P512" s="307"/>
      <c r="Q512" s="445">
        <f t="shared" si="171"/>
        <v>0</v>
      </c>
      <c r="R512" s="442"/>
      <c r="S512" s="443"/>
      <c r="T512" s="444">
        <f t="shared" si="172"/>
        <v>0</v>
      </c>
      <c r="U512" s="307"/>
      <c r="V512" s="307"/>
      <c r="W512" s="441">
        <f t="shared" si="173"/>
        <v>0</v>
      </c>
      <c r="X512" s="442"/>
      <c r="Y512" s="443"/>
      <c r="Z512" s="444">
        <f t="shared" si="174"/>
        <v>0</v>
      </c>
      <c r="AA512" s="307"/>
      <c r="AB512" s="307"/>
      <c r="AC512" s="445">
        <f t="shared" si="175"/>
        <v>0</v>
      </c>
      <c r="AD512" s="442"/>
      <c r="AE512" s="443"/>
      <c r="AF512" s="444">
        <f t="shared" si="176"/>
        <v>0</v>
      </c>
      <c r="AG512" s="307"/>
      <c r="AH512" s="307"/>
      <c r="AI512" s="445">
        <f t="shared" si="177"/>
        <v>0</v>
      </c>
      <c r="AJ512" s="446"/>
      <c r="AK512" s="443"/>
      <c r="AL512" s="444">
        <f t="shared" si="178"/>
        <v>0</v>
      </c>
      <c r="AM512" s="307"/>
      <c r="AN512" s="307"/>
      <c r="AO512" s="447">
        <f t="shared" si="179"/>
        <v>0</v>
      </c>
      <c r="AP512" s="448"/>
      <c r="AQ512" s="443"/>
      <c r="AR512" s="444">
        <f t="shared" si="180"/>
        <v>0</v>
      </c>
      <c r="AS512" s="307"/>
      <c r="AT512" s="307"/>
      <c r="AU512" s="441">
        <f t="shared" si="181"/>
        <v>0</v>
      </c>
      <c r="AV512" s="442"/>
      <c r="AW512" s="443"/>
      <c r="AX512" s="444">
        <f t="shared" si="182"/>
        <v>0</v>
      </c>
      <c r="AY512" s="307"/>
      <c r="AZ512" s="307"/>
      <c r="BA512" s="445">
        <f t="shared" si="183"/>
        <v>0</v>
      </c>
      <c r="BB512" s="442"/>
      <c r="BC512" s="443"/>
      <c r="BD512" s="444">
        <f t="shared" si="184"/>
        <v>0</v>
      </c>
      <c r="BE512" s="307"/>
      <c r="BF512" s="307"/>
      <c r="BG512" s="445">
        <f t="shared" si="185"/>
        <v>0</v>
      </c>
      <c r="BH512" s="442"/>
      <c r="BI512" s="443"/>
      <c r="BJ512" s="444">
        <f t="shared" si="186"/>
        <v>0</v>
      </c>
      <c r="BK512" s="307"/>
      <c r="BL512" s="307"/>
      <c r="BM512" s="445">
        <f t="shared" si="187"/>
        <v>0</v>
      </c>
      <c r="BN512" s="371"/>
      <c r="BO512" s="372"/>
      <c r="BP512" s="444">
        <f t="shared" si="188"/>
        <v>0</v>
      </c>
      <c r="BQ512" s="307"/>
      <c r="BR512" s="307"/>
      <c r="BS512" s="445">
        <f t="shared" si="189"/>
        <v>0</v>
      </c>
      <c r="BT512" s="371">
        <v>12</v>
      </c>
      <c r="BU512" s="372">
        <v>42684.5</v>
      </c>
      <c r="BV512" s="444">
        <f t="shared" si="190"/>
        <v>419093.49480000004</v>
      </c>
      <c r="BW512" s="307">
        <v>14</v>
      </c>
      <c r="BX512" s="307">
        <v>41542</v>
      </c>
      <c r="BY512" s="449">
        <f t="shared" si="191"/>
        <v>475855.30160000001</v>
      </c>
    </row>
    <row r="513" spans="1:77" s="308" customFormat="1" ht="12.75" customHeight="1">
      <c r="A513" s="365" t="s">
        <v>310</v>
      </c>
      <c r="B513" s="366" t="s">
        <v>50</v>
      </c>
      <c r="C513" s="366"/>
      <c r="D513" s="367">
        <v>221281</v>
      </c>
      <c r="E513" s="368">
        <v>13</v>
      </c>
      <c r="F513" s="453"/>
      <c r="G513" s="454"/>
      <c r="H513" s="439">
        <f t="shared" si="168"/>
        <v>0</v>
      </c>
      <c r="I513" s="311"/>
      <c r="J513" s="311"/>
      <c r="K513" s="441">
        <f t="shared" si="169"/>
        <v>0</v>
      </c>
      <c r="L513" s="442"/>
      <c r="M513" s="443"/>
      <c r="N513" s="444">
        <f t="shared" si="170"/>
        <v>0</v>
      </c>
      <c r="O513" s="307"/>
      <c r="P513" s="307"/>
      <c r="Q513" s="445">
        <f t="shared" si="171"/>
        <v>0</v>
      </c>
      <c r="R513" s="442"/>
      <c r="S513" s="443"/>
      <c r="T513" s="444">
        <f t="shared" si="172"/>
        <v>0</v>
      </c>
      <c r="U513" s="307"/>
      <c r="V513" s="307"/>
      <c r="W513" s="441">
        <f t="shared" si="173"/>
        <v>0</v>
      </c>
      <c r="X513" s="442"/>
      <c r="Y513" s="443"/>
      <c r="Z513" s="444">
        <f t="shared" si="174"/>
        <v>0</v>
      </c>
      <c r="AA513" s="307"/>
      <c r="AB513" s="307"/>
      <c r="AC513" s="445">
        <f t="shared" si="175"/>
        <v>0</v>
      </c>
      <c r="AD513" s="442"/>
      <c r="AE513" s="443"/>
      <c r="AF513" s="444">
        <f t="shared" si="176"/>
        <v>0</v>
      </c>
      <c r="AG513" s="307"/>
      <c r="AH513" s="307"/>
      <c r="AI513" s="445">
        <f t="shared" si="177"/>
        <v>0</v>
      </c>
      <c r="AJ513" s="446"/>
      <c r="AK513" s="443"/>
      <c r="AL513" s="444">
        <f t="shared" si="178"/>
        <v>0</v>
      </c>
      <c r="AM513" s="307"/>
      <c r="AN513" s="307"/>
      <c r="AO513" s="447">
        <f t="shared" si="179"/>
        <v>0</v>
      </c>
      <c r="AP513" s="448"/>
      <c r="AQ513" s="443"/>
      <c r="AR513" s="444">
        <f t="shared" si="180"/>
        <v>0</v>
      </c>
      <c r="AS513" s="307"/>
      <c r="AT513" s="307"/>
      <c r="AU513" s="441">
        <f t="shared" si="181"/>
        <v>0</v>
      </c>
      <c r="AV513" s="442"/>
      <c r="AW513" s="443"/>
      <c r="AX513" s="444">
        <f t="shared" si="182"/>
        <v>0</v>
      </c>
      <c r="AY513" s="307"/>
      <c r="AZ513" s="307"/>
      <c r="BA513" s="445">
        <f t="shared" si="183"/>
        <v>0</v>
      </c>
      <c r="BB513" s="442"/>
      <c r="BC513" s="443"/>
      <c r="BD513" s="444">
        <f t="shared" si="184"/>
        <v>0</v>
      </c>
      <c r="BE513" s="307"/>
      <c r="BF513" s="307"/>
      <c r="BG513" s="445">
        <f t="shared" si="185"/>
        <v>0</v>
      </c>
      <c r="BH513" s="442"/>
      <c r="BI513" s="443"/>
      <c r="BJ513" s="444">
        <f t="shared" si="186"/>
        <v>0</v>
      </c>
      <c r="BK513" s="307"/>
      <c r="BL513" s="307"/>
      <c r="BM513" s="445">
        <f t="shared" si="187"/>
        <v>0</v>
      </c>
      <c r="BN513" s="371"/>
      <c r="BO513" s="372"/>
      <c r="BP513" s="444">
        <f t="shared" si="188"/>
        <v>0</v>
      </c>
      <c r="BQ513" s="307"/>
      <c r="BR513" s="307"/>
      <c r="BS513" s="445">
        <f t="shared" si="189"/>
        <v>0</v>
      </c>
      <c r="BT513" s="371">
        <v>19</v>
      </c>
      <c r="BU513" s="372">
        <v>43904.526315789473</v>
      </c>
      <c r="BV513" s="444">
        <f t="shared" si="190"/>
        <v>682530.9852</v>
      </c>
      <c r="BW513" s="307">
        <v>19</v>
      </c>
      <c r="BX513" s="307">
        <v>43863.947368421053</v>
      </c>
      <c r="BY513" s="449">
        <f t="shared" si="191"/>
        <v>681900.15300000005</v>
      </c>
    </row>
    <row r="514" spans="1:77" s="308" customFormat="1" ht="12.75" customHeight="1">
      <c r="A514" s="365" t="s">
        <v>310</v>
      </c>
      <c r="B514" s="366" t="s">
        <v>51</v>
      </c>
      <c r="C514" s="366"/>
      <c r="D514" s="367">
        <v>221333</v>
      </c>
      <c r="E514" s="368">
        <v>13</v>
      </c>
      <c r="F514" s="453"/>
      <c r="G514" s="454"/>
      <c r="H514" s="439">
        <f t="shared" si="168"/>
        <v>0</v>
      </c>
      <c r="I514" s="311"/>
      <c r="J514" s="311"/>
      <c r="K514" s="441">
        <f t="shared" si="169"/>
        <v>0</v>
      </c>
      <c r="L514" s="442"/>
      <c r="M514" s="443"/>
      <c r="N514" s="444">
        <f t="shared" si="170"/>
        <v>0</v>
      </c>
      <c r="O514" s="307"/>
      <c r="P514" s="307"/>
      <c r="Q514" s="445">
        <f t="shared" si="171"/>
        <v>0</v>
      </c>
      <c r="R514" s="442"/>
      <c r="S514" s="443"/>
      <c r="T514" s="444">
        <f t="shared" si="172"/>
        <v>0</v>
      </c>
      <c r="U514" s="307"/>
      <c r="V514" s="307"/>
      <c r="W514" s="441">
        <f t="shared" si="173"/>
        <v>0</v>
      </c>
      <c r="X514" s="442"/>
      <c r="Y514" s="443"/>
      <c r="Z514" s="444">
        <f t="shared" si="174"/>
        <v>0</v>
      </c>
      <c r="AA514" s="307"/>
      <c r="AB514" s="307"/>
      <c r="AC514" s="445">
        <f t="shared" si="175"/>
        <v>0</v>
      </c>
      <c r="AD514" s="442"/>
      <c r="AE514" s="443"/>
      <c r="AF514" s="444">
        <f t="shared" si="176"/>
        <v>0</v>
      </c>
      <c r="AG514" s="307"/>
      <c r="AH514" s="307"/>
      <c r="AI514" s="445">
        <f t="shared" si="177"/>
        <v>0</v>
      </c>
      <c r="AJ514" s="446"/>
      <c r="AK514" s="443"/>
      <c r="AL514" s="444">
        <f t="shared" si="178"/>
        <v>0</v>
      </c>
      <c r="AM514" s="307"/>
      <c r="AN514" s="307"/>
      <c r="AO514" s="447">
        <f t="shared" si="179"/>
        <v>0</v>
      </c>
      <c r="AP514" s="448"/>
      <c r="AQ514" s="443"/>
      <c r="AR514" s="444">
        <f t="shared" si="180"/>
        <v>0</v>
      </c>
      <c r="AS514" s="307"/>
      <c r="AT514" s="307"/>
      <c r="AU514" s="441">
        <f t="shared" si="181"/>
        <v>0</v>
      </c>
      <c r="AV514" s="442"/>
      <c r="AW514" s="443"/>
      <c r="AX514" s="444">
        <f t="shared" si="182"/>
        <v>0</v>
      </c>
      <c r="AY514" s="307"/>
      <c r="AZ514" s="307"/>
      <c r="BA514" s="445">
        <f t="shared" si="183"/>
        <v>0</v>
      </c>
      <c r="BB514" s="442"/>
      <c r="BC514" s="443"/>
      <c r="BD514" s="444">
        <f t="shared" si="184"/>
        <v>0</v>
      </c>
      <c r="BE514" s="307"/>
      <c r="BF514" s="307"/>
      <c r="BG514" s="445">
        <f t="shared" si="185"/>
        <v>0</v>
      </c>
      <c r="BH514" s="442"/>
      <c r="BI514" s="443"/>
      <c r="BJ514" s="444">
        <f t="shared" si="186"/>
        <v>0</v>
      </c>
      <c r="BK514" s="307"/>
      <c r="BL514" s="307"/>
      <c r="BM514" s="445">
        <f t="shared" si="187"/>
        <v>0</v>
      </c>
      <c r="BN514" s="371"/>
      <c r="BO514" s="372"/>
      <c r="BP514" s="444">
        <f t="shared" si="188"/>
        <v>0</v>
      </c>
      <c r="BQ514" s="307"/>
      <c r="BR514" s="307"/>
      <c r="BS514" s="445">
        <f t="shared" si="189"/>
        <v>0</v>
      </c>
      <c r="BT514" s="371">
        <v>15</v>
      </c>
      <c r="BU514" s="372">
        <v>45793.866666666669</v>
      </c>
      <c r="BV514" s="444">
        <f t="shared" si="190"/>
        <v>562028.12560000003</v>
      </c>
      <c r="BW514" s="307">
        <v>15</v>
      </c>
      <c r="BX514" s="307">
        <v>46387.533333333333</v>
      </c>
      <c r="BY514" s="449">
        <f t="shared" si="191"/>
        <v>569314.19660000002</v>
      </c>
    </row>
    <row r="515" spans="1:77" s="308" customFormat="1" ht="12.75" customHeight="1">
      <c r="A515" s="365" t="s">
        <v>310</v>
      </c>
      <c r="B515" s="366" t="s">
        <v>52</v>
      </c>
      <c r="C515" s="366"/>
      <c r="D515" s="367">
        <v>221388</v>
      </c>
      <c r="E515" s="368">
        <v>13</v>
      </c>
      <c r="F515" s="453"/>
      <c r="G515" s="454"/>
      <c r="H515" s="439">
        <f t="shared" si="168"/>
        <v>0</v>
      </c>
      <c r="I515" s="311"/>
      <c r="J515" s="311"/>
      <c r="K515" s="441">
        <f t="shared" si="169"/>
        <v>0</v>
      </c>
      <c r="L515" s="442"/>
      <c r="M515" s="443"/>
      <c r="N515" s="444">
        <f t="shared" si="170"/>
        <v>0</v>
      </c>
      <c r="O515" s="307"/>
      <c r="P515" s="307"/>
      <c r="Q515" s="445">
        <f t="shared" si="171"/>
        <v>0</v>
      </c>
      <c r="R515" s="442"/>
      <c r="S515" s="443"/>
      <c r="T515" s="444">
        <f t="shared" si="172"/>
        <v>0</v>
      </c>
      <c r="U515" s="307"/>
      <c r="V515" s="307"/>
      <c r="W515" s="441">
        <f t="shared" si="173"/>
        <v>0</v>
      </c>
      <c r="X515" s="442"/>
      <c r="Y515" s="443"/>
      <c r="Z515" s="444">
        <f t="shared" si="174"/>
        <v>0</v>
      </c>
      <c r="AA515" s="307"/>
      <c r="AB515" s="307"/>
      <c r="AC515" s="445">
        <f t="shared" si="175"/>
        <v>0</v>
      </c>
      <c r="AD515" s="442"/>
      <c r="AE515" s="443"/>
      <c r="AF515" s="444">
        <f t="shared" si="176"/>
        <v>0</v>
      </c>
      <c r="AG515" s="307"/>
      <c r="AH515" s="307"/>
      <c r="AI515" s="445">
        <f t="shared" si="177"/>
        <v>0</v>
      </c>
      <c r="AJ515" s="446"/>
      <c r="AK515" s="443"/>
      <c r="AL515" s="444">
        <f t="shared" si="178"/>
        <v>0</v>
      </c>
      <c r="AM515" s="307"/>
      <c r="AN515" s="307"/>
      <c r="AO515" s="447">
        <f t="shared" si="179"/>
        <v>0</v>
      </c>
      <c r="AP515" s="448"/>
      <c r="AQ515" s="443"/>
      <c r="AR515" s="444">
        <f t="shared" si="180"/>
        <v>0</v>
      </c>
      <c r="AS515" s="307"/>
      <c r="AT515" s="307"/>
      <c r="AU515" s="441">
        <f t="shared" si="181"/>
        <v>0</v>
      </c>
      <c r="AV515" s="442"/>
      <c r="AW515" s="443"/>
      <c r="AX515" s="444">
        <f t="shared" si="182"/>
        <v>0</v>
      </c>
      <c r="AY515" s="307"/>
      <c r="AZ515" s="307"/>
      <c r="BA515" s="445">
        <f t="shared" si="183"/>
        <v>0</v>
      </c>
      <c r="BB515" s="442"/>
      <c r="BC515" s="443"/>
      <c r="BD515" s="444">
        <f t="shared" si="184"/>
        <v>0</v>
      </c>
      <c r="BE515" s="307"/>
      <c r="BF515" s="307"/>
      <c r="BG515" s="445">
        <f t="shared" si="185"/>
        <v>0</v>
      </c>
      <c r="BH515" s="442"/>
      <c r="BI515" s="443"/>
      <c r="BJ515" s="444">
        <f t="shared" si="186"/>
        <v>0</v>
      </c>
      <c r="BK515" s="307"/>
      <c r="BL515" s="307"/>
      <c r="BM515" s="445">
        <f t="shared" si="187"/>
        <v>0</v>
      </c>
      <c r="BN515" s="371"/>
      <c r="BO515" s="372"/>
      <c r="BP515" s="444">
        <f t="shared" si="188"/>
        <v>0</v>
      </c>
      <c r="BQ515" s="307"/>
      <c r="BR515" s="307"/>
      <c r="BS515" s="445">
        <f t="shared" si="189"/>
        <v>0</v>
      </c>
      <c r="BT515" s="371">
        <v>10</v>
      </c>
      <c r="BU515" s="372">
        <v>44530.7</v>
      </c>
      <c r="BV515" s="444">
        <f t="shared" si="190"/>
        <v>364350.1874</v>
      </c>
      <c r="BW515" s="307">
        <v>11</v>
      </c>
      <c r="BX515" s="307">
        <v>42441.545454545456</v>
      </c>
      <c r="BY515" s="449">
        <f t="shared" si="191"/>
        <v>381982.39740000002</v>
      </c>
    </row>
    <row r="516" spans="1:77" s="308" customFormat="1" ht="12.75" customHeight="1">
      <c r="A516" s="365" t="s">
        <v>310</v>
      </c>
      <c r="B516" s="366" t="s">
        <v>53</v>
      </c>
      <c r="C516" s="366"/>
      <c r="D516" s="367">
        <v>221494</v>
      </c>
      <c r="E516" s="368">
        <v>13</v>
      </c>
      <c r="F516" s="453"/>
      <c r="G516" s="454"/>
      <c r="H516" s="439">
        <f t="shared" si="168"/>
        <v>0</v>
      </c>
      <c r="I516" s="311"/>
      <c r="J516" s="311"/>
      <c r="K516" s="441">
        <f t="shared" si="169"/>
        <v>0</v>
      </c>
      <c r="L516" s="442"/>
      <c r="M516" s="443"/>
      <c r="N516" s="444">
        <f t="shared" si="170"/>
        <v>0</v>
      </c>
      <c r="O516" s="307"/>
      <c r="P516" s="307"/>
      <c r="Q516" s="445">
        <f t="shared" si="171"/>
        <v>0</v>
      </c>
      <c r="R516" s="442"/>
      <c r="S516" s="443"/>
      <c r="T516" s="444">
        <f t="shared" si="172"/>
        <v>0</v>
      </c>
      <c r="U516" s="307"/>
      <c r="V516" s="307"/>
      <c r="W516" s="441">
        <f t="shared" si="173"/>
        <v>0</v>
      </c>
      <c r="X516" s="442"/>
      <c r="Y516" s="443"/>
      <c r="Z516" s="444">
        <f t="shared" si="174"/>
        <v>0</v>
      </c>
      <c r="AA516" s="307"/>
      <c r="AB516" s="307"/>
      <c r="AC516" s="445">
        <f t="shared" si="175"/>
        <v>0</v>
      </c>
      <c r="AD516" s="442"/>
      <c r="AE516" s="443"/>
      <c r="AF516" s="444">
        <f t="shared" si="176"/>
        <v>0</v>
      </c>
      <c r="AG516" s="307"/>
      <c r="AH516" s="307"/>
      <c r="AI516" s="445">
        <f t="shared" si="177"/>
        <v>0</v>
      </c>
      <c r="AJ516" s="446"/>
      <c r="AK516" s="443"/>
      <c r="AL516" s="444">
        <f t="shared" si="178"/>
        <v>0</v>
      </c>
      <c r="AM516" s="307"/>
      <c r="AN516" s="307"/>
      <c r="AO516" s="447">
        <f t="shared" si="179"/>
        <v>0</v>
      </c>
      <c r="AP516" s="448"/>
      <c r="AQ516" s="443"/>
      <c r="AR516" s="444">
        <f t="shared" si="180"/>
        <v>0</v>
      </c>
      <c r="AS516" s="307"/>
      <c r="AT516" s="307"/>
      <c r="AU516" s="441">
        <f t="shared" si="181"/>
        <v>0</v>
      </c>
      <c r="AV516" s="442"/>
      <c r="AW516" s="443"/>
      <c r="AX516" s="444">
        <f t="shared" si="182"/>
        <v>0</v>
      </c>
      <c r="AY516" s="307"/>
      <c r="AZ516" s="307"/>
      <c r="BA516" s="445">
        <f t="shared" si="183"/>
        <v>0</v>
      </c>
      <c r="BB516" s="442"/>
      <c r="BC516" s="443"/>
      <c r="BD516" s="444">
        <f t="shared" si="184"/>
        <v>0</v>
      </c>
      <c r="BE516" s="307"/>
      <c r="BF516" s="307"/>
      <c r="BG516" s="445">
        <f t="shared" si="185"/>
        <v>0</v>
      </c>
      <c r="BH516" s="442"/>
      <c r="BI516" s="443"/>
      <c r="BJ516" s="444">
        <f t="shared" si="186"/>
        <v>0</v>
      </c>
      <c r="BK516" s="307"/>
      <c r="BL516" s="307"/>
      <c r="BM516" s="445">
        <f t="shared" si="187"/>
        <v>0</v>
      </c>
      <c r="BN516" s="371"/>
      <c r="BO516" s="372"/>
      <c r="BP516" s="444">
        <f t="shared" si="188"/>
        <v>0</v>
      </c>
      <c r="BQ516" s="307"/>
      <c r="BR516" s="307"/>
      <c r="BS516" s="445">
        <f t="shared" si="189"/>
        <v>0</v>
      </c>
      <c r="BT516" s="371">
        <v>21</v>
      </c>
      <c r="BU516" s="372">
        <v>47656.285714285717</v>
      </c>
      <c r="BV516" s="444">
        <f t="shared" si="190"/>
        <v>818839.83240000019</v>
      </c>
      <c r="BW516" s="307">
        <v>22</v>
      </c>
      <c r="BX516" s="307">
        <v>46959</v>
      </c>
      <c r="BY516" s="449">
        <f t="shared" si="191"/>
        <v>845280.78360000008</v>
      </c>
    </row>
    <row r="517" spans="1:77" s="308" customFormat="1" ht="12.75" customHeight="1">
      <c r="A517" s="365" t="s">
        <v>310</v>
      </c>
      <c r="B517" s="366" t="s">
        <v>54</v>
      </c>
      <c r="C517" s="366"/>
      <c r="D517" s="367">
        <v>221634</v>
      </c>
      <c r="E517" s="368">
        <v>13</v>
      </c>
      <c r="F517" s="453"/>
      <c r="G517" s="454"/>
      <c r="H517" s="439">
        <f t="shared" si="168"/>
        <v>0</v>
      </c>
      <c r="I517" s="311"/>
      <c r="J517" s="311"/>
      <c r="K517" s="441">
        <f t="shared" si="169"/>
        <v>0</v>
      </c>
      <c r="L517" s="442"/>
      <c r="M517" s="443"/>
      <c r="N517" s="444">
        <f t="shared" si="170"/>
        <v>0</v>
      </c>
      <c r="O517" s="307"/>
      <c r="P517" s="307"/>
      <c r="Q517" s="445">
        <f t="shared" si="171"/>
        <v>0</v>
      </c>
      <c r="R517" s="442"/>
      <c r="S517" s="443"/>
      <c r="T517" s="444">
        <f t="shared" si="172"/>
        <v>0</v>
      </c>
      <c r="U517" s="307"/>
      <c r="V517" s="307"/>
      <c r="W517" s="441">
        <f t="shared" si="173"/>
        <v>0</v>
      </c>
      <c r="X517" s="442"/>
      <c r="Y517" s="443"/>
      <c r="Z517" s="444">
        <f t="shared" si="174"/>
        <v>0</v>
      </c>
      <c r="AA517" s="307"/>
      <c r="AB517" s="307"/>
      <c r="AC517" s="445">
        <f t="shared" si="175"/>
        <v>0</v>
      </c>
      <c r="AD517" s="442"/>
      <c r="AE517" s="443"/>
      <c r="AF517" s="444">
        <f t="shared" si="176"/>
        <v>0</v>
      </c>
      <c r="AG517" s="307"/>
      <c r="AH517" s="307"/>
      <c r="AI517" s="445">
        <f t="shared" si="177"/>
        <v>0</v>
      </c>
      <c r="AJ517" s="446"/>
      <c r="AK517" s="443"/>
      <c r="AL517" s="444">
        <f t="shared" si="178"/>
        <v>0</v>
      </c>
      <c r="AM517" s="307"/>
      <c r="AN517" s="307"/>
      <c r="AO517" s="447">
        <f t="shared" si="179"/>
        <v>0</v>
      </c>
      <c r="AP517" s="448"/>
      <c r="AQ517" s="443"/>
      <c r="AR517" s="444">
        <f t="shared" si="180"/>
        <v>0</v>
      </c>
      <c r="AS517" s="307"/>
      <c r="AT517" s="307"/>
      <c r="AU517" s="441">
        <f t="shared" si="181"/>
        <v>0</v>
      </c>
      <c r="AV517" s="442"/>
      <c r="AW517" s="443"/>
      <c r="AX517" s="444">
        <f t="shared" si="182"/>
        <v>0</v>
      </c>
      <c r="AY517" s="307"/>
      <c r="AZ517" s="307"/>
      <c r="BA517" s="445">
        <f t="shared" si="183"/>
        <v>0</v>
      </c>
      <c r="BB517" s="442"/>
      <c r="BC517" s="443"/>
      <c r="BD517" s="444">
        <f t="shared" si="184"/>
        <v>0</v>
      </c>
      <c r="BE517" s="307"/>
      <c r="BF517" s="307"/>
      <c r="BG517" s="445">
        <f t="shared" si="185"/>
        <v>0</v>
      </c>
      <c r="BH517" s="442"/>
      <c r="BI517" s="443"/>
      <c r="BJ517" s="444">
        <f t="shared" si="186"/>
        <v>0</v>
      </c>
      <c r="BK517" s="307"/>
      <c r="BL517" s="307"/>
      <c r="BM517" s="445">
        <f t="shared" si="187"/>
        <v>0</v>
      </c>
      <c r="BN517" s="371"/>
      <c r="BO517" s="372"/>
      <c r="BP517" s="444">
        <f t="shared" si="188"/>
        <v>0</v>
      </c>
      <c r="BQ517" s="307"/>
      <c r="BR517" s="307"/>
      <c r="BS517" s="445">
        <f t="shared" si="189"/>
        <v>0</v>
      </c>
      <c r="BT517" s="371">
        <v>10</v>
      </c>
      <c r="BU517" s="372">
        <v>48613.2</v>
      </c>
      <c r="BV517" s="444">
        <f t="shared" si="190"/>
        <v>397753.20240000001</v>
      </c>
      <c r="BW517" s="307">
        <v>9</v>
      </c>
      <c r="BX517" s="307">
        <v>48681.111111111109</v>
      </c>
      <c r="BY517" s="449">
        <f t="shared" si="191"/>
        <v>358477.96600000001</v>
      </c>
    </row>
    <row r="518" spans="1:77" s="308" customFormat="1" ht="12.75" customHeight="1">
      <c r="A518" s="373" t="s">
        <v>309</v>
      </c>
      <c r="B518" s="374" t="s">
        <v>731</v>
      </c>
      <c r="C518" s="374"/>
      <c r="D518" s="375">
        <v>228723</v>
      </c>
      <c r="E518" s="323">
        <v>1</v>
      </c>
      <c r="F518" s="453">
        <v>858</v>
      </c>
      <c r="G518" s="454">
        <v>120961.47435897436</v>
      </c>
      <c r="H518" s="439">
        <f t="shared" si="168"/>
        <v>103784945</v>
      </c>
      <c r="I518" s="311">
        <v>930</v>
      </c>
      <c r="J518" s="311">
        <v>119759.39247311828</v>
      </c>
      <c r="K518" s="441">
        <f t="shared" si="169"/>
        <v>111376235</v>
      </c>
      <c r="L518" s="442">
        <v>512</v>
      </c>
      <c r="M518" s="443">
        <v>82119.978515625</v>
      </c>
      <c r="N518" s="444">
        <f t="shared" si="170"/>
        <v>42045429</v>
      </c>
      <c r="O518" s="307">
        <v>590</v>
      </c>
      <c r="P518" s="307">
        <v>80873.37627118644</v>
      </c>
      <c r="Q518" s="445">
        <f t="shared" si="171"/>
        <v>47715292</v>
      </c>
      <c r="R518" s="442">
        <v>612</v>
      </c>
      <c r="S518" s="443">
        <v>71380.031045751632</v>
      </c>
      <c r="T518" s="444">
        <f t="shared" si="172"/>
        <v>43684579</v>
      </c>
      <c r="U518" s="307">
        <v>647</v>
      </c>
      <c r="V518" s="307">
        <v>69372.77125193199</v>
      </c>
      <c r="W518" s="441">
        <f t="shared" si="173"/>
        <v>44884183</v>
      </c>
      <c r="X518" s="442">
        <v>48</v>
      </c>
      <c r="Y518" s="443">
        <v>30391.520833333332</v>
      </c>
      <c r="Z518" s="444">
        <f t="shared" si="174"/>
        <v>1458793</v>
      </c>
      <c r="AA518" s="307">
        <v>111</v>
      </c>
      <c r="AB518" s="307">
        <v>37890.729729729726</v>
      </c>
      <c r="AC518" s="445">
        <f t="shared" si="175"/>
        <v>4205871</v>
      </c>
      <c r="AD518" s="442">
        <v>268</v>
      </c>
      <c r="AE518" s="443">
        <v>44256.492537313432</v>
      </c>
      <c r="AF518" s="444">
        <f t="shared" si="176"/>
        <v>11860740</v>
      </c>
      <c r="AG518" s="307">
        <v>347</v>
      </c>
      <c r="AH518" s="307">
        <v>42663.694524495681</v>
      </c>
      <c r="AI518" s="445">
        <f t="shared" si="177"/>
        <v>14804302.000000002</v>
      </c>
      <c r="AJ518" s="446"/>
      <c r="AK518" s="443"/>
      <c r="AL518" s="444">
        <f t="shared" si="178"/>
        <v>0</v>
      </c>
      <c r="AM518" s="307"/>
      <c r="AN518" s="307"/>
      <c r="AO518" s="447">
        <f t="shared" si="179"/>
        <v>0</v>
      </c>
      <c r="AP518" s="448"/>
      <c r="AQ518" s="443"/>
      <c r="AR518" s="444">
        <f t="shared" si="180"/>
        <v>0</v>
      </c>
      <c r="AS518" s="307"/>
      <c r="AT518" s="307"/>
      <c r="AU518" s="441">
        <f t="shared" si="181"/>
        <v>0</v>
      </c>
      <c r="AV518" s="442"/>
      <c r="AW518" s="443"/>
      <c r="AX518" s="444">
        <f t="shared" si="182"/>
        <v>0</v>
      </c>
      <c r="AY518" s="307"/>
      <c r="AZ518" s="307"/>
      <c r="BA518" s="445">
        <f t="shared" si="183"/>
        <v>0</v>
      </c>
      <c r="BB518" s="442"/>
      <c r="BC518" s="443"/>
      <c r="BD518" s="444">
        <f t="shared" si="184"/>
        <v>0</v>
      </c>
      <c r="BE518" s="307"/>
      <c r="BF518" s="307"/>
      <c r="BG518" s="445">
        <f t="shared" si="185"/>
        <v>0</v>
      </c>
      <c r="BH518" s="442"/>
      <c r="BI518" s="443"/>
      <c r="BJ518" s="444">
        <f t="shared" si="186"/>
        <v>0</v>
      </c>
      <c r="BK518" s="307"/>
      <c r="BL518" s="307"/>
      <c r="BM518" s="445">
        <f t="shared" si="187"/>
        <v>0</v>
      </c>
      <c r="BN518" s="442"/>
      <c r="BO518" s="443"/>
      <c r="BP518" s="444">
        <f t="shared" si="188"/>
        <v>0</v>
      </c>
      <c r="BQ518" s="307"/>
      <c r="BR518" s="307"/>
      <c r="BS518" s="445">
        <f t="shared" si="189"/>
        <v>0</v>
      </c>
      <c r="BT518" s="442"/>
      <c r="BU518" s="443"/>
      <c r="BV518" s="444">
        <f t="shared" si="190"/>
        <v>0</v>
      </c>
      <c r="BW518" s="307"/>
      <c r="BX518" s="307"/>
      <c r="BY518" s="449">
        <f t="shared" si="191"/>
        <v>0</v>
      </c>
    </row>
    <row r="519" spans="1:77" s="308" customFormat="1" ht="12.75" customHeight="1">
      <c r="A519" s="373" t="s">
        <v>309</v>
      </c>
      <c r="B519" s="374" t="s">
        <v>55</v>
      </c>
      <c r="C519" s="374"/>
      <c r="D519" s="375">
        <v>229115</v>
      </c>
      <c r="E519" s="323">
        <v>1</v>
      </c>
      <c r="F519" s="453">
        <v>237</v>
      </c>
      <c r="G519" s="454">
        <v>100612.36286919832</v>
      </c>
      <c r="H519" s="439">
        <f t="shared" si="168"/>
        <v>23845130</v>
      </c>
      <c r="I519" s="311">
        <v>264</v>
      </c>
      <c r="J519" s="311">
        <v>102657.90909090909</v>
      </c>
      <c r="K519" s="441">
        <f t="shared" si="169"/>
        <v>27101688</v>
      </c>
      <c r="L519" s="442">
        <v>352</v>
      </c>
      <c r="M519" s="443">
        <v>73123.426136363632</v>
      </c>
      <c r="N519" s="444">
        <f t="shared" si="170"/>
        <v>25739446</v>
      </c>
      <c r="O519" s="307">
        <v>355</v>
      </c>
      <c r="P519" s="307">
        <v>74012.461971830984</v>
      </c>
      <c r="Q519" s="445">
        <f t="shared" si="171"/>
        <v>26274424</v>
      </c>
      <c r="R519" s="442">
        <v>316</v>
      </c>
      <c r="S519" s="443">
        <v>64602</v>
      </c>
      <c r="T519" s="444">
        <f t="shared" si="172"/>
        <v>20414232</v>
      </c>
      <c r="U519" s="307">
        <v>296</v>
      </c>
      <c r="V519" s="307">
        <v>65213.800675675673</v>
      </c>
      <c r="W519" s="441">
        <f t="shared" si="173"/>
        <v>19303285</v>
      </c>
      <c r="X519" s="442">
        <v>163</v>
      </c>
      <c r="Y519" s="443">
        <v>40123.981595092024</v>
      </c>
      <c r="Z519" s="444">
        <f t="shared" si="174"/>
        <v>6540209</v>
      </c>
      <c r="AA519" s="307">
        <v>172</v>
      </c>
      <c r="AB519" s="307">
        <v>41938.988372093023</v>
      </c>
      <c r="AC519" s="445">
        <f t="shared" si="175"/>
        <v>7213506</v>
      </c>
      <c r="AD519" s="442"/>
      <c r="AE519" s="443"/>
      <c r="AF519" s="444">
        <f t="shared" si="176"/>
        <v>0</v>
      </c>
      <c r="AG519" s="307"/>
      <c r="AH519" s="307"/>
      <c r="AI519" s="445">
        <f t="shared" si="177"/>
        <v>0</v>
      </c>
      <c r="AJ519" s="446"/>
      <c r="AK519" s="443"/>
      <c r="AL519" s="444">
        <f t="shared" si="178"/>
        <v>0</v>
      </c>
      <c r="AM519" s="307"/>
      <c r="AN519" s="307"/>
      <c r="AO519" s="447">
        <f t="shared" si="179"/>
        <v>0</v>
      </c>
      <c r="AP519" s="448">
        <v>50</v>
      </c>
      <c r="AQ519" s="443">
        <v>133464.6</v>
      </c>
      <c r="AR519" s="444">
        <f t="shared" si="180"/>
        <v>5460036.7860000003</v>
      </c>
      <c r="AS519" s="307">
        <v>48</v>
      </c>
      <c r="AT519" s="307">
        <v>147775.8125</v>
      </c>
      <c r="AU519" s="441">
        <f t="shared" si="181"/>
        <v>5803688.1498000007</v>
      </c>
      <c r="AV519" s="442">
        <v>11</v>
      </c>
      <c r="AW519" s="443">
        <v>89904.181818181823</v>
      </c>
      <c r="AX519" s="444">
        <f t="shared" si="182"/>
        <v>809155.6172000001</v>
      </c>
      <c r="AY519" s="307">
        <v>10</v>
      </c>
      <c r="AZ519" s="307">
        <v>102865.60000000001</v>
      </c>
      <c r="BA519" s="445">
        <f t="shared" si="183"/>
        <v>841646.33920000005</v>
      </c>
      <c r="BB519" s="442">
        <v>8</v>
      </c>
      <c r="BC519" s="443">
        <v>88422.75</v>
      </c>
      <c r="BD519" s="444">
        <f t="shared" si="184"/>
        <v>578779.95240000007</v>
      </c>
      <c r="BE519" s="307">
        <v>11</v>
      </c>
      <c r="BF519" s="307">
        <v>83343.272727272721</v>
      </c>
      <c r="BG519" s="445">
        <f t="shared" si="185"/>
        <v>750106.12319999991</v>
      </c>
      <c r="BH519" s="442">
        <v>11</v>
      </c>
      <c r="BI519" s="443">
        <v>55885.63636363636</v>
      </c>
      <c r="BJ519" s="444">
        <f t="shared" si="186"/>
        <v>502981.9044</v>
      </c>
      <c r="BK519" s="307">
        <v>20</v>
      </c>
      <c r="BL519" s="307">
        <v>67335</v>
      </c>
      <c r="BM519" s="445">
        <f t="shared" si="187"/>
        <v>1101869.94</v>
      </c>
      <c r="BN519" s="442"/>
      <c r="BO519" s="443"/>
      <c r="BP519" s="444">
        <f t="shared" si="188"/>
        <v>0</v>
      </c>
      <c r="BQ519" s="307"/>
      <c r="BR519" s="307"/>
      <c r="BS519" s="445">
        <f t="shared" si="189"/>
        <v>0</v>
      </c>
      <c r="BT519" s="442"/>
      <c r="BU519" s="443"/>
      <c r="BV519" s="444">
        <f t="shared" si="190"/>
        <v>0</v>
      </c>
      <c r="BW519" s="307"/>
      <c r="BX519" s="307"/>
      <c r="BY519" s="449">
        <f t="shared" si="191"/>
        <v>0</v>
      </c>
    </row>
    <row r="520" spans="1:77" s="308" customFormat="1" ht="12.75" customHeight="1">
      <c r="A520" s="373" t="s">
        <v>309</v>
      </c>
      <c r="B520" s="374" t="s">
        <v>56</v>
      </c>
      <c r="C520" s="374"/>
      <c r="D520" s="375">
        <v>225511</v>
      </c>
      <c r="E520" s="323">
        <v>1</v>
      </c>
      <c r="F520" s="453">
        <v>368</v>
      </c>
      <c r="G520" s="454">
        <v>119913.47282608696</v>
      </c>
      <c r="H520" s="439">
        <f t="shared" si="168"/>
        <v>44128158</v>
      </c>
      <c r="I520" s="311">
        <v>380</v>
      </c>
      <c r="J520" s="311">
        <v>126182.98947368421</v>
      </c>
      <c r="K520" s="441">
        <f t="shared" si="169"/>
        <v>47949536</v>
      </c>
      <c r="L520" s="442">
        <v>281</v>
      </c>
      <c r="M520" s="443">
        <v>78697.113879003562</v>
      </c>
      <c r="N520" s="444">
        <f t="shared" si="170"/>
        <v>22113889</v>
      </c>
      <c r="O520" s="307">
        <v>280</v>
      </c>
      <c r="P520" s="307">
        <v>80756.571428571435</v>
      </c>
      <c r="Q520" s="445">
        <f t="shared" si="171"/>
        <v>22611840</v>
      </c>
      <c r="R520" s="442">
        <v>197</v>
      </c>
      <c r="S520" s="443">
        <v>77841.812182741123</v>
      </c>
      <c r="T520" s="444">
        <f t="shared" si="172"/>
        <v>15334837.000000002</v>
      </c>
      <c r="U520" s="307">
        <v>194</v>
      </c>
      <c r="V520" s="307">
        <v>81005.036082474224</v>
      </c>
      <c r="W520" s="441">
        <f t="shared" si="173"/>
        <v>15714977</v>
      </c>
      <c r="X520" s="442"/>
      <c r="Y520" s="443"/>
      <c r="Z520" s="444">
        <f t="shared" si="174"/>
        <v>0</v>
      </c>
      <c r="AA520" s="307"/>
      <c r="AB520" s="307"/>
      <c r="AC520" s="445">
        <f t="shared" si="175"/>
        <v>0</v>
      </c>
      <c r="AD520" s="442">
        <v>71</v>
      </c>
      <c r="AE520" s="443">
        <v>48768.816901408449</v>
      </c>
      <c r="AF520" s="444">
        <f t="shared" si="176"/>
        <v>3462586</v>
      </c>
      <c r="AG520" s="307">
        <v>89</v>
      </c>
      <c r="AH520" s="307">
        <v>54954.685393258427</v>
      </c>
      <c r="AI520" s="445">
        <f t="shared" si="177"/>
        <v>4890967</v>
      </c>
      <c r="AJ520" s="446"/>
      <c r="AK520" s="443"/>
      <c r="AL520" s="444">
        <f t="shared" si="178"/>
        <v>0</v>
      </c>
      <c r="AM520" s="307">
        <v>138</v>
      </c>
      <c r="AN520" s="307">
        <v>65365.362318840576</v>
      </c>
      <c r="AO520" s="447">
        <f t="shared" si="179"/>
        <v>9020420</v>
      </c>
      <c r="AP520" s="448">
        <v>15</v>
      </c>
      <c r="AQ520" s="443">
        <v>146398.66666666666</v>
      </c>
      <c r="AR520" s="444">
        <f t="shared" si="180"/>
        <v>1796750.8360000001</v>
      </c>
      <c r="AS520" s="307">
        <v>15</v>
      </c>
      <c r="AT520" s="307">
        <v>154174.66666666666</v>
      </c>
      <c r="AU520" s="441">
        <f t="shared" si="181"/>
        <v>1892185.6840000001</v>
      </c>
      <c r="AV520" s="442">
        <v>14</v>
      </c>
      <c r="AW520" s="443">
        <v>106319.92857142857</v>
      </c>
      <c r="AX520" s="444">
        <f t="shared" si="182"/>
        <v>1217873.5178</v>
      </c>
      <c r="AY520" s="307">
        <v>15</v>
      </c>
      <c r="AZ520" s="307">
        <v>112776.93333333333</v>
      </c>
      <c r="BA520" s="445">
        <f t="shared" si="183"/>
        <v>1384111.3028000002</v>
      </c>
      <c r="BB520" s="442">
        <v>11</v>
      </c>
      <c r="BC520" s="443">
        <v>89364.545454545456</v>
      </c>
      <c r="BD520" s="444">
        <f t="shared" si="184"/>
        <v>804298.78200000001</v>
      </c>
      <c r="BE520" s="307">
        <v>12</v>
      </c>
      <c r="BF520" s="307">
        <v>88642.833333333328</v>
      </c>
      <c r="BG520" s="445">
        <f t="shared" si="185"/>
        <v>870330.79480000003</v>
      </c>
      <c r="BH520" s="442"/>
      <c r="BI520" s="443"/>
      <c r="BJ520" s="444">
        <f t="shared" si="186"/>
        <v>0</v>
      </c>
      <c r="BK520" s="307"/>
      <c r="BL520" s="307"/>
      <c r="BM520" s="445">
        <f t="shared" si="187"/>
        <v>0</v>
      </c>
      <c r="BN520" s="442">
        <v>58</v>
      </c>
      <c r="BO520" s="443">
        <v>72804.982758620696</v>
      </c>
      <c r="BP520" s="444">
        <f t="shared" si="188"/>
        <v>3455004.1398</v>
      </c>
      <c r="BQ520" s="307">
        <v>4</v>
      </c>
      <c r="BR520" s="307">
        <v>59841</v>
      </c>
      <c r="BS520" s="445">
        <f t="shared" si="189"/>
        <v>195847.62480000002</v>
      </c>
      <c r="BT520" s="442"/>
      <c r="BU520" s="443"/>
      <c r="BV520" s="444">
        <f t="shared" si="190"/>
        <v>0</v>
      </c>
      <c r="BW520" s="307">
        <v>62</v>
      </c>
      <c r="BX520" s="307">
        <v>76313.870967741939</v>
      </c>
      <c r="BY520" s="449">
        <f t="shared" si="191"/>
        <v>3871280.5720000002</v>
      </c>
    </row>
    <row r="521" spans="1:77" s="308" customFormat="1" ht="12.75" customHeight="1">
      <c r="A521" s="373" t="s">
        <v>309</v>
      </c>
      <c r="B521" s="374" t="s">
        <v>57</v>
      </c>
      <c r="C521" s="374"/>
      <c r="D521" s="375">
        <v>227216</v>
      </c>
      <c r="E521" s="323">
        <v>1</v>
      </c>
      <c r="F521" s="453">
        <v>232</v>
      </c>
      <c r="G521" s="454">
        <v>104830.76293103448</v>
      </c>
      <c r="H521" s="439">
        <f t="shared" ref="H521:H584" si="192">F521*G521</f>
        <v>24320737</v>
      </c>
      <c r="I521" s="311">
        <v>239</v>
      </c>
      <c r="J521" s="311">
        <v>105525.85355648535</v>
      </c>
      <c r="K521" s="441">
        <f t="shared" ref="K521:K584" si="193">I521*J521</f>
        <v>25220679</v>
      </c>
      <c r="L521" s="442">
        <v>254</v>
      </c>
      <c r="M521" s="443">
        <v>80498.389763779531</v>
      </c>
      <c r="N521" s="444">
        <f t="shared" ref="N521:N584" si="194">L521*M521</f>
        <v>20446591</v>
      </c>
      <c r="O521" s="307">
        <v>260</v>
      </c>
      <c r="P521" s="307">
        <v>80286.292307692303</v>
      </c>
      <c r="Q521" s="445">
        <f t="shared" ref="Q521:Q584" si="195">O521*P521</f>
        <v>20874436</v>
      </c>
      <c r="R521" s="442">
        <v>251</v>
      </c>
      <c r="S521" s="443">
        <v>66658.69322709163</v>
      </c>
      <c r="T521" s="444">
        <f t="shared" ref="T521:T584" si="196">R521*S521</f>
        <v>16731331.999999998</v>
      </c>
      <c r="U521" s="307">
        <v>258</v>
      </c>
      <c r="V521" s="307">
        <v>65935.686046511633</v>
      </c>
      <c r="W521" s="441">
        <f t="shared" ref="W521:W584" si="197">U521*V521</f>
        <v>17011407</v>
      </c>
      <c r="X521" s="442">
        <v>2</v>
      </c>
      <c r="Y521" s="443">
        <v>60950</v>
      </c>
      <c r="Z521" s="444">
        <f t="shared" ref="Z521:Z584" si="198">X521*Y521</f>
        <v>121900</v>
      </c>
      <c r="AA521" s="307">
        <v>2</v>
      </c>
      <c r="AB521" s="307">
        <v>60950</v>
      </c>
      <c r="AC521" s="445">
        <f t="shared" ref="AC521:AC584" si="199">AA521*AB521</f>
        <v>121900</v>
      </c>
      <c r="AD521" s="442">
        <v>164</v>
      </c>
      <c r="AE521" s="443">
        <v>48645.585365853658</v>
      </c>
      <c r="AF521" s="444">
        <f t="shared" ref="AF521:AF584" si="200">AD521*AE521</f>
        <v>7977876</v>
      </c>
      <c r="AG521" s="307">
        <v>179</v>
      </c>
      <c r="AH521" s="307">
        <v>49354.888268156421</v>
      </c>
      <c r="AI521" s="445">
        <f t="shared" ref="AI521:AI584" si="201">AG521*AH521</f>
        <v>8834525</v>
      </c>
      <c r="AJ521" s="446"/>
      <c r="AK521" s="443"/>
      <c r="AL521" s="444">
        <f t="shared" ref="AL521:AL584" si="202">AJ521*AK521</f>
        <v>0</v>
      </c>
      <c r="AM521" s="307">
        <v>14</v>
      </c>
      <c r="AN521" s="307">
        <v>62708.357142857145</v>
      </c>
      <c r="AO521" s="447">
        <f t="shared" ref="AO521:AO584" si="203">AM521*AN521</f>
        <v>877917</v>
      </c>
      <c r="AP521" s="448">
        <v>29</v>
      </c>
      <c r="AQ521" s="443">
        <v>153950.8275862069</v>
      </c>
      <c r="AR521" s="444">
        <f t="shared" ref="AR521:AR584" si="204">(AP521*AQ521)*0.8182</f>
        <v>3652914.4468</v>
      </c>
      <c r="AS521" s="307">
        <v>34</v>
      </c>
      <c r="AT521" s="307">
        <v>147971.4705882353</v>
      </c>
      <c r="AU521" s="441">
        <f t="shared" ref="AU521:AU584" si="205">(AS521*AT521)*0.8182</f>
        <v>4116388.7460000003</v>
      </c>
      <c r="AV521" s="442">
        <v>22</v>
      </c>
      <c r="AW521" s="443">
        <v>105335.13636363637</v>
      </c>
      <c r="AX521" s="444">
        <f t="shared" ref="AX521:AX584" si="206">(AV521*AW521)*0.8182</f>
        <v>1896074.5886000001</v>
      </c>
      <c r="AY521" s="307">
        <v>18</v>
      </c>
      <c r="AZ521" s="307">
        <v>101600.27777777778</v>
      </c>
      <c r="BA521" s="445">
        <f t="shared" ref="BA521:BA584" si="207">(AY521*AZ521)*0.8182</f>
        <v>1496328.2510000002</v>
      </c>
      <c r="BB521" s="442"/>
      <c r="BC521" s="443"/>
      <c r="BD521" s="444">
        <f t="shared" ref="BD521:BD584" si="208">(BB521*BC521)*0.8182</f>
        <v>0</v>
      </c>
      <c r="BE521" s="307"/>
      <c r="BF521" s="307"/>
      <c r="BG521" s="445">
        <f t="shared" ref="BG521:BG584" si="209">(BE521*BF521)*0.8182</f>
        <v>0</v>
      </c>
      <c r="BH521" s="442"/>
      <c r="BI521" s="443"/>
      <c r="BJ521" s="444">
        <f t="shared" ref="BJ521:BJ584" si="210">(BH521*BI521)*0.8182</f>
        <v>0</v>
      </c>
      <c r="BK521" s="307"/>
      <c r="BL521" s="307"/>
      <c r="BM521" s="445">
        <f t="shared" ref="BM521:BM584" si="211">(BK521*BL521)*0.8182</f>
        <v>0</v>
      </c>
      <c r="BN521" s="442"/>
      <c r="BO521" s="443"/>
      <c r="BP521" s="444">
        <f t="shared" ref="BP521:BP584" si="212">(BN521*BO521)*0.8182</f>
        <v>0</v>
      </c>
      <c r="BQ521" s="307"/>
      <c r="BR521" s="307"/>
      <c r="BS521" s="445">
        <f t="shared" ref="BS521:BS584" si="213">(BQ521*BR521)*0.8182</f>
        <v>0</v>
      </c>
      <c r="BT521" s="442"/>
      <c r="BU521" s="443"/>
      <c r="BV521" s="444">
        <f t="shared" ref="BV521:BV584" si="214">(BT521*BU521)*0.8182</f>
        <v>0</v>
      </c>
      <c r="BW521" s="307"/>
      <c r="BX521" s="307"/>
      <c r="BY521" s="449">
        <f t="shared" ref="BY521:BY584" si="215">(BW521*BX521)*0.8182</f>
        <v>0</v>
      </c>
    </row>
    <row r="522" spans="1:77" s="308" customFormat="1" ht="12.75" customHeight="1">
      <c r="A522" s="373" t="s">
        <v>309</v>
      </c>
      <c r="B522" s="374" t="s">
        <v>60</v>
      </c>
      <c r="C522" s="374"/>
      <c r="D522" s="375">
        <v>228769</v>
      </c>
      <c r="E522" s="481">
        <v>1</v>
      </c>
      <c r="F522" s="453">
        <v>176</v>
      </c>
      <c r="G522" s="454">
        <v>103775.05681818182</v>
      </c>
      <c r="H522" s="439">
        <f t="shared" si="192"/>
        <v>18264410</v>
      </c>
      <c r="I522" s="311">
        <v>184</v>
      </c>
      <c r="J522" s="311">
        <v>102457.66304347826</v>
      </c>
      <c r="K522" s="441">
        <f t="shared" si="193"/>
        <v>18852210</v>
      </c>
      <c r="L522" s="442">
        <v>185</v>
      </c>
      <c r="M522" s="443">
        <v>79011.848648648651</v>
      </c>
      <c r="N522" s="444">
        <f t="shared" si="194"/>
        <v>14617192</v>
      </c>
      <c r="O522" s="307">
        <v>195</v>
      </c>
      <c r="P522" s="307">
        <v>79042.348717948713</v>
      </c>
      <c r="Q522" s="445">
        <f t="shared" si="195"/>
        <v>15413257.999999998</v>
      </c>
      <c r="R522" s="442">
        <v>215</v>
      </c>
      <c r="S522" s="443">
        <v>71057.600000000006</v>
      </c>
      <c r="T522" s="444">
        <f t="shared" si="196"/>
        <v>15277384.000000002</v>
      </c>
      <c r="U522" s="307">
        <v>219</v>
      </c>
      <c r="V522" s="307">
        <v>72424.109589041094</v>
      </c>
      <c r="W522" s="441">
        <f t="shared" si="197"/>
        <v>15860880</v>
      </c>
      <c r="X522" s="442"/>
      <c r="Y522" s="443"/>
      <c r="Z522" s="444">
        <f t="shared" si="198"/>
        <v>0</v>
      </c>
      <c r="AA522" s="307"/>
      <c r="AB522" s="307"/>
      <c r="AC522" s="445">
        <f t="shared" si="199"/>
        <v>0</v>
      </c>
      <c r="AD522" s="442">
        <v>245</v>
      </c>
      <c r="AE522" s="443">
        <v>49431.738775510203</v>
      </c>
      <c r="AF522" s="444">
        <f t="shared" si="200"/>
        <v>12110776</v>
      </c>
      <c r="AG522" s="307">
        <v>266</v>
      </c>
      <c r="AH522" s="307">
        <v>50148.691729323305</v>
      </c>
      <c r="AI522" s="445">
        <f t="shared" si="201"/>
        <v>13339552</v>
      </c>
      <c r="AJ522" s="446"/>
      <c r="AK522" s="443"/>
      <c r="AL522" s="444">
        <f t="shared" si="202"/>
        <v>0</v>
      </c>
      <c r="AM522" s="307"/>
      <c r="AN522" s="307"/>
      <c r="AO522" s="447">
        <f t="shared" si="203"/>
        <v>0</v>
      </c>
      <c r="AP522" s="448"/>
      <c r="AQ522" s="443"/>
      <c r="AR522" s="444">
        <f t="shared" si="204"/>
        <v>0</v>
      </c>
      <c r="AS522" s="307"/>
      <c r="AT522" s="307"/>
      <c r="AU522" s="441">
        <f t="shared" si="205"/>
        <v>0</v>
      </c>
      <c r="AV522" s="442"/>
      <c r="AW522" s="443"/>
      <c r="AX522" s="444">
        <f t="shared" si="206"/>
        <v>0</v>
      </c>
      <c r="AY522" s="307"/>
      <c r="AZ522" s="307"/>
      <c r="BA522" s="445">
        <f t="shared" si="207"/>
        <v>0</v>
      </c>
      <c r="BB522" s="442"/>
      <c r="BC522" s="443"/>
      <c r="BD522" s="444">
        <f t="shared" si="208"/>
        <v>0</v>
      </c>
      <c r="BE522" s="307"/>
      <c r="BF522" s="307"/>
      <c r="BG522" s="445">
        <f t="shared" si="209"/>
        <v>0</v>
      </c>
      <c r="BH522" s="442"/>
      <c r="BI522" s="443"/>
      <c r="BJ522" s="444">
        <f t="shared" si="210"/>
        <v>0</v>
      </c>
      <c r="BK522" s="307"/>
      <c r="BL522" s="307"/>
      <c r="BM522" s="445">
        <f t="shared" si="211"/>
        <v>0</v>
      </c>
      <c r="BN522" s="442"/>
      <c r="BO522" s="443"/>
      <c r="BP522" s="444">
        <f t="shared" si="212"/>
        <v>0</v>
      </c>
      <c r="BQ522" s="307"/>
      <c r="BR522" s="307"/>
      <c r="BS522" s="445">
        <f t="shared" si="213"/>
        <v>0</v>
      </c>
      <c r="BT522" s="442"/>
      <c r="BU522" s="443"/>
      <c r="BV522" s="444">
        <f t="shared" si="214"/>
        <v>0</v>
      </c>
      <c r="BW522" s="307"/>
      <c r="BX522" s="307"/>
      <c r="BY522" s="449">
        <f t="shared" si="215"/>
        <v>0</v>
      </c>
    </row>
    <row r="523" spans="1:77" s="308" customFormat="1" ht="12.75" customHeight="1">
      <c r="A523" s="373" t="s">
        <v>309</v>
      </c>
      <c r="B523" s="374" t="s">
        <v>58</v>
      </c>
      <c r="C523" s="374"/>
      <c r="D523" s="375">
        <v>228778</v>
      </c>
      <c r="E523" s="323">
        <v>1</v>
      </c>
      <c r="F523" s="453">
        <v>977</v>
      </c>
      <c r="G523" s="454">
        <v>133348.44728761516</v>
      </c>
      <c r="H523" s="439">
        <f t="shared" si="192"/>
        <v>130281433</v>
      </c>
      <c r="I523" s="311">
        <v>985</v>
      </c>
      <c r="J523" s="311">
        <v>136404.60507614212</v>
      </c>
      <c r="K523" s="441">
        <f t="shared" si="193"/>
        <v>134358536</v>
      </c>
      <c r="L523" s="442">
        <v>523</v>
      </c>
      <c r="M523" s="443">
        <v>85284.667304015296</v>
      </c>
      <c r="N523" s="444">
        <f t="shared" si="194"/>
        <v>44603881</v>
      </c>
      <c r="O523" s="307">
        <v>530</v>
      </c>
      <c r="P523" s="307">
        <v>88581.905660377364</v>
      </c>
      <c r="Q523" s="445">
        <f t="shared" si="195"/>
        <v>46948410</v>
      </c>
      <c r="R523" s="442">
        <v>480</v>
      </c>
      <c r="S523" s="443">
        <v>82223.9375</v>
      </c>
      <c r="T523" s="444">
        <f t="shared" si="196"/>
        <v>39467490</v>
      </c>
      <c r="U523" s="307">
        <v>439</v>
      </c>
      <c r="V523" s="307">
        <v>82382.107061503411</v>
      </c>
      <c r="W523" s="441">
        <f t="shared" si="197"/>
        <v>36165745</v>
      </c>
      <c r="X523" s="442">
        <v>1</v>
      </c>
      <c r="Y523" s="443">
        <v>58000</v>
      </c>
      <c r="Z523" s="444">
        <f t="shared" si="198"/>
        <v>58000</v>
      </c>
      <c r="AA523" s="307"/>
      <c r="AB523" s="307"/>
      <c r="AC523" s="445">
        <f t="shared" si="199"/>
        <v>0</v>
      </c>
      <c r="AD523" s="442">
        <v>612</v>
      </c>
      <c r="AE523" s="443">
        <v>57808.799019607846</v>
      </c>
      <c r="AF523" s="444">
        <f t="shared" si="200"/>
        <v>35378985</v>
      </c>
      <c r="AG523" s="307">
        <v>354</v>
      </c>
      <c r="AH523" s="307">
        <v>56903.661016949154</v>
      </c>
      <c r="AI523" s="445">
        <f t="shared" si="201"/>
        <v>20143896</v>
      </c>
      <c r="AJ523" s="446"/>
      <c r="AK523" s="443"/>
      <c r="AL523" s="444">
        <f t="shared" si="202"/>
        <v>0</v>
      </c>
      <c r="AM523" s="307">
        <v>187</v>
      </c>
      <c r="AN523" s="307">
        <v>63197.106951871661</v>
      </c>
      <c r="AO523" s="447">
        <f t="shared" si="203"/>
        <v>11817859</v>
      </c>
      <c r="AP523" s="448"/>
      <c r="AQ523" s="443"/>
      <c r="AR523" s="444">
        <f t="shared" si="204"/>
        <v>0</v>
      </c>
      <c r="AS523" s="307"/>
      <c r="AT523" s="307"/>
      <c r="AU523" s="441">
        <f t="shared" si="205"/>
        <v>0</v>
      </c>
      <c r="AV523" s="442"/>
      <c r="AW523" s="443"/>
      <c r="AX523" s="444">
        <f t="shared" si="206"/>
        <v>0</v>
      </c>
      <c r="AY523" s="307"/>
      <c r="AZ523" s="307"/>
      <c r="BA523" s="445">
        <f t="shared" si="207"/>
        <v>0</v>
      </c>
      <c r="BB523" s="442"/>
      <c r="BC523" s="443"/>
      <c r="BD523" s="444">
        <f t="shared" si="208"/>
        <v>0</v>
      </c>
      <c r="BE523" s="307"/>
      <c r="BF523" s="307"/>
      <c r="BG523" s="445">
        <f t="shared" si="209"/>
        <v>0</v>
      </c>
      <c r="BH523" s="442"/>
      <c r="BI523" s="443"/>
      <c r="BJ523" s="444">
        <f t="shared" si="210"/>
        <v>0</v>
      </c>
      <c r="BK523" s="307"/>
      <c r="BL523" s="307"/>
      <c r="BM523" s="445">
        <f t="shared" si="211"/>
        <v>0</v>
      </c>
      <c r="BN523" s="442"/>
      <c r="BO523" s="443"/>
      <c r="BP523" s="444">
        <f t="shared" si="212"/>
        <v>0</v>
      </c>
      <c r="BQ523" s="307"/>
      <c r="BR523" s="307"/>
      <c r="BS523" s="445">
        <f t="shared" si="213"/>
        <v>0</v>
      </c>
      <c r="BT523" s="442"/>
      <c r="BU523" s="443"/>
      <c r="BV523" s="444">
        <f t="shared" si="214"/>
        <v>0</v>
      </c>
      <c r="BW523" s="307"/>
      <c r="BX523" s="307"/>
      <c r="BY523" s="449">
        <f t="shared" si="215"/>
        <v>0</v>
      </c>
    </row>
    <row r="524" spans="1:77" s="308" customFormat="1" ht="12.75" customHeight="1">
      <c r="A524" s="373" t="s">
        <v>309</v>
      </c>
      <c r="B524" s="374" t="s">
        <v>61</v>
      </c>
      <c r="C524" s="374"/>
      <c r="D524" s="375">
        <v>228787</v>
      </c>
      <c r="E524" s="323">
        <v>1</v>
      </c>
      <c r="F524" s="453">
        <v>157</v>
      </c>
      <c r="G524" s="454">
        <v>129882.68789808918</v>
      </c>
      <c r="H524" s="439">
        <f t="shared" si="192"/>
        <v>20391582</v>
      </c>
      <c r="I524" s="311"/>
      <c r="J524" s="311"/>
      <c r="K524" s="441">
        <f t="shared" si="193"/>
        <v>0</v>
      </c>
      <c r="L524" s="442">
        <v>114</v>
      </c>
      <c r="M524" s="443">
        <v>101509.89473684211</v>
      </c>
      <c r="N524" s="444">
        <f t="shared" si="194"/>
        <v>11572128</v>
      </c>
      <c r="O524" s="307"/>
      <c r="P524" s="307"/>
      <c r="Q524" s="445">
        <f t="shared" si="195"/>
        <v>0</v>
      </c>
      <c r="R524" s="442">
        <v>73</v>
      </c>
      <c r="S524" s="443">
        <v>88186.232876712325</v>
      </c>
      <c r="T524" s="444">
        <f t="shared" si="196"/>
        <v>6437595</v>
      </c>
      <c r="U524" s="307"/>
      <c r="V524" s="307"/>
      <c r="W524" s="441">
        <f t="shared" si="197"/>
        <v>0</v>
      </c>
      <c r="X524" s="442"/>
      <c r="Y524" s="443"/>
      <c r="Z524" s="444">
        <f t="shared" si="198"/>
        <v>0</v>
      </c>
      <c r="AA524" s="307"/>
      <c r="AB524" s="307"/>
      <c r="AC524" s="445">
        <f t="shared" si="199"/>
        <v>0</v>
      </c>
      <c r="AD524" s="442">
        <v>113</v>
      </c>
      <c r="AE524" s="443">
        <v>56768.867256637168</v>
      </c>
      <c r="AF524" s="444">
        <f t="shared" si="200"/>
        <v>6414882</v>
      </c>
      <c r="AG524" s="307"/>
      <c r="AH524" s="307"/>
      <c r="AI524" s="445">
        <f t="shared" si="201"/>
        <v>0</v>
      </c>
      <c r="AJ524" s="446"/>
      <c r="AK524" s="443"/>
      <c r="AL524" s="444">
        <f t="shared" si="202"/>
        <v>0</v>
      </c>
      <c r="AM524" s="307"/>
      <c r="AN524" s="307"/>
      <c r="AO524" s="447">
        <f t="shared" si="203"/>
        <v>0</v>
      </c>
      <c r="AP524" s="448">
        <v>20</v>
      </c>
      <c r="AQ524" s="443">
        <v>143122.85</v>
      </c>
      <c r="AR524" s="444">
        <f t="shared" si="204"/>
        <v>2342062.3174000001</v>
      </c>
      <c r="AS524" s="307">
        <v>1</v>
      </c>
      <c r="AT524" s="307">
        <v>150667</v>
      </c>
      <c r="AU524" s="441">
        <f t="shared" si="205"/>
        <v>123275.73940000001</v>
      </c>
      <c r="AV524" s="442">
        <v>12</v>
      </c>
      <c r="AW524" s="443">
        <v>94744.583333333328</v>
      </c>
      <c r="AX524" s="444">
        <f t="shared" si="206"/>
        <v>930240.21700000006</v>
      </c>
      <c r="AY524" s="307">
        <v>1</v>
      </c>
      <c r="AZ524" s="307">
        <v>98515</v>
      </c>
      <c r="BA524" s="445">
        <f t="shared" si="207"/>
        <v>80604.972999999998</v>
      </c>
      <c r="BB524" s="442">
        <v>8</v>
      </c>
      <c r="BC524" s="443">
        <v>69680.125</v>
      </c>
      <c r="BD524" s="444">
        <f t="shared" si="208"/>
        <v>456098.22620000003</v>
      </c>
      <c r="BE524" s="307"/>
      <c r="BF524" s="307"/>
      <c r="BG524" s="445">
        <f t="shared" si="209"/>
        <v>0</v>
      </c>
      <c r="BH524" s="442"/>
      <c r="BI524" s="443"/>
      <c r="BJ524" s="444">
        <f t="shared" si="210"/>
        <v>0</v>
      </c>
      <c r="BK524" s="307"/>
      <c r="BL524" s="307"/>
      <c r="BM524" s="445">
        <f t="shared" si="211"/>
        <v>0</v>
      </c>
      <c r="BN524" s="442">
        <v>11</v>
      </c>
      <c r="BO524" s="443">
        <v>86898.909090909088</v>
      </c>
      <c r="BP524" s="444">
        <f t="shared" si="212"/>
        <v>782107.56160000002</v>
      </c>
      <c r="BQ524" s="307"/>
      <c r="BR524" s="307"/>
      <c r="BS524" s="445">
        <f t="shared" si="213"/>
        <v>0</v>
      </c>
      <c r="BT524" s="442"/>
      <c r="BU524" s="443"/>
      <c r="BV524" s="444">
        <f t="shared" si="214"/>
        <v>0</v>
      </c>
      <c r="BW524" s="307"/>
      <c r="BX524" s="307"/>
      <c r="BY524" s="449">
        <f t="shared" si="215"/>
        <v>0</v>
      </c>
    </row>
    <row r="525" spans="1:77" s="308" customFormat="1" ht="12.75" customHeight="1">
      <c r="A525" s="373" t="s">
        <v>309</v>
      </c>
      <c r="B525" s="399" t="s">
        <v>59</v>
      </c>
      <c r="C525" s="553" t="s">
        <v>1132</v>
      </c>
      <c r="D525" s="375">
        <v>229179</v>
      </c>
      <c r="E525" s="323">
        <v>2</v>
      </c>
      <c r="F525" s="453">
        <v>59</v>
      </c>
      <c r="G525" s="454">
        <v>86625.474576271183</v>
      </c>
      <c r="H525" s="439">
        <f t="shared" si="192"/>
        <v>5110903</v>
      </c>
      <c r="I525" s="311">
        <v>57</v>
      </c>
      <c r="J525" s="311">
        <v>88009.754385964916</v>
      </c>
      <c r="K525" s="441">
        <f t="shared" si="193"/>
        <v>5016556</v>
      </c>
      <c r="L525" s="442">
        <v>87</v>
      </c>
      <c r="M525" s="443">
        <v>70972.862068965522</v>
      </c>
      <c r="N525" s="444">
        <f t="shared" si="194"/>
        <v>6174639</v>
      </c>
      <c r="O525" s="307">
        <v>82</v>
      </c>
      <c r="P525" s="307">
        <v>73856.975609756104</v>
      </c>
      <c r="Q525" s="445">
        <f t="shared" si="195"/>
        <v>6056272.0000000009</v>
      </c>
      <c r="R525" s="442">
        <v>109</v>
      </c>
      <c r="S525" s="443">
        <v>60248.587155963301</v>
      </c>
      <c r="T525" s="444">
        <f t="shared" si="196"/>
        <v>6567096</v>
      </c>
      <c r="U525" s="307">
        <v>101</v>
      </c>
      <c r="V525" s="307">
        <v>62013.049504950497</v>
      </c>
      <c r="W525" s="441">
        <f t="shared" si="197"/>
        <v>6263318</v>
      </c>
      <c r="X525" s="442">
        <v>10</v>
      </c>
      <c r="Y525" s="443">
        <v>50706.8</v>
      </c>
      <c r="Z525" s="444">
        <f t="shared" si="198"/>
        <v>507068</v>
      </c>
      <c r="AA525" s="307">
        <v>10</v>
      </c>
      <c r="AB525" s="307">
        <v>53238.400000000001</v>
      </c>
      <c r="AC525" s="445">
        <f t="shared" si="199"/>
        <v>532384</v>
      </c>
      <c r="AD525" s="442">
        <v>165</v>
      </c>
      <c r="AE525" s="443">
        <v>56331.09696969697</v>
      </c>
      <c r="AF525" s="444">
        <f t="shared" si="200"/>
        <v>9294631</v>
      </c>
      <c r="AG525" s="307">
        <v>9</v>
      </c>
      <c r="AH525" s="307">
        <v>55964.666666666664</v>
      </c>
      <c r="AI525" s="445">
        <f t="shared" si="201"/>
        <v>503682</v>
      </c>
      <c r="AJ525" s="446"/>
      <c r="AK525" s="443"/>
      <c r="AL525" s="444">
        <f t="shared" si="202"/>
        <v>0</v>
      </c>
      <c r="AM525" s="307">
        <v>156</v>
      </c>
      <c r="AN525" s="307">
        <v>58538.320512820515</v>
      </c>
      <c r="AO525" s="447">
        <f t="shared" si="203"/>
        <v>9131978</v>
      </c>
      <c r="AP525" s="448"/>
      <c r="AQ525" s="443"/>
      <c r="AR525" s="444">
        <f t="shared" si="204"/>
        <v>0</v>
      </c>
      <c r="AS525" s="307"/>
      <c r="AT525" s="307"/>
      <c r="AU525" s="441">
        <f t="shared" si="205"/>
        <v>0</v>
      </c>
      <c r="AV525" s="442"/>
      <c r="AW525" s="443"/>
      <c r="AX525" s="444">
        <f t="shared" si="206"/>
        <v>0</v>
      </c>
      <c r="AY525" s="307"/>
      <c r="AZ525" s="307"/>
      <c r="BA525" s="445">
        <f t="shared" si="207"/>
        <v>0</v>
      </c>
      <c r="BB525" s="442"/>
      <c r="BC525" s="443"/>
      <c r="BD525" s="444">
        <f t="shared" si="208"/>
        <v>0</v>
      </c>
      <c r="BE525" s="307"/>
      <c r="BF525" s="307"/>
      <c r="BG525" s="445">
        <f t="shared" si="209"/>
        <v>0</v>
      </c>
      <c r="BH525" s="442"/>
      <c r="BI525" s="443"/>
      <c r="BJ525" s="444">
        <f t="shared" si="210"/>
        <v>0</v>
      </c>
      <c r="BK525" s="307"/>
      <c r="BL525" s="307"/>
      <c r="BM525" s="445">
        <f t="shared" si="211"/>
        <v>0</v>
      </c>
      <c r="BN525" s="442"/>
      <c r="BO525" s="443"/>
      <c r="BP525" s="444">
        <f t="shared" si="212"/>
        <v>0</v>
      </c>
      <c r="BQ525" s="307"/>
      <c r="BR525" s="307"/>
      <c r="BS525" s="445">
        <f t="shared" si="213"/>
        <v>0</v>
      </c>
      <c r="BT525" s="442"/>
      <c r="BU525" s="443"/>
      <c r="BV525" s="444">
        <f t="shared" si="214"/>
        <v>0</v>
      </c>
      <c r="BW525" s="307"/>
      <c r="BX525" s="307"/>
      <c r="BY525" s="449">
        <f t="shared" si="215"/>
        <v>0</v>
      </c>
    </row>
    <row r="526" spans="1:77" s="308" customFormat="1" ht="12.75" customHeight="1">
      <c r="A526" s="373" t="s">
        <v>309</v>
      </c>
      <c r="B526" s="374" t="s">
        <v>71</v>
      </c>
      <c r="C526" s="374"/>
      <c r="D526" s="375">
        <v>228796</v>
      </c>
      <c r="E526" s="481">
        <v>2</v>
      </c>
      <c r="F526" s="453">
        <v>139</v>
      </c>
      <c r="G526" s="454">
        <v>96935.597122302162</v>
      </c>
      <c r="H526" s="439">
        <f t="shared" si="192"/>
        <v>13474048</v>
      </c>
      <c r="I526" s="311">
        <v>142</v>
      </c>
      <c r="J526" s="311">
        <v>99886.091549295772</v>
      </c>
      <c r="K526" s="441">
        <f t="shared" si="193"/>
        <v>14183825</v>
      </c>
      <c r="L526" s="442">
        <v>182</v>
      </c>
      <c r="M526" s="443">
        <v>73351.967032967033</v>
      </c>
      <c r="N526" s="444">
        <f t="shared" si="194"/>
        <v>13350058</v>
      </c>
      <c r="O526" s="307">
        <v>196</v>
      </c>
      <c r="P526" s="307">
        <v>74647.102040816331</v>
      </c>
      <c r="Q526" s="445">
        <f t="shared" si="195"/>
        <v>14630832</v>
      </c>
      <c r="R526" s="442">
        <v>161</v>
      </c>
      <c r="S526" s="443">
        <v>66166.403726708071</v>
      </c>
      <c r="T526" s="444">
        <f t="shared" si="196"/>
        <v>10652791</v>
      </c>
      <c r="U526" s="307">
        <v>149</v>
      </c>
      <c r="V526" s="307">
        <v>67152.872483221479</v>
      </c>
      <c r="W526" s="441">
        <f t="shared" si="197"/>
        <v>10005778</v>
      </c>
      <c r="X526" s="442"/>
      <c r="Y526" s="443"/>
      <c r="Z526" s="444">
        <f t="shared" si="198"/>
        <v>0</v>
      </c>
      <c r="AA526" s="307"/>
      <c r="AB526" s="307"/>
      <c r="AC526" s="445">
        <f t="shared" si="199"/>
        <v>0</v>
      </c>
      <c r="AD526" s="442">
        <v>193</v>
      </c>
      <c r="AE526" s="443">
        <v>45413.088082901551</v>
      </c>
      <c r="AF526" s="444">
        <f t="shared" si="200"/>
        <v>8764726</v>
      </c>
      <c r="AG526" s="307">
        <v>189</v>
      </c>
      <c r="AH526" s="307">
        <v>46415.650793650791</v>
      </c>
      <c r="AI526" s="445">
        <f t="shared" si="201"/>
        <v>8772558</v>
      </c>
      <c r="AJ526" s="446"/>
      <c r="AK526" s="443"/>
      <c r="AL526" s="444">
        <f t="shared" si="202"/>
        <v>0</v>
      </c>
      <c r="AM526" s="307"/>
      <c r="AN526" s="307"/>
      <c r="AO526" s="447">
        <f t="shared" si="203"/>
        <v>0</v>
      </c>
      <c r="AP526" s="448"/>
      <c r="AQ526" s="443"/>
      <c r="AR526" s="444">
        <f t="shared" si="204"/>
        <v>0</v>
      </c>
      <c r="AS526" s="307"/>
      <c r="AT526" s="307"/>
      <c r="AU526" s="441">
        <f t="shared" si="205"/>
        <v>0</v>
      </c>
      <c r="AV526" s="442"/>
      <c r="AW526" s="443"/>
      <c r="AX526" s="444">
        <f t="shared" si="206"/>
        <v>0</v>
      </c>
      <c r="AY526" s="307"/>
      <c r="AZ526" s="307"/>
      <c r="BA526" s="445">
        <f t="shared" si="207"/>
        <v>0</v>
      </c>
      <c r="BB526" s="442"/>
      <c r="BC526" s="443"/>
      <c r="BD526" s="444">
        <f t="shared" si="208"/>
        <v>0</v>
      </c>
      <c r="BE526" s="307"/>
      <c r="BF526" s="307"/>
      <c r="BG526" s="445">
        <f t="shared" si="209"/>
        <v>0</v>
      </c>
      <c r="BH526" s="442"/>
      <c r="BI526" s="443"/>
      <c r="BJ526" s="444">
        <f t="shared" si="210"/>
        <v>0</v>
      </c>
      <c r="BK526" s="307"/>
      <c r="BL526" s="307"/>
      <c r="BM526" s="445">
        <f t="shared" si="211"/>
        <v>0</v>
      </c>
      <c r="BN526" s="442"/>
      <c r="BO526" s="443"/>
      <c r="BP526" s="444">
        <f t="shared" si="212"/>
        <v>0</v>
      </c>
      <c r="BQ526" s="307"/>
      <c r="BR526" s="307"/>
      <c r="BS526" s="445">
        <f t="shared" si="213"/>
        <v>0</v>
      </c>
      <c r="BT526" s="442"/>
      <c r="BU526" s="443"/>
      <c r="BV526" s="444">
        <f t="shared" si="214"/>
        <v>0</v>
      </c>
      <c r="BW526" s="307"/>
      <c r="BX526" s="307"/>
      <c r="BY526" s="449">
        <f t="shared" si="215"/>
        <v>0</v>
      </c>
    </row>
    <row r="527" spans="1:77" s="308" customFormat="1" ht="12.75" customHeight="1">
      <c r="A527" s="373" t="s">
        <v>309</v>
      </c>
      <c r="B527" s="374" t="s">
        <v>72</v>
      </c>
      <c r="C527" s="374"/>
      <c r="D527" s="375">
        <v>229027</v>
      </c>
      <c r="E527" s="323">
        <v>2</v>
      </c>
      <c r="F527" s="453">
        <v>170</v>
      </c>
      <c r="G527" s="454">
        <v>115642.18235294118</v>
      </c>
      <c r="H527" s="439">
        <f t="shared" si="192"/>
        <v>19659171</v>
      </c>
      <c r="I527" s="311">
        <v>191</v>
      </c>
      <c r="J527" s="311">
        <v>115425.79581151833</v>
      </c>
      <c r="K527" s="441">
        <f t="shared" si="193"/>
        <v>22046327</v>
      </c>
      <c r="L527" s="442">
        <v>180</v>
      </c>
      <c r="M527" s="443">
        <v>84804.977777777778</v>
      </c>
      <c r="N527" s="444">
        <f t="shared" si="194"/>
        <v>15264896</v>
      </c>
      <c r="O527" s="307">
        <v>199</v>
      </c>
      <c r="P527" s="307">
        <v>81332.381909547737</v>
      </c>
      <c r="Q527" s="445">
        <f t="shared" si="195"/>
        <v>16185144</v>
      </c>
      <c r="R527" s="442">
        <v>193</v>
      </c>
      <c r="S527" s="443">
        <v>67995.544041450776</v>
      </c>
      <c r="T527" s="444">
        <f t="shared" si="196"/>
        <v>13123140</v>
      </c>
      <c r="U527" s="307">
        <v>172</v>
      </c>
      <c r="V527" s="307">
        <v>69145.720930232565</v>
      </c>
      <c r="W527" s="441">
        <f t="shared" si="197"/>
        <v>11893064.000000002</v>
      </c>
      <c r="X527" s="442">
        <v>2</v>
      </c>
      <c r="Y527" s="443">
        <v>47273</v>
      </c>
      <c r="Z527" s="444">
        <f t="shared" si="198"/>
        <v>94546</v>
      </c>
      <c r="AA527" s="307">
        <v>1</v>
      </c>
      <c r="AB527" s="307">
        <v>47708</v>
      </c>
      <c r="AC527" s="445">
        <f t="shared" si="199"/>
        <v>47708</v>
      </c>
      <c r="AD527" s="442">
        <v>120</v>
      </c>
      <c r="AE527" s="443">
        <v>43737.775000000001</v>
      </c>
      <c r="AF527" s="444">
        <f t="shared" si="200"/>
        <v>5248533</v>
      </c>
      <c r="AG527" s="307">
        <v>285</v>
      </c>
      <c r="AH527" s="307">
        <v>34875.249122807014</v>
      </c>
      <c r="AI527" s="445">
        <f t="shared" si="201"/>
        <v>9939445.9999999981</v>
      </c>
      <c r="AJ527" s="446"/>
      <c r="AK527" s="443"/>
      <c r="AL527" s="444">
        <f t="shared" si="202"/>
        <v>0</v>
      </c>
      <c r="AM527" s="307"/>
      <c r="AN527" s="307"/>
      <c r="AO527" s="447">
        <f t="shared" si="203"/>
        <v>0</v>
      </c>
      <c r="AP527" s="448"/>
      <c r="AQ527" s="443"/>
      <c r="AR527" s="444">
        <f t="shared" si="204"/>
        <v>0</v>
      </c>
      <c r="AS527" s="307"/>
      <c r="AT527" s="307"/>
      <c r="AU527" s="441">
        <f t="shared" si="205"/>
        <v>0</v>
      </c>
      <c r="AV527" s="442"/>
      <c r="AW527" s="443"/>
      <c r="AX527" s="444">
        <f t="shared" si="206"/>
        <v>0</v>
      </c>
      <c r="AY527" s="307"/>
      <c r="AZ527" s="307"/>
      <c r="BA527" s="445">
        <f t="shared" si="207"/>
        <v>0</v>
      </c>
      <c r="BB527" s="442"/>
      <c r="BC527" s="443"/>
      <c r="BD527" s="444">
        <f t="shared" si="208"/>
        <v>0</v>
      </c>
      <c r="BE527" s="307"/>
      <c r="BF527" s="307"/>
      <c r="BG527" s="445">
        <f t="shared" si="209"/>
        <v>0</v>
      </c>
      <c r="BH527" s="442"/>
      <c r="BI527" s="443"/>
      <c r="BJ527" s="444">
        <f t="shared" si="210"/>
        <v>0</v>
      </c>
      <c r="BK527" s="307"/>
      <c r="BL527" s="307"/>
      <c r="BM527" s="445">
        <f t="shared" si="211"/>
        <v>0</v>
      </c>
      <c r="BN527" s="442"/>
      <c r="BO527" s="443"/>
      <c r="BP527" s="444">
        <f t="shared" si="212"/>
        <v>0</v>
      </c>
      <c r="BQ527" s="307"/>
      <c r="BR527" s="307"/>
      <c r="BS527" s="445">
        <f t="shared" si="213"/>
        <v>0</v>
      </c>
      <c r="BT527" s="442"/>
      <c r="BU527" s="443"/>
      <c r="BV527" s="444">
        <f t="shared" si="214"/>
        <v>0</v>
      </c>
      <c r="BW527" s="307"/>
      <c r="BX527" s="307"/>
      <c r="BY527" s="449">
        <f t="shared" si="215"/>
        <v>0</v>
      </c>
    </row>
    <row r="528" spans="1:77" s="308" customFormat="1" ht="12.75" customHeight="1">
      <c r="A528" s="373" t="s">
        <v>309</v>
      </c>
      <c r="B528" s="374" t="s">
        <v>62</v>
      </c>
      <c r="C528" s="374"/>
      <c r="D528" s="375">
        <v>222831</v>
      </c>
      <c r="E528" s="323">
        <v>3</v>
      </c>
      <c r="F528" s="453">
        <v>51</v>
      </c>
      <c r="G528" s="454">
        <v>75407.666666666672</v>
      </c>
      <c r="H528" s="439">
        <f t="shared" si="192"/>
        <v>3845791.0000000005</v>
      </c>
      <c r="I528" s="311">
        <v>51</v>
      </c>
      <c r="J528" s="311">
        <v>76096.941176470587</v>
      </c>
      <c r="K528" s="441">
        <f t="shared" si="193"/>
        <v>3880944</v>
      </c>
      <c r="L528" s="442">
        <v>64</v>
      </c>
      <c r="M528" s="443">
        <v>62621.09375</v>
      </c>
      <c r="N528" s="444">
        <f t="shared" si="194"/>
        <v>4007750</v>
      </c>
      <c r="O528" s="307">
        <v>64</v>
      </c>
      <c r="P528" s="307">
        <v>63120.3125</v>
      </c>
      <c r="Q528" s="445">
        <f t="shared" si="195"/>
        <v>4039700</v>
      </c>
      <c r="R528" s="442">
        <v>59</v>
      </c>
      <c r="S528" s="443">
        <v>56253.677966101692</v>
      </c>
      <c r="T528" s="444">
        <f t="shared" si="196"/>
        <v>3318967</v>
      </c>
      <c r="U528" s="307">
        <v>66</v>
      </c>
      <c r="V528" s="307">
        <v>55453.878787878784</v>
      </c>
      <c r="W528" s="441">
        <f t="shared" si="197"/>
        <v>3659956</v>
      </c>
      <c r="X528" s="442">
        <v>13</v>
      </c>
      <c r="Y528" s="443">
        <v>43316.923076923078</v>
      </c>
      <c r="Z528" s="444">
        <f t="shared" si="198"/>
        <v>563120</v>
      </c>
      <c r="AA528" s="307">
        <v>14</v>
      </c>
      <c r="AB528" s="307">
        <v>43618.571428571428</v>
      </c>
      <c r="AC528" s="445">
        <f t="shared" si="199"/>
        <v>610660</v>
      </c>
      <c r="AD528" s="442">
        <v>43</v>
      </c>
      <c r="AE528" s="443">
        <v>40838.488372093023</v>
      </c>
      <c r="AF528" s="444">
        <f t="shared" si="200"/>
        <v>1756055</v>
      </c>
      <c r="AG528" s="307">
        <v>27</v>
      </c>
      <c r="AH528" s="307">
        <v>37085.592592592591</v>
      </c>
      <c r="AI528" s="445">
        <f t="shared" si="201"/>
        <v>1001311</v>
      </c>
      <c r="AJ528" s="446"/>
      <c r="AK528" s="443"/>
      <c r="AL528" s="444">
        <f t="shared" si="202"/>
        <v>0</v>
      </c>
      <c r="AM528" s="307">
        <v>19</v>
      </c>
      <c r="AN528" s="307">
        <v>50752.526315789473</v>
      </c>
      <c r="AO528" s="447">
        <f t="shared" si="203"/>
        <v>964298</v>
      </c>
      <c r="AP528" s="448">
        <v>3</v>
      </c>
      <c r="AQ528" s="443">
        <v>115911</v>
      </c>
      <c r="AR528" s="444">
        <f t="shared" si="204"/>
        <v>284515.14059999998</v>
      </c>
      <c r="AS528" s="307">
        <v>3</v>
      </c>
      <c r="AT528" s="307">
        <v>115911</v>
      </c>
      <c r="AU528" s="441">
        <f t="shared" si="205"/>
        <v>284515.14059999998</v>
      </c>
      <c r="AV528" s="442">
        <v>3</v>
      </c>
      <c r="AW528" s="443">
        <v>83993</v>
      </c>
      <c r="AX528" s="444">
        <f t="shared" si="206"/>
        <v>206169.21780000001</v>
      </c>
      <c r="AY528" s="307">
        <v>3</v>
      </c>
      <c r="AZ528" s="307">
        <v>83993</v>
      </c>
      <c r="BA528" s="445">
        <f t="shared" si="207"/>
        <v>206169.21780000001</v>
      </c>
      <c r="BB528" s="442">
        <v>5</v>
      </c>
      <c r="BC528" s="443">
        <v>73120.399999999994</v>
      </c>
      <c r="BD528" s="444">
        <f t="shared" si="208"/>
        <v>299135.5564</v>
      </c>
      <c r="BE528" s="307">
        <v>7</v>
      </c>
      <c r="BF528" s="307">
        <v>75800.28571428571</v>
      </c>
      <c r="BG528" s="445">
        <f t="shared" si="209"/>
        <v>434138.5564</v>
      </c>
      <c r="BH528" s="442">
        <v>1</v>
      </c>
      <c r="BI528" s="443">
        <v>43039</v>
      </c>
      <c r="BJ528" s="444">
        <f t="shared" si="210"/>
        <v>35214.5098</v>
      </c>
      <c r="BK528" s="307">
        <v>2</v>
      </c>
      <c r="BL528" s="307">
        <v>45046</v>
      </c>
      <c r="BM528" s="445">
        <f t="shared" si="211"/>
        <v>73713.274400000009</v>
      </c>
      <c r="BN528" s="442">
        <v>5</v>
      </c>
      <c r="BO528" s="443">
        <v>72335.8</v>
      </c>
      <c r="BP528" s="444">
        <f t="shared" si="212"/>
        <v>295925.75780000002</v>
      </c>
      <c r="BQ528" s="307"/>
      <c r="BR528" s="307"/>
      <c r="BS528" s="445">
        <f t="shared" si="213"/>
        <v>0</v>
      </c>
      <c r="BT528" s="442"/>
      <c r="BU528" s="443"/>
      <c r="BV528" s="444">
        <f t="shared" si="214"/>
        <v>0</v>
      </c>
      <c r="BW528" s="307">
        <v>4</v>
      </c>
      <c r="BX528" s="307">
        <v>65961.25</v>
      </c>
      <c r="BY528" s="449">
        <f t="shared" si="215"/>
        <v>215877.97900000002</v>
      </c>
    </row>
    <row r="529" spans="1:77" s="308" customFormat="1" ht="12.75" customHeight="1">
      <c r="A529" s="373" t="s">
        <v>309</v>
      </c>
      <c r="B529" s="374" t="s">
        <v>63</v>
      </c>
      <c r="C529" s="374"/>
      <c r="D529" s="375">
        <v>226091</v>
      </c>
      <c r="E529" s="323">
        <v>3</v>
      </c>
      <c r="F529" s="453">
        <v>98</v>
      </c>
      <c r="G529" s="454">
        <v>91613.887755102041</v>
      </c>
      <c r="H529" s="439">
        <f t="shared" si="192"/>
        <v>8978161</v>
      </c>
      <c r="I529" s="311">
        <v>106</v>
      </c>
      <c r="J529" s="311">
        <v>89905.801886792455</v>
      </c>
      <c r="K529" s="441">
        <f t="shared" si="193"/>
        <v>9530015</v>
      </c>
      <c r="L529" s="442">
        <v>93</v>
      </c>
      <c r="M529" s="443">
        <v>71229.06451612903</v>
      </c>
      <c r="N529" s="444">
        <f t="shared" si="194"/>
        <v>6624303</v>
      </c>
      <c r="O529" s="307">
        <v>93</v>
      </c>
      <c r="P529" s="307">
        <v>72144.559139784949</v>
      </c>
      <c r="Q529" s="445">
        <f t="shared" si="195"/>
        <v>6709444</v>
      </c>
      <c r="R529" s="442">
        <v>109</v>
      </c>
      <c r="S529" s="443">
        <v>57614.871559633029</v>
      </c>
      <c r="T529" s="444">
        <f t="shared" si="196"/>
        <v>6280021</v>
      </c>
      <c r="U529" s="307">
        <v>103</v>
      </c>
      <c r="V529" s="307">
        <v>61164.699029126212</v>
      </c>
      <c r="W529" s="441">
        <f t="shared" si="197"/>
        <v>6299964</v>
      </c>
      <c r="X529" s="442">
        <v>105</v>
      </c>
      <c r="Y529" s="443">
        <v>41327.095238095237</v>
      </c>
      <c r="Z529" s="444">
        <f t="shared" si="198"/>
        <v>4339345</v>
      </c>
      <c r="AA529" s="307">
        <v>105</v>
      </c>
      <c r="AB529" s="307">
        <v>41380.81904761905</v>
      </c>
      <c r="AC529" s="445">
        <f t="shared" si="199"/>
        <v>4344986</v>
      </c>
      <c r="AD529" s="442">
        <v>3</v>
      </c>
      <c r="AE529" s="443">
        <v>22701</v>
      </c>
      <c r="AF529" s="444">
        <f t="shared" si="200"/>
        <v>68103</v>
      </c>
      <c r="AG529" s="307"/>
      <c r="AH529" s="307"/>
      <c r="AI529" s="445">
        <f t="shared" si="201"/>
        <v>0</v>
      </c>
      <c r="AJ529" s="446"/>
      <c r="AK529" s="443"/>
      <c r="AL529" s="444">
        <f t="shared" si="202"/>
        <v>0</v>
      </c>
      <c r="AM529" s="307"/>
      <c r="AN529" s="307"/>
      <c r="AO529" s="447">
        <f t="shared" si="203"/>
        <v>0</v>
      </c>
      <c r="AP529" s="448"/>
      <c r="AQ529" s="443"/>
      <c r="AR529" s="444">
        <f t="shared" si="204"/>
        <v>0</v>
      </c>
      <c r="AS529" s="307"/>
      <c r="AT529" s="307"/>
      <c r="AU529" s="441">
        <f t="shared" si="205"/>
        <v>0</v>
      </c>
      <c r="AV529" s="442">
        <v>1</v>
      </c>
      <c r="AW529" s="443">
        <v>118758</v>
      </c>
      <c r="AX529" s="444">
        <f t="shared" si="206"/>
        <v>97167.795599999998</v>
      </c>
      <c r="AY529" s="307">
        <v>1</v>
      </c>
      <c r="AZ529" s="307">
        <v>118758</v>
      </c>
      <c r="BA529" s="445">
        <f t="shared" si="207"/>
        <v>97167.795599999998</v>
      </c>
      <c r="BB529" s="442"/>
      <c r="BC529" s="443"/>
      <c r="BD529" s="444">
        <f t="shared" si="208"/>
        <v>0</v>
      </c>
      <c r="BE529" s="307"/>
      <c r="BF529" s="307"/>
      <c r="BG529" s="445">
        <f t="shared" si="209"/>
        <v>0</v>
      </c>
      <c r="BH529" s="442"/>
      <c r="BI529" s="443"/>
      <c r="BJ529" s="444">
        <f t="shared" si="210"/>
        <v>0</v>
      </c>
      <c r="BK529" s="307"/>
      <c r="BL529" s="307"/>
      <c r="BM529" s="445">
        <f t="shared" si="211"/>
        <v>0</v>
      </c>
      <c r="BN529" s="442"/>
      <c r="BO529" s="443"/>
      <c r="BP529" s="444">
        <f t="shared" si="212"/>
        <v>0</v>
      </c>
      <c r="BQ529" s="307"/>
      <c r="BR529" s="307"/>
      <c r="BS529" s="445">
        <f t="shared" si="213"/>
        <v>0</v>
      </c>
      <c r="BT529" s="442"/>
      <c r="BU529" s="443"/>
      <c r="BV529" s="444">
        <f t="shared" si="214"/>
        <v>0</v>
      </c>
      <c r="BW529" s="307"/>
      <c r="BX529" s="307"/>
      <c r="BY529" s="449">
        <f t="shared" si="215"/>
        <v>0</v>
      </c>
    </row>
    <row r="530" spans="1:77" s="308" customFormat="1" ht="12.75" customHeight="1">
      <c r="A530" s="373" t="s">
        <v>309</v>
      </c>
      <c r="B530" s="374" t="s">
        <v>64</v>
      </c>
      <c r="C530" s="374"/>
      <c r="D530" s="375">
        <v>226833</v>
      </c>
      <c r="E530" s="323">
        <v>3</v>
      </c>
      <c r="F530" s="453">
        <v>49</v>
      </c>
      <c r="G530" s="454">
        <v>78483.183673469393</v>
      </c>
      <c r="H530" s="439">
        <f t="shared" si="192"/>
        <v>3845676.0000000005</v>
      </c>
      <c r="I530" s="311">
        <v>49</v>
      </c>
      <c r="J530" s="311">
        <v>81936.204081632648</v>
      </c>
      <c r="K530" s="441">
        <f t="shared" si="193"/>
        <v>4014873.9999999995</v>
      </c>
      <c r="L530" s="442">
        <v>60</v>
      </c>
      <c r="M530" s="443">
        <v>63317.25</v>
      </c>
      <c r="N530" s="444">
        <f t="shared" si="194"/>
        <v>3799035</v>
      </c>
      <c r="O530" s="307">
        <v>55</v>
      </c>
      <c r="P530" s="307">
        <v>67109.290909090909</v>
      </c>
      <c r="Q530" s="445">
        <f t="shared" si="195"/>
        <v>3691011</v>
      </c>
      <c r="R530" s="442">
        <v>85</v>
      </c>
      <c r="S530" s="443">
        <v>56689.623529411765</v>
      </c>
      <c r="T530" s="444">
        <f t="shared" si="196"/>
        <v>4818618</v>
      </c>
      <c r="U530" s="307">
        <v>92</v>
      </c>
      <c r="V530" s="307">
        <v>58236.043478260872</v>
      </c>
      <c r="W530" s="441">
        <f t="shared" si="197"/>
        <v>5357716</v>
      </c>
      <c r="X530" s="442">
        <v>31</v>
      </c>
      <c r="Y530" s="443">
        <v>40210.354838709674</v>
      </c>
      <c r="Z530" s="444">
        <f t="shared" si="198"/>
        <v>1246521</v>
      </c>
      <c r="AA530" s="307">
        <v>30</v>
      </c>
      <c r="AB530" s="307">
        <v>41413.466666666667</v>
      </c>
      <c r="AC530" s="445">
        <f t="shared" si="199"/>
        <v>1242404</v>
      </c>
      <c r="AD530" s="442"/>
      <c r="AE530" s="443"/>
      <c r="AF530" s="444">
        <f t="shared" si="200"/>
        <v>0</v>
      </c>
      <c r="AG530" s="307"/>
      <c r="AH530" s="307"/>
      <c r="AI530" s="445">
        <f t="shared" si="201"/>
        <v>0</v>
      </c>
      <c r="AJ530" s="446"/>
      <c r="AK530" s="443"/>
      <c r="AL530" s="444">
        <f t="shared" si="202"/>
        <v>0</v>
      </c>
      <c r="AM530" s="307"/>
      <c r="AN530" s="307"/>
      <c r="AO530" s="447">
        <f t="shared" si="203"/>
        <v>0</v>
      </c>
      <c r="AP530" s="448"/>
      <c r="AQ530" s="443"/>
      <c r="AR530" s="444">
        <f t="shared" si="204"/>
        <v>0</v>
      </c>
      <c r="AS530" s="307"/>
      <c r="AT530" s="307"/>
      <c r="AU530" s="441">
        <f t="shared" si="205"/>
        <v>0</v>
      </c>
      <c r="AV530" s="442"/>
      <c r="AW530" s="443"/>
      <c r="AX530" s="444">
        <f t="shared" si="206"/>
        <v>0</v>
      </c>
      <c r="AY530" s="307"/>
      <c r="AZ530" s="307"/>
      <c r="BA530" s="445">
        <f t="shared" si="207"/>
        <v>0</v>
      </c>
      <c r="BB530" s="442"/>
      <c r="BC530" s="443"/>
      <c r="BD530" s="444">
        <f t="shared" si="208"/>
        <v>0</v>
      </c>
      <c r="BE530" s="307"/>
      <c r="BF530" s="307"/>
      <c r="BG530" s="445">
        <f t="shared" si="209"/>
        <v>0</v>
      </c>
      <c r="BH530" s="442"/>
      <c r="BI530" s="443"/>
      <c r="BJ530" s="444">
        <f t="shared" si="210"/>
        <v>0</v>
      </c>
      <c r="BK530" s="307"/>
      <c r="BL530" s="307"/>
      <c r="BM530" s="445">
        <f t="shared" si="211"/>
        <v>0</v>
      </c>
      <c r="BN530" s="442"/>
      <c r="BO530" s="443"/>
      <c r="BP530" s="444">
        <f t="shared" si="212"/>
        <v>0</v>
      </c>
      <c r="BQ530" s="307"/>
      <c r="BR530" s="307"/>
      <c r="BS530" s="445">
        <f t="shared" si="213"/>
        <v>0</v>
      </c>
      <c r="BT530" s="442"/>
      <c r="BU530" s="443"/>
      <c r="BV530" s="444">
        <f t="shared" si="214"/>
        <v>0</v>
      </c>
      <c r="BW530" s="307"/>
      <c r="BX530" s="307"/>
      <c r="BY530" s="449">
        <f t="shared" si="215"/>
        <v>0</v>
      </c>
    </row>
    <row r="531" spans="1:77" s="308" customFormat="1" ht="12.75" customHeight="1">
      <c r="A531" s="373" t="s">
        <v>309</v>
      </c>
      <c r="B531" s="374" t="s">
        <v>732</v>
      </c>
      <c r="C531" s="374"/>
      <c r="D531" s="375">
        <v>227526</v>
      </c>
      <c r="E531" s="323">
        <v>3</v>
      </c>
      <c r="F531" s="453">
        <v>41</v>
      </c>
      <c r="G531" s="454">
        <v>81279.414634146335</v>
      </c>
      <c r="H531" s="439">
        <f t="shared" si="192"/>
        <v>3332455.9999999995</v>
      </c>
      <c r="I531" s="311">
        <v>42</v>
      </c>
      <c r="J531" s="311">
        <v>80783.047619047618</v>
      </c>
      <c r="K531" s="441">
        <f t="shared" si="193"/>
        <v>3392888</v>
      </c>
      <c r="L531" s="442">
        <v>62</v>
      </c>
      <c r="M531" s="443">
        <v>67317.693548387091</v>
      </c>
      <c r="N531" s="444">
        <f t="shared" si="194"/>
        <v>4173696.9999999995</v>
      </c>
      <c r="O531" s="307">
        <v>74</v>
      </c>
      <c r="P531" s="307">
        <v>67316.621621621627</v>
      </c>
      <c r="Q531" s="445">
        <f t="shared" si="195"/>
        <v>4981430</v>
      </c>
      <c r="R531" s="442">
        <v>66</v>
      </c>
      <c r="S531" s="443">
        <v>60276.227272727272</v>
      </c>
      <c r="T531" s="444">
        <f t="shared" si="196"/>
        <v>3978231</v>
      </c>
      <c r="U531" s="307">
        <v>53</v>
      </c>
      <c r="V531" s="307">
        <v>61215.886792452831</v>
      </c>
      <c r="W531" s="441">
        <f t="shared" si="197"/>
        <v>3244442</v>
      </c>
      <c r="X531" s="442">
        <v>2</v>
      </c>
      <c r="Y531" s="443">
        <v>49618.5</v>
      </c>
      <c r="Z531" s="444">
        <f t="shared" si="198"/>
        <v>99237</v>
      </c>
      <c r="AA531" s="307">
        <v>2</v>
      </c>
      <c r="AB531" s="307">
        <v>52118</v>
      </c>
      <c r="AC531" s="445">
        <f t="shared" si="199"/>
        <v>104236</v>
      </c>
      <c r="AD531" s="442">
        <v>121</v>
      </c>
      <c r="AE531" s="443">
        <v>50988.520661157025</v>
      </c>
      <c r="AF531" s="444">
        <f t="shared" si="200"/>
        <v>6169611</v>
      </c>
      <c r="AG531" s="307">
        <v>119</v>
      </c>
      <c r="AH531" s="307">
        <v>51446</v>
      </c>
      <c r="AI531" s="445">
        <f t="shared" si="201"/>
        <v>6122074</v>
      </c>
      <c r="AJ531" s="446"/>
      <c r="AK531" s="443"/>
      <c r="AL531" s="444">
        <f t="shared" si="202"/>
        <v>0</v>
      </c>
      <c r="AM531" s="307"/>
      <c r="AN531" s="307"/>
      <c r="AO531" s="447">
        <f t="shared" si="203"/>
        <v>0</v>
      </c>
      <c r="AP531" s="448">
        <v>12</v>
      </c>
      <c r="AQ531" s="443">
        <v>113023.25</v>
      </c>
      <c r="AR531" s="444">
        <f t="shared" si="204"/>
        <v>1109707.4778</v>
      </c>
      <c r="AS531" s="307">
        <v>23</v>
      </c>
      <c r="AT531" s="307">
        <v>123399.91304347826</v>
      </c>
      <c r="AU531" s="441">
        <f t="shared" si="205"/>
        <v>2322213.6036</v>
      </c>
      <c r="AV531" s="442">
        <v>18</v>
      </c>
      <c r="AW531" s="443">
        <v>96387.722222222219</v>
      </c>
      <c r="AX531" s="444">
        <f t="shared" si="206"/>
        <v>1419559.8178000001</v>
      </c>
      <c r="AY531" s="307">
        <v>14</v>
      </c>
      <c r="AZ531" s="307">
        <v>97775.78571428571</v>
      </c>
      <c r="BA531" s="445">
        <f t="shared" si="207"/>
        <v>1120002.0702</v>
      </c>
      <c r="BB531" s="442">
        <v>2</v>
      </c>
      <c r="BC531" s="443">
        <v>71710.5</v>
      </c>
      <c r="BD531" s="444">
        <f t="shared" si="208"/>
        <v>117347.0622</v>
      </c>
      <c r="BE531" s="307">
        <v>4</v>
      </c>
      <c r="BF531" s="307">
        <v>87021.25</v>
      </c>
      <c r="BG531" s="445">
        <f t="shared" si="209"/>
        <v>284803.147</v>
      </c>
      <c r="BH531" s="442"/>
      <c r="BI531" s="443"/>
      <c r="BJ531" s="444">
        <f t="shared" si="210"/>
        <v>0</v>
      </c>
      <c r="BK531" s="307"/>
      <c r="BL531" s="307"/>
      <c r="BM531" s="445">
        <f t="shared" si="211"/>
        <v>0</v>
      </c>
      <c r="BN531" s="442">
        <v>17</v>
      </c>
      <c r="BO531" s="443">
        <v>60819.76470588235</v>
      </c>
      <c r="BP531" s="444">
        <f t="shared" si="212"/>
        <v>845966.43520000007</v>
      </c>
      <c r="BQ531" s="307">
        <v>16</v>
      </c>
      <c r="BR531" s="307">
        <v>61984.25</v>
      </c>
      <c r="BS531" s="445">
        <f t="shared" si="213"/>
        <v>811448.21360000002</v>
      </c>
      <c r="BT531" s="442"/>
      <c r="BU531" s="443"/>
      <c r="BV531" s="444">
        <f t="shared" si="214"/>
        <v>0</v>
      </c>
      <c r="BW531" s="307"/>
      <c r="BX531" s="307"/>
      <c r="BY531" s="449">
        <f t="shared" si="215"/>
        <v>0</v>
      </c>
    </row>
    <row r="532" spans="1:77" s="308" customFormat="1" ht="12.75" customHeight="1">
      <c r="A532" s="373" t="s">
        <v>309</v>
      </c>
      <c r="B532" s="374" t="s">
        <v>65</v>
      </c>
      <c r="C532" s="374"/>
      <c r="D532" s="375">
        <v>227881</v>
      </c>
      <c r="E532" s="323">
        <v>3</v>
      </c>
      <c r="F532" s="453">
        <v>134</v>
      </c>
      <c r="G532" s="454">
        <v>87667.343283582086</v>
      </c>
      <c r="H532" s="439">
        <f t="shared" si="192"/>
        <v>11747424</v>
      </c>
      <c r="I532" s="311">
        <v>139</v>
      </c>
      <c r="J532" s="311">
        <v>89913.12230215827</v>
      </c>
      <c r="K532" s="441">
        <f t="shared" si="193"/>
        <v>12497924</v>
      </c>
      <c r="L532" s="442">
        <v>138</v>
      </c>
      <c r="M532" s="443">
        <v>68612.434782608689</v>
      </c>
      <c r="N532" s="444">
        <f t="shared" si="194"/>
        <v>9468515.9999999981</v>
      </c>
      <c r="O532" s="307">
        <v>137</v>
      </c>
      <c r="P532" s="307">
        <v>70371.197080291968</v>
      </c>
      <c r="Q532" s="445">
        <f t="shared" si="195"/>
        <v>9640854</v>
      </c>
      <c r="R532" s="442">
        <v>189</v>
      </c>
      <c r="S532" s="443">
        <v>58580.370370370372</v>
      </c>
      <c r="T532" s="444">
        <f t="shared" si="196"/>
        <v>11071690</v>
      </c>
      <c r="U532" s="307">
        <v>195</v>
      </c>
      <c r="V532" s="307">
        <v>60680.492307692308</v>
      </c>
      <c r="W532" s="441">
        <f t="shared" si="197"/>
        <v>11832696</v>
      </c>
      <c r="X532" s="442">
        <v>2</v>
      </c>
      <c r="Y532" s="443">
        <v>52128</v>
      </c>
      <c r="Z532" s="444">
        <f t="shared" si="198"/>
        <v>104256</v>
      </c>
      <c r="AA532" s="307">
        <v>2</v>
      </c>
      <c r="AB532" s="307">
        <v>54342</v>
      </c>
      <c r="AC532" s="445">
        <f t="shared" si="199"/>
        <v>108684</v>
      </c>
      <c r="AD532" s="442">
        <v>44</v>
      </c>
      <c r="AE532" s="443">
        <v>47379.681818181816</v>
      </c>
      <c r="AF532" s="444">
        <f t="shared" si="200"/>
        <v>2084706</v>
      </c>
      <c r="AG532" s="307">
        <v>49</v>
      </c>
      <c r="AH532" s="307">
        <v>46632.122448979593</v>
      </c>
      <c r="AI532" s="445">
        <f t="shared" si="201"/>
        <v>2284974</v>
      </c>
      <c r="AJ532" s="446"/>
      <c r="AK532" s="443"/>
      <c r="AL532" s="444">
        <f t="shared" si="202"/>
        <v>0</v>
      </c>
      <c r="AM532" s="307"/>
      <c r="AN532" s="307"/>
      <c r="AO532" s="447">
        <f t="shared" si="203"/>
        <v>0</v>
      </c>
      <c r="AP532" s="448"/>
      <c r="AQ532" s="443"/>
      <c r="AR532" s="444">
        <f t="shared" si="204"/>
        <v>0</v>
      </c>
      <c r="AS532" s="307"/>
      <c r="AT532" s="307"/>
      <c r="AU532" s="441">
        <f t="shared" si="205"/>
        <v>0</v>
      </c>
      <c r="AV532" s="442"/>
      <c r="AW532" s="443"/>
      <c r="AX532" s="444">
        <f t="shared" si="206"/>
        <v>0</v>
      </c>
      <c r="AY532" s="307"/>
      <c r="AZ532" s="307"/>
      <c r="BA532" s="445">
        <f t="shared" si="207"/>
        <v>0</v>
      </c>
      <c r="BB532" s="442"/>
      <c r="BC532" s="443"/>
      <c r="BD532" s="444">
        <f t="shared" si="208"/>
        <v>0</v>
      </c>
      <c r="BE532" s="307"/>
      <c r="BF532" s="307"/>
      <c r="BG532" s="445">
        <f t="shared" si="209"/>
        <v>0</v>
      </c>
      <c r="BH532" s="442"/>
      <c r="BI532" s="443"/>
      <c r="BJ532" s="444">
        <f t="shared" si="210"/>
        <v>0</v>
      </c>
      <c r="BK532" s="307"/>
      <c r="BL532" s="307"/>
      <c r="BM532" s="445">
        <f t="shared" si="211"/>
        <v>0</v>
      </c>
      <c r="BN532" s="442"/>
      <c r="BO532" s="443"/>
      <c r="BP532" s="444">
        <f t="shared" si="212"/>
        <v>0</v>
      </c>
      <c r="BQ532" s="307"/>
      <c r="BR532" s="307"/>
      <c r="BS532" s="445">
        <f t="shared" si="213"/>
        <v>0</v>
      </c>
      <c r="BT532" s="442"/>
      <c r="BU532" s="443"/>
      <c r="BV532" s="444">
        <f t="shared" si="214"/>
        <v>0</v>
      </c>
      <c r="BW532" s="307"/>
      <c r="BX532" s="307"/>
      <c r="BY532" s="449">
        <f t="shared" si="215"/>
        <v>0</v>
      </c>
    </row>
    <row r="533" spans="1:77" s="308" customFormat="1" ht="12.75" customHeight="1">
      <c r="A533" s="373" t="s">
        <v>309</v>
      </c>
      <c r="B533" s="374" t="s">
        <v>66</v>
      </c>
      <c r="C533" s="374"/>
      <c r="D533" s="375">
        <v>228431</v>
      </c>
      <c r="E533" s="323">
        <v>3</v>
      </c>
      <c r="F533" s="453">
        <v>37</v>
      </c>
      <c r="G533" s="454">
        <v>77897.054054054053</v>
      </c>
      <c r="H533" s="439">
        <f t="shared" si="192"/>
        <v>2882191</v>
      </c>
      <c r="I533" s="311">
        <v>43</v>
      </c>
      <c r="J533" s="311">
        <v>80072.232558139542</v>
      </c>
      <c r="K533" s="441">
        <f t="shared" si="193"/>
        <v>3443106.0000000005</v>
      </c>
      <c r="L533" s="442">
        <v>53</v>
      </c>
      <c r="M533" s="443">
        <v>72979.358490566039</v>
      </c>
      <c r="N533" s="444">
        <f t="shared" si="194"/>
        <v>3867906</v>
      </c>
      <c r="O533" s="307">
        <v>75</v>
      </c>
      <c r="P533" s="307">
        <v>71091.733333333337</v>
      </c>
      <c r="Q533" s="445">
        <f t="shared" si="195"/>
        <v>5331880</v>
      </c>
      <c r="R533" s="442">
        <v>57</v>
      </c>
      <c r="S533" s="443">
        <v>66219.421052631573</v>
      </c>
      <c r="T533" s="444">
        <f t="shared" si="196"/>
        <v>3774506.9999999995</v>
      </c>
      <c r="U533" s="307">
        <v>140</v>
      </c>
      <c r="V533" s="307">
        <v>57860.85</v>
      </c>
      <c r="W533" s="441">
        <f t="shared" si="197"/>
        <v>8100519</v>
      </c>
      <c r="X533" s="442">
        <v>20</v>
      </c>
      <c r="Y533" s="443">
        <v>61826.15</v>
      </c>
      <c r="Z533" s="444">
        <f t="shared" si="198"/>
        <v>1236523</v>
      </c>
      <c r="AA533" s="307">
        <v>33</v>
      </c>
      <c r="AB533" s="307">
        <v>55776.242424242424</v>
      </c>
      <c r="AC533" s="445">
        <f t="shared" si="199"/>
        <v>1840616</v>
      </c>
      <c r="AD533" s="442">
        <v>198</v>
      </c>
      <c r="AE533" s="443">
        <v>52568.479797979795</v>
      </c>
      <c r="AF533" s="444">
        <f t="shared" si="200"/>
        <v>10408559</v>
      </c>
      <c r="AG533" s="307">
        <v>19</v>
      </c>
      <c r="AH533" s="307">
        <v>46289.368421052633</v>
      </c>
      <c r="AI533" s="445">
        <f t="shared" si="201"/>
        <v>879498</v>
      </c>
      <c r="AJ533" s="446"/>
      <c r="AK533" s="443"/>
      <c r="AL533" s="444">
        <f t="shared" si="202"/>
        <v>0</v>
      </c>
      <c r="AM533" s="307">
        <v>53</v>
      </c>
      <c r="AN533" s="307">
        <v>50690.24528301887</v>
      </c>
      <c r="AO533" s="447">
        <f t="shared" si="203"/>
        <v>2686583</v>
      </c>
      <c r="AP533" s="448">
        <v>11</v>
      </c>
      <c r="AQ533" s="443">
        <v>103498.45454545454</v>
      </c>
      <c r="AR533" s="444">
        <f t="shared" si="204"/>
        <v>931506.79060000007</v>
      </c>
      <c r="AS533" s="307">
        <v>16</v>
      </c>
      <c r="AT533" s="307">
        <v>106450.5625</v>
      </c>
      <c r="AU533" s="441">
        <f t="shared" si="205"/>
        <v>1393565.6038000002</v>
      </c>
      <c r="AV533" s="442">
        <v>4</v>
      </c>
      <c r="AW533" s="443">
        <v>109657.5</v>
      </c>
      <c r="AX533" s="444">
        <f t="shared" si="206"/>
        <v>358887.06599999999</v>
      </c>
      <c r="AY533" s="307">
        <v>7</v>
      </c>
      <c r="AZ533" s="307">
        <v>96478</v>
      </c>
      <c r="BA533" s="445">
        <f t="shared" si="207"/>
        <v>552568.09720000008</v>
      </c>
      <c r="BB533" s="442">
        <v>4</v>
      </c>
      <c r="BC533" s="443">
        <v>63541.25</v>
      </c>
      <c r="BD533" s="444">
        <f t="shared" si="208"/>
        <v>207957.80300000001</v>
      </c>
      <c r="BE533" s="307">
        <v>25</v>
      </c>
      <c r="BF533" s="307">
        <v>57494.44</v>
      </c>
      <c r="BG533" s="445">
        <f t="shared" si="209"/>
        <v>1176048.7702000001</v>
      </c>
      <c r="BH533" s="442">
        <v>4</v>
      </c>
      <c r="BI533" s="443">
        <v>53565.5</v>
      </c>
      <c r="BJ533" s="444">
        <f t="shared" si="210"/>
        <v>175309.1684</v>
      </c>
      <c r="BK533" s="307">
        <v>10</v>
      </c>
      <c r="BL533" s="307">
        <v>50971.7</v>
      </c>
      <c r="BM533" s="445">
        <f t="shared" si="211"/>
        <v>417050.44940000004</v>
      </c>
      <c r="BN533" s="442">
        <v>63</v>
      </c>
      <c r="BO533" s="443">
        <v>57401.111111111109</v>
      </c>
      <c r="BP533" s="444">
        <f t="shared" si="212"/>
        <v>2958832.1140000001</v>
      </c>
      <c r="BQ533" s="307">
        <v>2</v>
      </c>
      <c r="BR533" s="307">
        <v>42758.5</v>
      </c>
      <c r="BS533" s="445">
        <f t="shared" si="213"/>
        <v>69970.00940000001</v>
      </c>
      <c r="BT533" s="442"/>
      <c r="BU533" s="443"/>
      <c r="BV533" s="444">
        <f t="shared" si="214"/>
        <v>0</v>
      </c>
      <c r="BW533" s="307">
        <v>24</v>
      </c>
      <c r="BX533" s="307">
        <v>56568.916666666664</v>
      </c>
      <c r="BY533" s="449">
        <f t="shared" si="215"/>
        <v>1110832.5028000001</v>
      </c>
    </row>
    <row r="534" spans="1:77" s="308" customFormat="1" ht="12.75" customHeight="1">
      <c r="A534" s="373" t="s">
        <v>309</v>
      </c>
      <c r="B534" s="374" t="s">
        <v>67</v>
      </c>
      <c r="C534" s="374"/>
      <c r="D534" s="375">
        <v>228501</v>
      </c>
      <c r="E534" s="323">
        <v>3</v>
      </c>
      <c r="F534" s="453">
        <v>36</v>
      </c>
      <c r="G534" s="454">
        <v>69814.444444444438</v>
      </c>
      <c r="H534" s="439">
        <f t="shared" si="192"/>
        <v>2513320</v>
      </c>
      <c r="I534" s="311">
        <v>37</v>
      </c>
      <c r="J534" s="311">
        <v>69299.108108108107</v>
      </c>
      <c r="K534" s="441">
        <f t="shared" si="193"/>
        <v>2564067</v>
      </c>
      <c r="L534" s="442">
        <v>34</v>
      </c>
      <c r="M534" s="443">
        <v>53038.588235294119</v>
      </c>
      <c r="N534" s="444">
        <f t="shared" si="194"/>
        <v>1803312</v>
      </c>
      <c r="O534" s="307">
        <v>34</v>
      </c>
      <c r="P534" s="307">
        <v>53246.205882352944</v>
      </c>
      <c r="Q534" s="445">
        <f t="shared" si="195"/>
        <v>1810371</v>
      </c>
      <c r="R534" s="442">
        <v>26</v>
      </c>
      <c r="S534" s="443">
        <v>47602</v>
      </c>
      <c r="T534" s="444">
        <f t="shared" si="196"/>
        <v>1237652</v>
      </c>
      <c r="U534" s="307">
        <v>24</v>
      </c>
      <c r="V534" s="307">
        <v>47440.791666666664</v>
      </c>
      <c r="W534" s="441">
        <f t="shared" si="197"/>
        <v>1138579</v>
      </c>
      <c r="X534" s="442"/>
      <c r="Y534" s="443"/>
      <c r="Z534" s="444">
        <f t="shared" si="198"/>
        <v>0</v>
      </c>
      <c r="AA534" s="307">
        <v>1</v>
      </c>
      <c r="AB534" s="307">
        <v>45820</v>
      </c>
      <c r="AC534" s="445">
        <f t="shared" si="199"/>
        <v>45820</v>
      </c>
      <c r="AD534" s="442">
        <v>22</v>
      </c>
      <c r="AE534" s="443">
        <v>43980.454545454544</v>
      </c>
      <c r="AF534" s="444">
        <f t="shared" si="200"/>
        <v>967570</v>
      </c>
      <c r="AG534" s="307">
        <v>22</v>
      </c>
      <c r="AH534" s="307">
        <v>43167.772727272728</v>
      </c>
      <c r="AI534" s="445">
        <f t="shared" si="201"/>
        <v>949691</v>
      </c>
      <c r="AJ534" s="446"/>
      <c r="AK534" s="443"/>
      <c r="AL534" s="444">
        <f t="shared" si="202"/>
        <v>0</v>
      </c>
      <c r="AM534" s="307"/>
      <c r="AN534" s="307"/>
      <c r="AO534" s="447">
        <f t="shared" si="203"/>
        <v>0</v>
      </c>
      <c r="AP534" s="448">
        <v>5</v>
      </c>
      <c r="AQ534" s="443">
        <v>101722</v>
      </c>
      <c r="AR534" s="444">
        <f t="shared" si="204"/>
        <v>416144.70200000005</v>
      </c>
      <c r="AS534" s="307">
        <v>4</v>
      </c>
      <c r="AT534" s="307">
        <v>103896.75</v>
      </c>
      <c r="AU534" s="441">
        <f t="shared" si="205"/>
        <v>340033.28340000001</v>
      </c>
      <c r="AV534" s="442">
        <v>1</v>
      </c>
      <c r="AW534" s="443">
        <v>81742</v>
      </c>
      <c r="AX534" s="444">
        <f t="shared" si="206"/>
        <v>66881.304400000008</v>
      </c>
      <c r="AY534" s="307">
        <v>2</v>
      </c>
      <c r="AZ534" s="307">
        <v>78761</v>
      </c>
      <c r="BA534" s="445">
        <f t="shared" si="207"/>
        <v>128884.5004</v>
      </c>
      <c r="BB534" s="442">
        <v>1</v>
      </c>
      <c r="BC534" s="443">
        <v>61710</v>
      </c>
      <c r="BD534" s="444">
        <f t="shared" si="208"/>
        <v>50491.122000000003</v>
      </c>
      <c r="BE534" s="307">
        <v>1</v>
      </c>
      <c r="BF534" s="307">
        <v>61710</v>
      </c>
      <c r="BG534" s="445">
        <f t="shared" si="209"/>
        <v>50491.122000000003</v>
      </c>
      <c r="BH534" s="442">
        <v>1</v>
      </c>
      <c r="BI534" s="443">
        <v>42972</v>
      </c>
      <c r="BJ534" s="444">
        <f t="shared" si="210"/>
        <v>35159.690399999999</v>
      </c>
      <c r="BK534" s="307">
        <v>1</v>
      </c>
      <c r="BL534" s="307">
        <v>42972</v>
      </c>
      <c r="BM534" s="445">
        <f t="shared" si="211"/>
        <v>35159.690399999999</v>
      </c>
      <c r="BN534" s="442">
        <v>2</v>
      </c>
      <c r="BO534" s="443">
        <v>57081</v>
      </c>
      <c r="BP534" s="444">
        <f t="shared" si="212"/>
        <v>93407.348400000003</v>
      </c>
      <c r="BQ534" s="307">
        <v>1</v>
      </c>
      <c r="BR534" s="307">
        <v>49445</v>
      </c>
      <c r="BS534" s="445">
        <f t="shared" si="213"/>
        <v>40455.899000000005</v>
      </c>
      <c r="BT534" s="442"/>
      <c r="BU534" s="443"/>
      <c r="BV534" s="444">
        <f t="shared" si="214"/>
        <v>0</v>
      </c>
      <c r="BW534" s="307"/>
      <c r="BX534" s="307"/>
      <c r="BY534" s="449">
        <f t="shared" si="215"/>
        <v>0</v>
      </c>
    </row>
    <row r="535" spans="1:77" s="308" customFormat="1" ht="12.75" customHeight="1">
      <c r="A535" s="373" t="s">
        <v>309</v>
      </c>
      <c r="B535" s="374" t="s">
        <v>68</v>
      </c>
      <c r="C535" s="374"/>
      <c r="D535" s="375">
        <v>228529</v>
      </c>
      <c r="E535" s="323">
        <v>3</v>
      </c>
      <c r="F535" s="453">
        <v>57</v>
      </c>
      <c r="G535" s="454">
        <v>77706.596491228076</v>
      </c>
      <c r="H535" s="439">
        <f t="shared" si="192"/>
        <v>4429276</v>
      </c>
      <c r="I535" s="311">
        <v>56</v>
      </c>
      <c r="J535" s="311">
        <v>77051.375</v>
      </c>
      <c r="K535" s="441">
        <f t="shared" si="193"/>
        <v>4314877</v>
      </c>
      <c r="L535" s="442">
        <v>53</v>
      </c>
      <c r="M535" s="443">
        <v>64462.207547169812</v>
      </c>
      <c r="N535" s="444">
        <f t="shared" si="194"/>
        <v>3416497</v>
      </c>
      <c r="O535" s="307">
        <v>57</v>
      </c>
      <c r="P535" s="307">
        <v>65302.84210526316</v>
      </c>
      <c r="Q535" s="445">
        <f t="shared" si="195"/>
        <v>3722262</v>
      </c>
      <c r="R535" s="442">
        <v>112</v>
      </c>
      <c r="S535" s="443">
        <v>52311.919642857145</v>
      </c>
      <c r="T535" s="444">
        <f t="shared" si="196"/>
        <v>5858935</v>
      </c>
      <c r="U535" s="307">
        <v>114</v>
      </c>
      <c r="V535" s="307">
        <v>52956.491228070176</v>
      </c>
      <c r="W535" s="441">
        <f t="shared" si="197"/>
        <v>6037040</v>
      </c>
      <c r="X535" s="442">
        <v>46</v>
      </c>
      <c r="Y535" s="443">
        <v>40117.65217391304</v>
      </c>
      <c r="Z535" s="444">
        <f t="shared" si="198"/>
        <v>1845411.9999999998</v>
      </c>
      <c r="AA535" s="307">
        <v>41</v>
      </c>
      <c r="AB535" s="307">
        <v>41173.512195121948</v>
      </c>
      <c r="AC535" s="445">
        <f t="shared" si="199"/>
        <v>1688113.9999999998</v>
      </c>
      <c r="AD535" s="442">
        <v>12</v>
      </c>
      <c r="AE535" s="443">
        <v>34304.5</v>
      </c>
      <c r="AF535" s="444">
        <f t="shared" si="200"/>
        <v>411654</v>
      </c>
      <c r="AG535" s="307">
        <v>8</v>
      </c>
      <c r="AH535" s="307">
        <v>37251.25</v>
      </c>
      <c r="AI535" s="445">
        <f t="shared" si="201"/>
        <v>298010</v>
      </c>
      <c r="AJ535" s="446"/>
      <c r="AK535" s="443"/>
      <c r="AL535" s="444">
        <f t="shared" si="202"/>
        <v>0</v>
      </c>
      <c r="AM535" s="307">
        <v>6</v>
      </c>
      <c r="AN535" s="307">
        <v>27711.5</v>
      </c>
      <c r="AO535" s="447">
        <f t="shared" si="203"/>
        <v>166269</v>
      </c>
      <c r="AP535" s="448">
        <v>6</v>
      </c>
      <c r="AQ535" s="443">
        <v>105873</v>
      </c>
      <c r="AR535" s="444">
        <f t="shared" si="204"/>
        <v>519751.7316</v>
      </c>
      <c r="AS535" s="307">
        <v>7</v>
      </c>
      <c r="AT535" s="307">
        <v>102580.28571428571</v>
      </c>
      <c r="AU535" s="441">
        <f t="shared" si="205"/>
        <v>587518.3284</v>
      </c>
      <c r="AV535" s="442">
        <v>11</v>
      </c>
      <c r="AW535" s="443">
        <v>86312.636363636368</v>
      </c>
      <c r="AX535" s="444">
        <f t="shared" si="206"/>
        <v>776830.98979999998</v>
      </c>
      <c r="AY535" s="307">
        <v>8</v>
      </c>
      <c r="AZ535" s="307">
        <v>84533.125</v>
      </c>
      <c r="BA535" s="445">
        <f t="shared" si="207"/>
        <v>553320.02300000004</v>
      </c>
      <c r="BB535" s="442">
        <v>25</v>
      </c>
      <c r="BC535" s="443">
        <v>73203.92</v>
      </c>
      <c r="BD535" s="444">
        <f t="shared" si="208"/>
        <v>1497386.1836000001</v>
      </c>
      <c r="BE535" s="307">
        <v>23</v>
      </c>
      <c r="BF535" s="307">
        <v>73840.434782608689</v>
      </c>
      <c r="BG535" s="445">
        <f t="shared" si="209"/>
        <v>1389573.6059999999</v>
      </c>
      <c r="BH535" s="442">
        <v>19</v>
      </c>
      <c r="BI535" s="443">
        <v>63662.15789473684</v>
      </c>
      <c r="BJ535" s="444">
        <f t="shared" si="210"/>
        <v>989679.17420000001</v>
      </c>
      <c r="BK535" s="307">
        <v>19</v>
      </c>
      <c r="BL535" s="307">
        <v>61892.57894736842</v>
      </c>
      <c r="BM535" s="445">
        <f t="shared" si="211"/>
        <v>962169.65380000009</v>
      </c>
      <c r="BN535" s="442">
        <v>4</v>
      </c>
      <c r="BO535" s="443">
        <v>42283.25</v>
      </c>
      <c r="BP535" s="444">
        <f t="shared" si="212"/>
        <v>138384.62059999999</v>
      </c>
      <c r="BQ535" s="307">
        <v>5</v>
      </c>
      <c r="BR535" s="307">
        <v>48905.8</v>
      </c>
      <c r="BS535" s="445">
        <f t="shared" si="213"/>
        <v>200073.62780000002</v>
      </c>
      <c r="BT535" s="442"/>
      <c r="BU535" s="443"/>
      <c r="BV535" s="444">
        <f t="shared" si="214"/>
        <v>0</v>
      </c>
      <c r="BW535" s="307"/>
      <c r="BX535" s="307"/>
      <c r="BY535" s="449">
        <f t="shared" si="215"/>
        <v>0</v>
      </c>
    </row>
    <row r="536" spans="1:77" s="308" customFormat="1" ht="12.75" customHeight="1">
      <c r="A536" s="373" t="s">
        <v>309</v>
      </c>
      <c r="B536" s="374" t="s">
        <v>1061</v>
      </c>
      <c r="C536" s="374"/>
      <c r="D536" s="375">
        <v>226152</v>
      </c>
      <c r="E536" s="323">
        <v>3</v>
      </c>
      <c r="F536" s="453">
        <v>15</v>
      </c>
      <c r="G536" s="454">
        <v>88530.933333333334</v>
      </c>
      <c r="H536" s="439">
        <f t="shared" si="192"/>
        <v>1327964</v>
      </c>
      <c r="I536" s="311">
        <v>17</v>
      </c>
      <c r="J536" s="311">
        <v>83214.529411764699</v>
      </c>
      <c r="K536" s="441">
        <f t="shared" si="193"/>
        <v>1414647</v>
      </c>
      <c r="L536" s="442">
        <v>38</v>
      </c>
      <c r="M536" s="443">
        <v>67937.789473684214</v>
      </c>
      <c r="N536" s="444">
        <f t="shared" si="194"/>
        <v>2581636</v>
      </c>
      <c r="O536" s="307">
        <v>40</v>
      </c>
      <c r="P536" s="307">
        <v>67048.425000000003</v>
      </c>
      <c r="Q536" s="445">
        <f t="shared" si="195"/>
        <v>2681937</v>
      </c>
      <c r="R536" s="442">
        <v>90</v>
      </c>
      <c r="S536" s="443">
        <v>60822.6</v>
      </c>
      <c r="T536" s="444">
        <f t="shared" si="196"/>
        <v>5474034</v>
      </c>
      <c r="U536" s="307">
        <v>89</v>
      </c>
      <c r="V536" s="307">
        <v>61517.067415730337</v>
      </c>
      <c r="W536" s="441">
        <f t="shared" si="197"/>
        <v>5475019</v>
      </c>
      <c r="X536" s="442">
        <v>20</v>
      </c>
      <c r="Y536" s="443">
        <v>41704.25</v>
      </c>
      <c r="Z536" s="444">
        <f t="shared" si="198"/>
        <v>834085</v>
      </c>
      <c r="AA536" s="307">
        <v>27</v>
      </c>
      <c r="AB536" s="307">
        <v>42588.666666666664</v>
      </c>
      <c r="AC536" s="445">
        <f t="shared" si="199"/>
        <v>1149894</v>
      </c>
      <c r="AD536" s="442"/>
      <c r="AE536" s="443"/>
      <c r="AF536" s="444">
        <f t="shared" si="200"/>
        <v>0</v>
      </c>
      <c r="AG536" s="307">
        <v>1</v>
      </c>
      <c r="AH536" s="307">
        <v>105724</v>
      </c>
      <c r="AI536" s="445">
        <f t="shared" si="201"/>
        <v>105724</v>
      </c>
      <c r="AJ536" s="446"/>
      <c r="AK536" s="443"/>
      <c r="AL536" s="444">
        <f t="shared" si="202"/>
        <v>0</v>
      </c>
      <c r="AM536" s="307"/>
      <c r="AN536" s="307"/>
      <c r="AO536" s="447">
        <f t="shared" si="203"/>
        <v>0</v>
      </c>
      <c r="AP536" s="448">
        <v>10</v>
      </c>
      <c r="AQ536" s="443">
        <v>116378.5</v>
      </c>
      <c r="AR536" s="444">
        <f t="shared" si="204"/>
        <v>952208.88699999999</v>
      </c>
      <c r="AS536" s="307">
        <v>11</v>
      </c>
      <c r="AT536" s="307">
        <v>123988.81818181818</v>
      </c>
      <c r="AU536" s="441">
        <f t="shared" si="205"/>
        <v>1115924.1614000001</v>
      </c>
      <c r="AV536" s="442">
        <v>9</v>
      </c>
      <c r="AW536" s="443">
        <v>96271.444444444438</v>
      </c>
      <c r="AX536" s="444">
        <f t="shared" si="206"/>
        <v>708923.66260000004</v>
      </c>
      <c r="AY536" s="307">
        <v>6</v>
      </c>
      <c r="AZ536" s="307">
        <v>99514.166666666672</v>
      </c>
      <c r="BA536" s="445">
        <f t="shared" si="207"/>
        <v>488534.94700000004</v>
      </c>
      <c r="BB536" s="442">
        <v>5</v>
      </c>
      <c r="BC536" s="443">
        <v>87344.8</v>
      </c>
      <c r="BD536" s="444">
        <f t="shared" si="208"/>
        <v>357327.57680000004</v>
      </c>
      <c r="BE536" s="307">
        <v>5</v>
      </c>
      <c r="BF536" s="307">
        <v>87345.600000000006</v>
      </c>
      <c r="BG536" s="445">
        <f t="shared" si="209"/>
        <v>357330.84960000002</v>
      </c>
      <c r="BH536" s="442">
        <v>1</v>
      </c>
      <c r="BI536" s="443">
        <v>51135</v>
      </c>
      <c r="BJ536" s="444">
        <f t="shared" si="210"/>
        <v>41838.656999999999</v>
      </c>
      <c r="BK536" s="307">
        <v>1</v>
      </c>
      <c r="BL536" s="307">
        <v>51135</v>
      </c>
      <c r="BM536" s="445">
        <f t="shared" si="211"/>
        <v>41838.656999999999</v>
      </c>
      <c r="BN536" s="442"/>
      <c r="BO536" s="443"/>
      <c r="BP536" s="444">
        <f t="shared" si="212"/>
        <v>0</v>
      </c>
      <c r="BQ536" s="307"/>
      <c r="BR536" s="307"/>
      <c r="BS536" s="445">
        <f t="shared" si="213"/>
        <v>0</v>
      </c>
      <c r="BT536" s="442"/>
      <c r="BU536" s="443"/>
      <c r="BV536" s="444">
        <f t="shared" si="214"/>
        <v>0</v>
      </c>
      <c r="BW536" s="307"/>
      <c r="BX536" s="307"/>
      <c r="BY536" s="449">
        <f t="shared" si="215"/>
        <v>0</v>
      </c>
    </row>
    <row r="537" spans="1:77" s="308" customFormat="1" ht="12.75" customHeight="1">
      <c r="A537" s="373" t="s">
        <v>309</v>
      </c>
      <c r="B537" s="374" t="s">
        <v>733</v>
      </c>
      <c r="C537" s="374"/>
      <c r="D537" s="375">
        <v>224554</v>
      </c>
      <c r="E537" s="323">
        <v>3</v>
      </c>
      <c r="F537" s="453">
        <v>38</v>
      </c>
      <c r="G537" s="454">
        <v>80058.105263157893</v>
      </c>
      <c r="H537" s="439">
        <f t="shared" si="192"/>
        <v>3042208</v>
      </c>
      <c r="I537" s="311">
        <v>37</v>
      </c>
      <c r="J537" s="311">
        <v>81140.729729729734</v>
      </c>
      <c r="K537" s="441">
        <f t="shared" si="193"/>
        <v>3002207</v>
      </c>
      <c r="L537" s="442">
        <v>49</v>
      </c>
      <c r="M537" s="443">
        <v>55576.714285714283</v>
      </c>
      <c r="N537" s="444">
        <f t="shared" si="194"/>
        <v>2723259</v>
      </c>
      <c r="O537" s="307">
        <v>42</v>
      </c>
      <c r="P537" s="307">
        <v>64968.190476190473</v>
      </c>
      <c r="Q537" s="445">
        <f t="shared" si="195"/>
        <v>2728664</v>
      </c>
      <c r="R537" s="442">
        <v>127</v>
      </c>
      <c r="S537" s="443">
        <v>59031.834645669289</v>
      </c>
      <c r="T537" s="444">
        <f t="shared" si="196"/>
        <v>7497043</v>
      </c>
      <c r="U537" s="307">
        <v>118</v>
      </c>
      <c r="V537" s="307">
        <v>55688.211864406781</v>
      </c>
      <c r="W537" s="441">
        <f t="shared" si="197"/>
        <v>6571209</v>
      </c>
      <c r="X537" s="442">
        <v>44</v>
      </c>
      <c r="Y537" s="443">
        <v>47535.318181818184</v>
      </c>
      <c r="Z537" s="444">
        <f t="shared" si="198"/>
        <v>2091554</v>
      </c>
      <c r="AA537" s="307">
        <v>55</v>
      </c>
      <c r="AB537" s="307">
        <v>50351.30909090909</v>
      </c>
      <c r="AC537" s="445">
        <f t="shared" si="199"/>
        <v>2769322</v>
      </c>
      <c r="AD537" s="442"/>
      <c r="AE537" s="443"/>
      <c r="AF537" s="444">
        <f t="shared" si="200"/>
        <v>0</v>
      </c>
      <c r="AG537" s="307"/>
      <c r="AH537" s="307"/>
      <c r="AI537" s="445">
        <f t="shared" si="201"/>
        <v>0</v>
      </c>
      <c r="AJ537" s="446"/>
      <c r="AK537" s="443"/>
      <c r="AL537" s="444">
        <f t="shared" si="202"/>
        <v>0</v>
      </c>
      <c r="AM537" s="307"/>
      <c r="AN537" s="307"/>
      <c r="AO537" s="447">
        <f t="shared" si="203"/>
        <v>0</v>
      </c>
      <c r="AP537" s="448"/>
      <c r="AQ537" s="443"/>
      <c r="AR537" s="444">
        <f t="shared" si="204"/>
        <v>0</v>
      </c>
      <c r="AS537" s="307">
        <v>2</v>
      </c>
      <c r="AT537" s="307">
        <v>109669.5</v>
      </c>
      <c r="AU537" s="441">
        <f t="shared" si="205"/>
        <v>179463.1698</v>
      </c>
      <c r="AV537" s="442"/>
      <c r="AW537" s="443"/>
      <c r="AX537" s="444">
        <f t="shared" si="206"/>
        <v>0</v>
      </c>
      <c r="AY537" s="307"/>
      <c r="AZ537" s="307"/>
      <c r="BA537" s="445">
        <f t="shared" si="207"/>
        <v>0</v>
      </c>
      <c r="BB537" s="442">
        <v>1</v>
      </c>
      <c r="BC537" s="443">
        <v>69010</v>
      </c>
      <c r="BD537" s="444">
        <f t="shared" si="208"/>
        <v>56463.982000000004</v>
      </c>
      <c r="BE537" s="307">
        <v>3</v>
      </c>
      <c r="BF537" s="307">
        <v>52735.666666666664</v>
      </c>
      <c r="BG537" s="445">
        <f t="shared" si="209"/>
        <v>129444.96740000001</v>
      </c>
      <c r="BH537" s="442">
        <v>14</v>
      </c>
      <c r="BI537" s="443">
        <v>51866.142857142855</v>
      </c>
      <c r="BJ537" s="444">
        <f t="shared" si="210"/>
        <v>594116.29320000007</v>
      </c>
      <c r="BK537" s="307">
        <v>11</v>
      </c>
      <c r="BL537" s="307">
        <v>46716.63636363636</v>
      </c>
      <c r="BM537" s="445">
        <f t="shared" si="211"/>
        <v>420459.07059999998</v>
      </c>
      <c r="BN537" s="442"/>
      <c r="BO537" s="443"/>
      <c r="BP537" s="444">
        <f t="shared" si="212"/>
        <v>0</v>
      </c>
      <c r="BQ537" s="307"/>
      <c r="BR537" s="307"/>
      <c r="BS537" s="445">
        <f t="shared" si="213"/>
        <v>0</v>
      </c>
      <c r="BT537" s="442"/>
      <c r="BU537" s="443"/>
      <c r="BV537" s="444">
        <f t="shared" si="214"/>
        <v>0</v>
      </c>
      <c r="BW537" s="307"/>
      <c r="BX537" s="307"/>
      <c r="BY537" s="449">
        <f t="shared" si="215"/>
        <v>0</v>
      </c>
    </row>
    <row r="538" spans="1:77" s="308" customFormat="1" ht="12.75" customHeight="1">
      <c r="A538" s="373" t="s">
        <v>309</v>
      </c>
      <c r="B538" s="374" t="s">
        <v>734</v>
      </c>
      <c r="C538" s="374"/>
      <c r="D538" s="375">
        <v>224147</v>
      </c>
      <c r="E538" s="323">
        <v>3</v>
      </c>
      <c r="F538" s="453">
        <v>93</v>
      </c>
      <c r="G538" s="454">
        <v>84564.06451612903</v>
      </c>
      <c r="H538" s="439">
        <f t="shared" si="192"/>
        <v>7864458</v>
      </c>
      <c r="I538" s="311">
        <v>87</v>
      </c>
      <c r="J538" s="311">
        <v>87981.103448275855</v>
      </c>
      <c r="K538" s="441">
        <f t="shared" si="193"/>
        <v>7654355.9999999991</v>
      </c>
      <c r="L538" s="442">
        <v>79</v>
      </c>
      <c r="M538" s="443">
        <v>67482.911392405062</v>
      </c>
      <c r="N538" s="444">
        <f t="shared" si="194"/>
        <v>5331150</v>
      </c>
      <c r="O538" s="307">
        <v>82</v>
      </c>
      <c r="P538" s="307">
        <v>70367.463414634141</v>
      </c>
      <c r="Q538" s="445">
        <f t="shared" si="195"/>
        <v>5770132</v>
      </c>
      <c r="R538" s="442">
        <v>77</v>
      </c>
      <c r="S538" s="443">
        <v>60734.779220779223</v>
      </c>
      <c r="T538" s="444">
        <f t="shared" si="196"/>
        <v>4676578</v>
      </c>
      <c r="U538" s="307">
        <v>74</v>
      </c>
      <c r="V538" s="307">
        <v>62599.054054054053</v>
      </c>
      <c r="W538" s="441">
        <f t="shared" si="197"/>
        <v>4632330</v>
      </c>
      <c r="X538" s="442"/>
      <c r="Y538" s="443"/>
      <c r="Z538" s="444">
        <f t="shared" si="198"/>
        <v>0</v>
      </c>
      <c r="AA538" s="307"/>
      <c r="AB538" s="307"/>
      <c r="AC538" s="445">
        <f t="shared" si="199"/>
        <v>0</v>
      </c>
      <c r="AD538" s="442"/>
      <c r="AE538" s="443"/>
      <c r="AF538" s="444">
        <f t="shared" si="200"/>
        <v>0</v>
      </c>
      <c r="AG538" s="307"/>
      <c r="AH538" s="307"/>
      <c r="AI538" s="445">
        <f t="shared" si="201"/>
        <v>0</v>
      </c>
      <c r="AJ538" s="446"/>
      <c r="AK538" s="443"/>
      <c r="AL538" s="444">
        <f t="shared" si="202"/>
        <v>0</v>
      </c>
      <c r="AM538" s="307"/>
      <c r="AN538" s="307"/>
      <c r="AO538" s="447">
        <f t="shared" si="203"/>
        <v>0</v>
      </c>
      <c r="AP538" s="448"/>
      <c r="AQ538" s="443"/>
      <c r="AR538" s="444">
        <f t="shared" si="204"/>
        <v>0</v>
      </c>
      <c r="AS538" s="307"/>
      <c r="AT538" s="307"/>
      <c r="AU538" s="441">
        <f t="shared" si="205"/>
        <v>0</v>
      </c>
      <c r="AV538" s="442"/>
      <c r="AW538" s="443"/>
      <c r="AX538" s="444">
        <f t="shared" si="206"/>
        <v>0</v>
      </c>
      <c r="AY538" s="307"/>
      <c r="AZ538" s="307"/>
      <c r="BA538" s="445">
        <f t="shared" si="207"/>
        <v>0</v>
      </c>
      <c r="BB538" s="442"/>
      <c r="BC538" s="443"/>
      <c r="BD538" s="444">
        <f t="shared" si="208"/>
        <v>0</v>
      </c>
      <c r="BE538" s="307"/>
      <c r="BF538" s="307"/>
      <c r="BG538" s="445">
        <f t="shared" si="209"/>
        <v>0</v>
      </c>
      <c r="BH538" s="442"/>
      <c r="BI538" s="443"/>
      <c r="BJ538" s="444">
        <f t="shared" si="210"/>
        <v>0</v>
      </c>
      <c r="BK538" s="307"/>
      <c r="BL538" s="307"/>
      <c r="BM538" s="445">
        <f t="shared" si="211"/>
        <v>0</v>
      </c>
      <c r="BN538" s="442"/>
      <c r="BO538" s="443"/>
      <c r="BP538" s="444">
        <f t="shared" si="212"/>
        <v>0</v>
      </c>
      <c r="BQ538" s="307"/>
      <c r="BR538" s="307"/>
      <c r="BS538" s="445">
        <f t="shared" si="213"/>
        <v>0</v>
      </c>
      <c r="BT538" s="442"/>
      <c r="BU538" s="443"/>
      <c r="BV538" s="444">
        <f t="shared" si="214"/>
        <v>0</v>
      </c>
      <c r="BW538" s="307"/>
      <c r="BX538" s="307"/>
      <c r="BY538" s="449">
        <f t="shared" si="215"/>
        <v>0</v>
      </c>
    </row>
    <row r="539" spans="1:77" s="308" customFormat="1" ht="12.75" customHeight="1">
      <c r="A539" s="373" t="s">
        <v>309</v>
      </c>
      <c r="B539" s="374" t="s">
        <v>735</v>
      </c>
      <c r="C539" s="374"/>
      <c r="D539" s="375">
        <v>228705</v>
      </c>
      <c r="E539" s="323">
        <v>3</v>
      </c>
      <c r="F539" s="453">
        <v>66</v>
      </c>
      <c r="G539" s="454">
        <v>79795.060606060608</v>
      </c>
      <c r="H539" s="439">
        <f t="shared" si="192"/>
        <v>5266474</v>
      </c>
      <c r="I539" s="311">
        <v>66</v>
      </c>
      <c r="J539" s="311">
        <v>80008.545454545456</v>
      </c>
      <c r="K539" s="441">
        <f t="shared" si="193"/>
        <v>5280564</v>
      </c>
      <c r="L539" s="442">
        <v>63</v>
      </c>
      <c r="M539" s="443">
        <v>64638.920634920636</v>
      </c>
      <c r="N539" s="444">
        <f t="shared" si="194"/>
        <v>4072252</v>
      </c>
      <c r="O539" s="307">
        <v>67</v>
      </c>
      <c r="P539" s="307">
        <v>66702.432835820902</v>
      </c>
      <c r="Q539" s="445">
        <f t="shared" si="195"/>
        <v>4469063</v>
      </c>
      <c r="R539" s="442">
        <v>115</v>
      </c>
      <c r="S539" s="443">
        <v>64879.034782608695</v>
      </c>
      <c r="T539" s="444">
        <f t="shared" si="196"/>
        <v>7461089</v>
      </c>
      <c r="U539" s="307">
        <v>126</v>
      </c>
      <c r="V539" s="307">
        <v>60056.468253968254</v>
      </c>
      <c r="W539" s="441">
        <f t="shared" si="197"/>
        <v>7567115</v>
      </c>
      <c r="X539" s="442">
        <v>5</v>
      </c>
      <c r="Y539" s="443">
        <v>63566</v>
      </c>
      <c r="Z539" s="444">
        <f t="shared" si="198"/>
        <v>317830</v>
      </c>
      <c r="AA539" s="307">
        <v>2</v>
      </c>
      <c r="AB539" s="307">
        <v>51931</v>
      </c>
      <c r="AC539" s="445">
        <f t="shared" si="199"/>
        <v>103862</v>
      </c>
      <c r="AD539" s="442">
        <v>56</v>
      </c>
      <c r="AE539" s="443">
        <v>33688.482142857145</v>
      </c>
      <c r="AF539" s="444">
        <f t="shared" si="200"/>
        <v>1886555</v>
      </c>
      <c r="AG539" s="307">
        <v>56</v>
      </c>
      <c r="AH539" s="307">
        <v>38869.910714285717</v>
      </c>
      <c r="AI539" s="445">
        <f t="shared" si="201"/>
        <v>2176715</v>
      </c>
      <c r="AJ539" s="446"/>
      <c r="AK539" s="443"/>
      <c r="AL539" s="444">
        <f t="shared" si="202"/>
        <v>0</v>
      </c>
      <c r="AM539" s="307">
        <v>6</v>
      </c>
      <c r="AN539" s="307">
        <v>60905.333333333336</v>
      </c>
      <c r="AO539" s="447">
        <f t="shared" si="203"/>
        <v>365432</v>
      </c>
      <c r="AP539" s="448">
        <v>22</v>
      </c>
      <c r="AQ539" s="443">
        <v>103640.72727272728</v>
      </c>
      <c r="AR539" s="444">
        <f t="shared" si="204"/>
        <v>1865574.5472000001</v>
      </c>
      <c r="AS539" s="307">
        <v>20</v>
      </c>
      <c r="AT539" s="307">
        <v>98734.9</v>
      </c>
      <c r="AU539" s="441">
        <f t="shared" si="205"/>
        <v>1615697.9036000001</v>
      </c>
      <c r="AV539" s="442">
        <v>7</v>
      </c>
      <c r="AW539" s="443">
        <v>96102.857142857145</v>
      </c>
      <c r="AX539" s="444">
        <f t="shared" si="206"/>
        <v>550419.50400000007</v>
      </c>
      <c r="AY539" s="307">
        <v>11</v>
      </c>
      <c r="AZ539" s="307">
        <v>80977.636363636368</v>
      </c>
      <c r="BA539" s="445">
        <f t="shared" si="207"/>
        <v>728814.92280000006</v>
      </c>
      <c r="BB539" s="442">
        <v>6</v>
      </c>
      <c r="BC539" s="443">
        <v>67123.333333333328</v>
      </c>
      <c r="BD539" s="444">
        <f t="shared" si="208"/>
        <v>329521.86800000002</v>
      </c>
      <c r="BE539" s="307">
        <v>5</v>
      </c>
      <c r="BF539" s="307">
        <v>64394</v>
      </c>
      <c r="BG539" s="445">
        <f t="shared" si="209"/>
        <v>263435.85399999999</v>
      </c>
      <c r="BH539" s="442"/>
      <c r="BI539" s="443"/>
      <c r="BJ539" s="444">
        <f t="shared" si="210"/>
        <v>0</v>
      </c>
      <c r="BK539" s="307">
        <v>1</v>
      </c>
      <c r="BL539" s="307">
        <v>36000</v>
      </c>
      <c r="BM539" s="445">
        <f t="shared" si="211"/>
        <v>29455.200000000001</v>
      </c>
      <c r="BN539" s="442"/>
      <c r="BO539" s="443"/>
      <c r="BP539" s="444">
        <f t="shared" si="212"/>
        <v>0</v>
      </c>
      <c r="BQ539" s="307"/>
      <c r="BR539" s="307"/>
      <c r="BS539" s="445">
        <f t="shared" si="213"/>
        <v>0</v>
      </c>
      <c r="BT539" s="442"/>
      <c r="BU539" s="443"/>
      <c r="BV539" s="444">
        <f t="shared" si="214"/>
        <v>0</v>
      </c>
      <c r="BW539" s="307"/>
      <c r="BX539" s="307"/>
      <c r="BY539" s="449">
        <f t="shared" si="215"/>
        <v>0</v>
      </c>
    </row>
    <row r="540" spans="1:77" s="308" customFormat="1" ht="12.75" customHeight="1">
      <c r="A540" s="373" t="s">
        <v>309</v>
      </c>
      <c r="B540" s="374" t="s">
        <v>69</v>
      </c>
      <c r="C540" s="374"/>
      <c r="D540" s="375">
        <v>229063</v>
      </c>
      <c r="E540" s="323">
        <v>3</v>
      </c>
      <c r="F540" s="453">
        <v>43</v>
      </c>
      <c r="G540" s="454">
        <v>100882.09302325582</v>
      </c>
      <c r="H540" s="439">
        <f t="shared" si="192"/>
        <v>4337930</v>
      </c>
      <c r="I540" s="311">
        <v>71</v>
      </c>
      <c r="J540" s="311">
        <v>101030.1690140845</v>
      </c>
      <c r="K540" s="441">
        <f t="shared" si="193"/>
        <v>7173142</v>
      </c>
      <c r="L540" s="442">
        <v>60</v>
      </c>
      <c r="M540" s="443">
        <v>80257.149999999994</v>
      </c>
      <c r="N540" s="444">
        <f t="shared" si="194"/>
        <v>4815429</v>
      </c>
      <c r="O540" s="307">
        <v>80</v>
      </c>
      <c r="P540" s="307">
        <v>82120.399999999994</v>
      </c>
      <c r="Q540" s="445">
        <f t="shared" si="195"/>
        <v>6569632</v>
      </c>
      <c r="R540" s="442">
        <v>71</v>
      </c>
      <c r="S540" s="443">
        <v>69925.535211267605</v>
      </c>
      <c r="T540" s="444">
        <f t="shared" si="196"/>
        <v>4964713</v>
      </c>
      <c r="U540" s="307">
        <v>82</v>
      </c>
      <c r="V540" s="307">
        <v>68556.670731707316</v>
      </c>
      <c r="W540" s="441">
        <f t="shared" si="197"/>
        <v>5621647</v>
      </c>
      <c r="X540" s="442">
        <v>13</v>
      </c>
      <c r="Y540" s="443">
        <v>57472</v>
      </c>
      <c r="Z540" s="444">
        <f t="shared" si="198"/>
        <v>747136</v>
      </c>
      <c r="AA540" s="307">
        <v>13</v>
      </c>
      <c r="AB540" s="307">
        <v>50111.538461538461</v>
      </c>
      <c r="AC540" s="445">
        <f t="shared" si="199"/>
        <v>651450</v>
      </c>
      <c r="AD540" s="442">
        <v>142</v>
      </c>
      <c r="AE540" s="443">
        <v>54968.732394366198</v>
      </c>
      <c r="AF540" s="444">
        <f t="shared" si="200"/>
        <v>7805560</v>
      </c>
      <c r="AG540" s="307">
        <v>80</v>
      </c>
      <c r="AH540" s="307">
        <v>46507.112500000003</v>
      </c>
      <c r="AI540" s="445">
        <f t="shared" si="201"/>
        <v>3720569</v>
      </c>
      <c r="AJ540" s="446"/>
      <c r="AK540" s="443"/>
      <c r="AL540" s="444">
        <f t="shared" si="202"/>
        <v>0</v>
      </c>
      <c r="AM540" s="307">
        <v>12</v>
      </c>
      <c r="AN540" s="307">
        <v>41174.416666666664</v>
      </c>
      <c r="AO540" s="447">
        <f t="shared" si="203"/>
        <v>494093</v>
      </c>
      <c r="AP540" s="448">
        <v>19</v>
      </c>
      <c r="AQ540" s="443">
        <v>115961.21052631579</v>
      </c>
      <c r="AR540" s="444">
        <f t="shared" si="204"/>
        <v>1802709.7866</v>
      </c>
      <c r="AS540" s="307">
        <v>12</v>
      </c>
      <c r="AT540" s="307">
        <v>116474.16666666667</v>
      </c>
      <c r="AU540" s="441">
        <f t="shared" si="205"/>
        <v>1143589.9580000001</v>
      </c>
      <c r="AV540" s="442">
        <v>16</v>
      </c>
      <c r="AW540" s="443">
        <v>99197.25</v>
      </c>
      <c r="AX540" s="444">
        <f t="shared" si="206"/>
        <v>1298611.0392</v>
      </c>
      <c r="AY540" s="307">
        <v>5</v>
      </c>
      <c r="AZ540" s="307">
        <v>104226.2</v>
      </c>
      <c r="BA540" s="445">
        <f t="shared" si="207"/>
        <v>426389.38420000003</v>
      </c>
      <c r="BB540" s="442">
        <v>14</v>
      </c>
      <c r="BC540" s="443">
        <v>89768.071428571435</v>
      </c>
      <c r="BD540" s="444">
        <f t="shared" si="208"/>
        <v>1028275.3046</v>
      </c>
      <c r="BE540" s="307">
        <v>4</v>
      </c>
      <c r="BF540" s="307">
        <v>80526.75</v>
      </c>
      <c r="BG540" s="445">
        <f t="shared" si="209"/>
        <v>263547.9474</v>
      </c>
      <c r="BH540" s="442">
        <v>2</v>
      </c>
      <c r="BI540" s="443">
        <v>127992</v>
      </c>
      <c r="BJ540" s="444">
        <f t="shared" si="210"/>
        <v>209446.10880000002</v>
      </c>
      <c r="BK540" s="307">
        <v>1</v>
      </c>
      <c r="BL540" s="307">
        <v>140000</v>
      </c>
      <c r="BM540" s="445">
        <f t="shared" si="211"/>
        <v>114548</v>
      </c>
      <c r="BN540" s="442">
        <v>10</v>
      </c>
      <c r="BO540" s="443">
        <v>67164.899999999994</v>
      </c>
      <c r="BP540" s="444">
        <f t="shared" si="212"/>
        <v>549543.21180000005</v>
      </c>
      <c r="BQ540" s="307">
        <v>4</v>
      </c>
      <c r="BR540" s="307">
        <v>61589.25</v>
      </c>
      <c r="BS540" s="445">
        <f t="shared" si="213"/>
        <v>201569.29740000001</v>
      </c>
      <c r="BT540" s="442"/>
      <c r="BU540" s="443"/>
      <c r="BV540" s="444">
        <f t="shared" si="214"/>
        <v>0</v>
      </c>
      <c r="BW540" s="307">
        <v>1</v>
      </c>
      <c r="BX540" s="307">
        <v>45900</v>
      </c>
      <c r="BY540" s="449">
        <f t="shared" si="215"/>
        <v>37555.380000000005</v>
      </c>
    </row>
    <row r="541" spans="1:77" s="308" customFormat="1" ht="12.75" customHeight="1">
      <c r="A541" s="373" t="s">
        <v>309</v>
      </c>
      <c r="B541" s="376" t="s">
        <v>736</v>
      </c>
      <c r="C541" s="376"/>
      <c r="D541" s="375">
        <v>228459</v>
      </c>
      <c r="E541" s="323">
        <v>3</v>
      </c>
      <c r="F541" s="453">
        <v>230</v>
      </c>
      <c r="G541" s="454">
        <v>87264.813043478265</v>
      </c>
      <c r="H541" s="439">
        <f t="shared" si="192"/>
        <v>20070907</v>
      </c>
      <c r="I541" s="311">
        <v>236</v>
      </c>
      <c r="J541" s="311">
        <v>87816.639830508473</v>
      </c>
      <c r="K541" s="441">
        <f t="shared" si="193"/>
        <v>20724727</v>
      </c>
      <c r="L541" s="442">
        <v>174</v>
      </c>
      <c r="M541" s="443">
        <v>71523.816091954024</v>
      </c>
      <c r="N541" s="444">
        <f t="shared" si="194"/>
        <v>12445144</v>
      </c>
      <c r="O541" s="307">
        <v>189</v>
      </c>
      <c r="P541" s="307">
        <v>70482.936507936509</v>
      </c>
      <c r="Q541" s="445">
        <f t="shared" si="195"/>
        <v>13321275</v>
      </c>
      <c r="R541" s="442">
        <v>257</v>
      </c>
      <c r="S541" s="443">
        <v>60656.350194552528</v>
      </c>
      <c r="T541" s="444">
        <f t="shared" si="196"/>
        <v>15588682</v>
      </c>
      <c r="U541" s="307">
        <v>275</v>
      </c>
      <c r="V541" s="307">
        <v>60889.69090909091</v>
      </c>
      <c r="W541" s="441">
        <f t="shared" si="197"/>
        <v>16744665</v>
      </c>
      <c r="X541" s="442">
        <v>5</v>
      </c>
      <c r="Y541" s="443">
        <v>43743.8</v>
      </c>
      <c r="Z541" s="444">
        <f t="shared" si="198"/>
        <v>218719</v>
      </c>
      <c r="AA541" s="307">
        <v>5</v>
      </c>
      <c r="AB541" s="307">
        <v>43743.8</v>
      </c>
      <c r="AC541" s="445">
        <f t="shared" si="199"/>
        <v>218719</v>
      </c>
      <c r="AD541" s="442">
        <v>279</v>
      </c>
      <c r="AE541" s="443">
        <v>42953.727598566307</v>
      </c>
      <c r="AF541" s="444">
        <f t="shared" si="200"/>
        <v>11984090</v>
      </c>
      <c r="AG541" s="307">
        <v>302</v>
      </c>
      <c r="AH541" s="307">
        <v>42083.920529801326</v>
      </c>
      <c r="AI541" s="445">
        <f t="shared" si="201"/>
        <v>12709344</v>
      </c>
      <c r="AJ541" s="446"/>
      <c r="AK541" s="443"/>
      <c r="AL541" s="444">
        <f t="shared" si="202"/>
        <v>0</v>
      </c>
      <c r="AM541" s="307">
        <v>1</v>
      </c>
      <c r="AN541" s="307">
        <v>16500</v>
      </c>
      <c r="AO541" s="447">
        <f t="shared" si="203"/>
        <v>16500</v>
      </c>
      <c r="AP541" s="448">
        <v>34</v>
      </c>
      <c r="AQ541" s="443">
        <v>134158.58823529413</v>
      </c>
      <c r="AR541" s="444">
        <f t="shared" si="204"/>
        <v>3732130.9344000001</v>
      </c>
      <c r="AS541" s="307">
        <v>34</v>
      </c>
      <c r="AT541" s="307">
        <v>134507.14705882352</v>
      </c>
      <c r="AU541" s="441">
        <f t="shared" si="205"/>
        <v>3741827.4226000002</v>
      </c>
      <c r="AV541" s="442">
        <v>4</v>
      </c>
      <c r="AW541" s="443">
        <v>121402.75</v>
      </c>
      <c r="AX541" s="444">
        <f t="shared" si="206"/>
        <v>397326.92019999999</v>
      </c>
      <c r="AY541" s="307">
        <v>10</v>
      </c>
      <c r="AZ541" s="307">
        <v>113961</v>
      </c>
      <c r="BA541" s="445">
        <f t="shared" si="207"/>
        <v>932428.902</v>
      </c>
      <c r="BB541" s="442"/>
      <c r="BC541" s="443"/>
      <c r="BD541" s="444">
        <f t="shared" si="208"/>
        <v>0</v>
      </c>
      <c r="BE541" s="307">
        <v>1</v>
      </c>
      <c r="BF541" s="307">
        <v>80826</v>
      </c>
      <c r="BG541" s="445">
        <f t="shared" si="209"/>
        <v>66131.833200000008</v>
      </c>
      <c r="BH541" s="442"/>
      <c r="BI541" s="443"/>
      <c r="BJ541" s="444">
        <f t="shared" si="210"/>
        <v>0</v>
      </c>
      <c r="BK541" s="307"/>
      <c r="BL541" s="307"/>
      <c r="BM541" s="445">
        <f t="shared" si="211"/>
        <v>0</v>
      </c>
      <c r="BN541" s="442"/>
      <c r="BO541" s="443"/>
      <c r="BP541" s="444">
        <f t="shared" si="212"/>
        <v>0</v>
      </c>
      <c r="BQ541" s="307"/>
      <c r="BR541" s="307"/>
      <c r="BS541" s="445">
        <f t="shared" si="213"/>
        <v>0</v>
      </c>
      <c r="BT541" s="442"/>
      <c r="BU541" s="443"/>
      <c r="BV541" s="444">
        <f t="shared" si="214"/>
        <v>0</v>
      </c>
      <c r="BW541" s="307"/>
      <c r="BX541" s="307"/>
      <c r="BY541" s="449">
        <f t="shared" si="215"/>
        <v>0</v>
      </c>
    </row>
    <row r="542" spans="1:77" s="308" customFormat="1" ht="12.75" customHeight="1">
      <c r="A542" s="373" t="s">
        <v>309</v>
      </c>
      <c r="B542" s="374" t="s">
        <v>70</v>
      </c>
      <c r="C542" s="374"/>
      <c r="D542" s="375">
        <v>225414</v>
      </c>
      <c r="E542" s="323">
        <v>3</v>
      </c>
      <c r="F542" s="453">
        <v>43</v>
      </c>
      <c r="G542" s="454">
        <v>92137.69767441861</v>
      </c>
      <c r="H542" s="439">
        <f t="shared" si="192"/>
        <v>3961921.0000000005</v>
      </c>
      <c r="I542" s="311">
        <v>43</v>
      </c>
      <c r="J542" s="311">
        <v>95740.30232558139</v>
      </c>
      <c r="K542" s="441">
        <f t="shared" si="193"/>
        <v>4116832.9999999995</v>
      </c>
      <c r="L542" s="442">
        <v>81</v>
      </c>
      <c r="M542" s="443">
        <v>70600.395061728399</v>
      </c>
      <c r="N542" s="444">
        <f t="shared" si="194"/>
        <v>5718632</v>
      </c>
      <c r="O542" s="307">
        <v>80</v>
      </c>
      <c r="P542" s="307">
        <v>72614.487500000003</v>
      </c>
      <c r="Q542" s="445">
        <f t="shared" si="195"/>
        <v>5809159</v>
      </c>
      <c r="R542" s="442">
        <v>70</v>
      </c>
      <c r="S542" s="443">
        <v>62720.114285714284</v>
      </c>
      <c r="T542" s="444">
        <f t="shared" si="196"/>
        <v>4390408</v>
      </c>
      <c r="U542" s="307">
        <v>66</v>
      </c>
      <c r="V542" s="307">
        <v>63210.803030303032</v>
      </c>
      <c r="W542" s="441">
        <f t="shared" si="197"/>
        <v>4171913</v>
      </c>
      <c r="X542" s="442">
        <v>2</v>
      </c>
      <c r="Y542" s="443">
        <v>40073.5</v>
      </c>
      <c r="Z542" s="444">
        <f t="shared" si="198"/>
        <v>80147</v>
      </c>
      <c r="AA542" s="307">
        <v>1</v>
      </c>
      <c r="AB542" s="307">
        <v>36432</v>
      </c>
      <c r="AC542" s="445">
        <f t="shared" si="199"/>
        <v>36432</v>
      </c>
      <c r="AD542" s="442">
        <v>28</v>
      </c>
      <c r="AE542" s="443">
        <v>49768.928571428572</v>
      </c>
      <c r="AF542" s="444">
        <f t="shared" si="200"/>
        <v>1393530</v>
      </c>
      <c r="AG542" s="307">
        <v>26</v>
      </c>
      <c r="AH542" s="307">
        <v>52883.615384615383</v>
      </c>
      <c r="AI542" s="445">
        <f t="shared" si="201"/>
        <v>1374974</v>
      </c>
      <c r="AJ542" s="446"/>
      <c r="AK542" s="443"/>
      <c r="AL542" s="444">
        <f t="shared" si="202"/>
        <v>0</v>
      </c>
      <c r="AM542" s="307">
        <v>10</v>
      </c>
      <c r="AN542" s="307">
        <v>54598.6</v>
      </c>
      <c r="AO542" s="447">
        <f t="shared" si="203"/>
        <v>545986</v>
      </c>
      <c r="AP542" s="448">
        <v>1</v>
      </c>
      <c r="AQ542" s="443">
        <v>87011</v>
      </c>
      <c r="AR542" s="444">
        <f t="shared" si="204"/>
        <v>71192.400200000004</v>
      </c>
      <c r="AS542" s="307">
        <v>1</v>
      </c>
      <c r="AT542" s="307">
        <v>87011</v>
      </c>
      <c r="AU542" s="441">
        <f t="shared" si="205"/>
        <v>71192.400200000004</v>
      </c>
      <c r="AV542" s="442"/>
      <c r="AW542" s="443"/>
      <c r="AX542" s="444">
        <f t="shared" si="206"/>
        <v>0</v>
      </c>
      <c r="AY542" s="307"/>
      <c r="AZ542" s="307"/>
      <c r="BA542" s="445">
        <f t="shared" si="207"/>
        <v>0</v>
      </c>
      <c r="BB542" s="442"/>
      <c r="BC542" s="443"/>
      <c r="BD542" s="444">
        <f t="shared" si="208"/>
        <v>0</v>
      </c>
      <c r="BE542" s="307"/>
      <c r="BF542" s="307"/>
      <c r="BG542" s="445">
        <f t="shared" si="209"/>
        <v>0</v>
      </c>
      <c r="BH542" s="442"/>
      <c r="BI542" s="443"/>
      <c r="BJ542" s="444">
        <f t="shared" si="210"/>
        <v>0</v>
      </c>
      <c r="BK542" s="307"/>
      <c r="BL542" s="307"/>
      <c r="BM542" s="445">
        <f t="shared" si="211"/>
        <v>0</v>
      </c>
      <c r="BN542" s="442">
        <v>3</v>
      </c>
      <c r="BO542" s="443">
        <v>82034.333333333328</v>
      </c>
      <c r="BP542" s="444">
        <f t="shared" si="212"/>
        <v>201361.47460000002</v>
      </c>
      <c r="BQ542" s="307">
        <v>3</v>
      </c>
      <c r="BR542" s="307">
        <v>84985.666666666672</v>
      </c>
      <c r="BS542" s="445">
        <f t="shared" si="213"/>
        <v>208605.8174</v>
      </c>
      <c r="BT542" s="442"/>
      <c r="BU542" s="443"/>
      <c r="BV542" s="444">
        <f t="shared" si="214"/>
        <v>0</v>
      </c>
      <c r="BW542" s="307"/>
      <c r="BX542" s="307"/>
      <c r="BY542" s="449">
        <f t="shared" si="215"/>
        <v>0</v>
      </c>
    </row>
    <row r="543" spans="1:77" s="308" customFormat="1" ht="12.75" customHeight="1">
      <c r="A543" s="373" t="s">
        <v>309</v>
      </c>
      <c r="B543" s="400" t="s">
        <v>75</v>
      </c>
      <c r="C543" s="554" t="s">
        <v>1133</v>
      </c>
      <c r="D543" s="375">
        <v>227377</v>
      </c>
      <c r="E543" s="411">
        <v>3</v>
      </c>
      <c r="F543" s="453">
        <v>43</v>
      </c>
      <c r="G543" s="454">
        <v>79150.767441860458</v>
      </c>
      <c r="H543" s="439">
        <f t="shared" si="192"/>
        <v>3403482.9999999995</v>
      </c>
      <c r="I543" s="311">
        <v>47</v>
      </c>
      <c r="J543" s="311">
        <v>79551.404255319154</v>
      </c>
      <c r="K543" s="441">
        <f t="shared" si="193"/>
        <v>3738916</v>
      </c>
      <c r="L543" s="442">
        <v>86</v>
      </c>
      <c r="M543" s="443">
        <v>66720.034883720931</v>
      </c>
      <c r="N543" s="444">
        <f t="shared" si="194"/>
        <v>5737923</v>
      </c>
      <c r="O543" s="307">
        <v>97</v>
      </c>
      <c r="P543" s="307">
        <v>66933.958762886599</v>
      </c>
      <c r="Q543" s="445">
        <f t="shared" si="195"/>
        <v>6492594</v>
      </c>
      <c r="R543" s="442">
        <v>109</v>
      </c>
      <c r="S543" s="443">
        <v>56542.633027522934</v>
      </c>
      <c r="T543" s="444">
        <f t="shared" si="196"/>
        <v>6163147</v>
      </c>
      <c r="U543" s="307">
        <v>109</v>
      </c>
      <c r="V543" s="307">
        <v>57233.963302752294</v>
      </c>
      <c r="W543" s="441">
        <f t="shared" si="197"/>
        <v>6238502</v>
      </c>
      <c r="X543" s="442">
        <v>59</v>
      </c>
      <c r="Y543" s="443">
        <v>56500.186440677964</v>
      </c>
      <c r="Z543" s="444">
        <f t="shared" si="198"/>
        <v>3333511</v>
      </c>
      <c r="AA543" s="307">
        <v>65</v>
      </c>
      <c r="AB543" s="307">
        <v>56230.092307692306</v>
      </c>
      <c r="AC543" s="445">
        <f t="shared" si="199"/>
        <v>3654956</v>
      </c>
      <c r="AD543" s="442">
        <v>50</v>
      </c>
      <c r="AE543" s="443">
        <v>44733.42</v>
      </c>
      <c r="AF543" s="444">
        <f t="shared" si="200"/>
        <v>2236671</v>
      </c>
      <c r="AG543" s="307">
        <v>37</v>
      </c>
      <c r="AH543" s="307">
        <v>45005.486486486487</v>
      </c>
      <c r="AI543" s="445">
        <f t="shared" si="201"/>
        <v>1665203</v>
      </c>
      <c r="AJ543" s="446"/>
      <c r="AK543" s="443"/>
      <c r="AL543" s="444">
        <f t="shared" si="202"/>
        <v>0</v>
      </c>
      <c r="AM543" s="307">
        <v>8</v>
      </c>
      <c r="AN543" s="307">
        <v>55515</v>
      </c>
      <c r="AO543" s="447">
        <f t="shared" si="203"/>
        <v>444120</v>
      </c>
      <c r="AP543" s="448">
        <v>2</v>
      </c>
      <c r="AQ543" s="443">
        <v>109009.5</v>
      </c>
      <c r="AR543" s="444">
        <f t="shared" si="204"/>
        <v>178383.1458</v>
      </c>
      <c r="AS543" s="307"/>
      <c r="AT543" s="307"/>
      <c r="AU543" s="441">
        <f t="shared" si="205"/>
        <v>0</v>
      </c>
      <c r="AV543" s="442">
        <v>4</v>
      </c>
      <c r="AW543" s="443">
        <v>82025</v>
      </c>
      <c r="AX543" s="444">
        <f t="shared" si="206"/>
        <v>268451.42</v>
      </c>
      <c r="AY543" s="307">
        <v>4</v>
      </c>
      <c r="AZ543" s="307">
        <v>83135</v>
      </c>
      <c r="BA543" s="445">
        <f t="shared" si="207"/>
        <v>272084.228</v>
      </c>
      <c r="BB543" s="442">
        <v>1</v>
      </c>
      <c r="BC543" s="443">
        <v>65650</v>
      </c>
      <c r="BD543" s="444">
        <f t="shared" si="208"/>
        <v>53714.83</v>
      </c>
      <c r="BE543" s="307"/>
      <c r="BF543" s="307"/>
      <c r="BG543" s="445">
        <f t="shared" si="209"/>
        <v>0</v>
      </c>
      <c r="BH543" s="442">
        <v>23</v>
      </c>
      <c r="BI543" s="443">
        <v>64232.304347826088</v>
      </c>
      <c r="BJ543" s="444">
        <f t="shared" si="210"/>
        <v>1208762.0426</v>
      </c>
      <c r="BK543" s="307">
        <v>22</v>
      </c>
      <c r="BL543" s="307">
        <v>65552.681818181823</v>
      </c>
      <c r="BM543" s="445">
        <f t="shared" si="211"/>
        <v>1179974.4938000001</v>
      </c>
      <c r="BN543" s="442">
        <v>18</v>
      </c>
      <c r="BO543" s="443">
        <v>51249.888888888891</v>
      </c>
      <c r="BP543" s="444">
        <f t="shared" si="212"/>
        <v>754787.86360000004</v>
      </c>
      <c r="BQ543" s="307">
        <v>9</v>
      </c>
      <c r="BR543" s="307">
        <v>46189</v>
      </c>
      <c r="BS543" s="445">
        <f t="shared" si="213"/>
        <v>340126.55820000003</v>
      </c>
      <c r="BT543" s="442"/>
      <c r="BU543" s="443"/>
      <c r="BV543" s="444">
        <f t="shared" si="214"/>
        <v>0</v>
      </c>
      <c r="BW543" s="307">
        <v>10</v>
      </c>
      <c r="BX543" s="307">
        <v>49747.4</v>
      </c>
      <c r="BY543" s="449">
        <f t="shared" si="215"/>
        <v>407033.2268</v>
      </c>
    </row>
    <row r="544" spans="1:77" s="308" customFormat="1" ht="12.75" customHeight="1">
      <c r="A544" s="373" t="s">
        <v>309</v>
      </c>
      <c r="B544" s="374" t="s">
        <v>73</v>
      </c>
      <c r="C544" s="374"/>
      <c r="D544" s="375">
        <v>228802</v>
      </c>
      <c r="E544" s="323">
        <v>3</v>
      </c>
      <c r="F544" s="453">
        <v>57</v>
      </c>
      <c r="G544" s="454">
        <v>80620.68421052632</v>
      </c>
      <c r="H544" s="439">
        <f t="shared" si="192"/>
        <v>4595379</v>
      </c>
      <c r="I544" s="311">
        <v>53</v>
      </c>
      <c r="J544" s="311">
        <v>82754.094339622636</v>
      </c>
      <c r="K544" s="441">
        <f t="shared" si="193"/>
        <v>4385967</v>
      </c>
      <c r="L544" s="442">
        <v>59</v>
      </c>
      <c r="M544" s="443">
        <v>66211.728813559326</v>
      </c>
      <c r="N544" s="444">
        <f t="shared" si="194"/>
        <v>3906492.0000000005</v>
      </c>
      <c r="O544" s="307">
        <v>62</v>
      </c>
      <c r="P544" s="307">
        <v>65676.774193548394</v>
      </c>
      <c r="Q544" s="445">
        <f t="shared" si="195"/>
        <v>4071960.0000000005</v>
      </c>
      <c r="R544" s="442">
        <v>69</v>
      </c>
      <c r="S544" s="443">
        <v>58402.956521739128</v>
      </c>
      <c r="T544" s="444">
        <f t="shared" si="196"/>
        <v>4029804</v>
      </c>
      <c r="U544" s="307">
        <v>68</v>
      </c>
      <c r="V544" s="307">
        <v>60201.529411764706</v>
      </c>
      <c r="W544" s="441">
        <f t="shared" si="197"/>
        <v>4093704</v>
      </c>
      <c r="X544" s="442">
        <v>43</v>
      </c>
      <c r="Y544" s="443">
        <v>46959.069767441862</v>
      </c>
      <c r="Z544" s="444">
        <f t="shared" si="198"/>
        <v>2019240</v>
      </c>
      <c r="AA544" s="307">
        <v>42</v>
      </c>
      <c r="AB544" s="307">
        <v>46852.928571428572</v>
      </c>
      <c r="AC544" s="445">
        <f t="shared" si="199"/>
        <v>1967823</v>
      </c>
      <c r="AD544" s="442">
        <v>36</v>
      </c>
      <c r="AE544" s="443">
        <v>46632.833333333336</v>
      </c>
      <c r="AF544" s="444">
        <f t="shared" si="200"/>
        <v>1678782</v>
      </c>
      <c r="AG544" s="307">
        <v>37</v>
      </c>
      <c r="AH544" s="307">
        <v>47036.513513513513</v>
      </c>
      <c r="AI544" s="445">
        <f t="shared" si="201"/>
        <v>1740351</v>
      </c>
      <c r="AJ544" s="446"/>
      <c r="AK544" s="443"/>
      <c r="AL544" s="444">
        <f t="shared" si="202"/>
        <v>0</v>
      </c>
      <c r="AM544" s="307">
        <v>9</v>
      </c>
      <c r="AN544" s="307">
        <v>60510.666666666664</v>
      </c>
      <c r="AO544" s="447">
        <f t="shared" si="203"/>
        <v>544596</v>
      </c>
      <c r="AP544" s="448"/>
      <c r="AQ544" s="443"/>
      <c r="AR544" s="444">
        <f t="shared" si="204"/>
        <v>0</v>
      </c>
      <c r="AS544" s="307"/>
      <c r="AT544" s="307"/>
      <c r="AU544" s="441">
        <f t="shared" si="205"/>
        <v>0</v>
      </c>
      <c r="AV544" s="442"/>
      <c r="AW544" s="443"/>
      <c r="AX544" s="444">
        <f t="shared" si="206"/>
        <v>0</v>
      </c>
      <c r="AY544" s="307"/>
      <c r="AZ544" s="307"/>
      <c r="BA544" s="445">
        <f t="shared" si="207"/>
        <v>0</v>
      </c>
      <c r="BB544" s="442"/>
      <c r="BC544" s="443"/>
      <c r="BD544" s="444">
        <f t="shared" si="208"/>
        <v>0</v>
      </c>
      <c r="BE544" s="307"/>
      <c r="BF544" s="307"/>
      <c r="BG544" s="445">
        <f t="shared" si="209"/>
        <v>0</v>
      </c>
      <c r="BH544" s="442"/>
      <c r="BI544" s="443"/>
      <c r="BJ544" s="444">
        <f t="shared" si="210"/>
        <v>0</v>
      </c>
      <c r="BK544" s="307"/>
      <c r="BL544" s="307"/>
      <c r="BM544" s="445">
        <f t="shared" si="211"/>
        <v>0</v>
      </c>
      <c r="BN544" s="442"/>
      <c r="BO544" s="443"/>
      <c r="BP544" s="444">
        <f t="shared" si="212"/>
        <v>0</v>
      </c>
      <c r="BQ544" s="307"/>
      <c r="BR544" s="307"/>
      <c r="BS544" s="445">
        <f t="shared" si="213"/>
        <v>0</v>
      </c>
      <c r="BT544" s="442"/>
      <c r="BU544" s="443"/>
      <c r="BV544" s="444">
        <f t="shared" si="214"/>
        <v>0</v>
      </c>
      <c r="BW544" s="307"/>
      <c r="BX544" s="307"/>
      <c r="BY544" s="449">
        <f t="shared" si="215"/>
        <v>0</v>
      </c>
    </row>
    <row r="545" spans="1:77" s="308" customFormat="1" ht="12.75" customHeight="1">
      <c r="A545" s="373" t="s">
        <v>309</v>
      </c>
      <c r="B545" s="374" t="s">
        <v>74</v>
      </c>
      <c r="C545" s="374"/>
      <c r="D545" s="375">
        <v>227368</v>
      </c>
      <c r="E545" s="323">
        <v>3</v>
      </c>
      <c r="F545" s="453">
        <v>114</v>
      </c>
      <c r="G545" s="454">
        <v>88760.201754385969</v>
      </c>
      <c r="H545" s="439">
        <f t="shared" si="192"/>
        <v>10118663</v>
      </c>
      <c r="I545" s="311">
        <v>119</v>
      </c>
      <c r="J545" s="311">
        <v>88289.663865546216</v>
      </c>
      <c r="K545" s="441">
        <f t="shared" si="193"/>
        <v>10506470</v>
      </c>
      <c r="L545" s="442">
        <v>146</v>
      </c>
      <c r="M545" s="443">
        <v>70470.623287671231</v>
      </c>
      <c r="N545" s="444">
        <f t="shared" si="194"/>
        <v>10288711</v>
      </c>
      <c r="O545" s="307">
        <v>156</v>
      </c>
      <c r="P545" s="307">
        <v>69466.461538461532</v>
      </c>
      <c r="Q545" s="445">
        <f t="shared" si="195"/>
        <v>10836767.999999998</v>
      </c>
      <c r="R545" s="442">
        <v>212</v>
      </c>
      <c r="S545" s="443">
        <v>60594.367924528298</v>
      </c>
      <c r="T545" s="444">
        <f t="shared" si="196"/>
        <v>12846006</v>
      </c>
      <c r="U545" s="307">
        <v>200</v>
      </c>
      <c r="V545" s="307">
        <v>61253.52</v>
      </c>
      <c r="W545" s="441">
        <f t="shared" si="197"/>
        <v>12250704</v>
      </c>
      <c r="X545" s="442"/>
      <c r="Y545" s="443"/>
      <c r="Z545" s="444">
        <f t="shared" si="198"/>
        <v>0</v>
      </c>
      <c r="AA545" s="307"/>
      <c r="AB545" s="307"/>
      <c r="AC545" s="445">
        <f t="shared" si="199"/>
        <v>0</v>
      </c>
      <c r="AD545" s="442">
        <v>165</v>
      </c>
      <c r="AE545" s="443">
        <v>48936.557575757579</v>
      </c>
      <c r="AF545" s="444">
        <f t="shared" si="200"/>
        <v>8074532.0000000009</v>
      </c>
      <c r="AG545" s="307">
        <v>143</v>
      </c>
      <c r="AH545" s="307">
        <v>45810.3006993007</v>
      </c>
      <c r="AI545" s="445">
        <f t="shared" si="201"/>
        <v>6550873</v>
      </c>
      <c r="AJ545" s="446"/>
      <c r="AK545" s="443"/>
      <c r="AL545" s="444">
        <f t="shared" si="202"/>
        <v>0</v>
      </c>
      <c r="AM545" s="307">
        <v>20</v>
      </c>
      <c r="AN545" s="307">
        <v>66970.8</v>
      </c>
      <c r="AO545" s="447">
        <f t="shared" si="203"/>
        <v>1339416</v>
      </c>
      <c r="AP545" s="448">
        <v>1</v>
      </c>
      <c r="AQ545" s="443">
        <v>103159</v>
      </c>
      <c r="AR545" s="444">
        <f t="shared" si="204"/>
        <v>84404.693800000008</v>
      </c>
      <c r="AS545" s="307">
        <v>1</v>
      </c>
      <c r="AT545" s="307">
        <v>103159</v>
      </c>
      <c r="AU545" s="441">
        <f t="shared" si="205"/>
        <v>84404.693800000008</v>
      </c>
      <c r="AV545" s="442">
        <v>3</v>
      </c>
      <c r="AW545" s="443">
        <v>95491</v>
      </c>
      <c r="AX545" s="444">
        <f t="shared" si="206"/>
        <v>234392.20860000001</v>
      </c>
      <c r="AY545" s="307">
        <v>2</v>
      </c>
      <c r="AZ545" s="307">
        <v>86844</v>
      </c>
      <c r="BA545" s="445">
        <f t="shared" si="207"/>
        <v>142111.52160000001</v>
      </c>
      <c r="BB545" s="442">
        <v>2</v>
      </c>
      <c r="BC545" s="443">
        <v>73106.5</v>
      </c>
      <c r="BD545" s="444">
        <f t="shared" si="208"/>
        <v>119631.47660000001</v>
      </c>
      <c r="BE545" s="307"/>
      <c r="BF545" s="307"/>
      <c r="BG545" s="445">
        <f t="shared" si="209"/>
        <v>0</v>
      </c>
      <c r="BH545" s="442"/>
      <c r="BI545" s="443"/>
      <c r="BJ545" s="444">
        <f t="shared" si="210"/>
        <v>0</v>
      </c>
      <c r="BK545" s="307"/>
      <c r="BL545" s="307"/>
      <c r="BM545" s="445">
        <f t="shared" si="211"/>
        <v>0</v>
      </c>
      <c r="BN545" s="442">
        <v>12</v>
      </c>
      <c r="BO545" s="443">
        <v>86188.75</v>
      </c>
      <c r="BP545" s="444">
        <f t="shared" si="212"/>
        <v>846235.62300000002</v>
      </c>
      <c r="BQ545" s="307">
        <v>3</v>
      </c>
      <c r="BR545" s="307">
        <v>52666.666666666664</v>
      </c>
      <c r="BS545" s="445">
        <f t="shared" si="213"/>
        <v>129275.6</v>
      </c>
      <c r="BT545" s="442"/>
      <c r="BU545" s="443"/>
      <c r="BV545" s="444">
        <f t="shared" si="214"/>
        <v>0</v>
      </c>
      <c r="BW545" s="307">
        <v>13</v>
      </c>
      <c r="BX545" s="307">
        <v>80481.923076923078</v>
      </c>
      <c r="BY545" s="449">
        <f t="shared" si="215"/>
        <v>856054.02300000004</v>
      </c>
    </row>
    <row r="546" spans="1:77" s="308" customFormat="1" ht="12.75" customHeight="1">
      <c r="A546" s="373" t="s">
        <v>309</v>
      </c>
      <c r="B546" s="374" t="s">
        <v>737</v>
      </c>
      <c r="C546" s="374"/>
      <c r="D546" s="375">
        <v>229814</v>
      </c>
      <c r="E546" s="323">
        <v>3</v>
      </c>
      <c r="F546" s="453">
        <v>32</v>
      </c>
      <c r="G546" s="454">
        <v>79125.03125</v>
      </c>
      <c r="H546" s="439">
        <f t="shared" si="192"/>
        <v>2532001</v>
      </c>
      <c r="I546" s="311">
        <v>44</v>
      </c>
      <c r="J546" s="311">
        <v>75781.045454545456</v>
      </c>
      <c r="K546" s="441">
        <f t="shared" si="193"/>
        <v>3334366</v>
      </c>
      <c r="L546" s="442">
        <v>52</v>
      </c>
      <c r="M546" s="443">
        <v>63079.461538461539</v>
      </c>
      <c r="N546" s="444">
        <f t="shared" si="194"/>
        <v>3280132</v>
      </c>
      <c r="O546" s="307">
        <v>56</v>
      </c>
      <c r="P546" s="307">
        <v>63801.75</v>
      </c>
      <c r="Q546" s="445">
        <f t="shared" si="195"/>
        <v>3572898</v>
      </c>
      <c r="R546" s="442">
        <v>80</v>
      </c>
      <c r="S546" s="443">
        <v>59140.787499999999</v>
      </c>
      <c r="T546" s="444">
        <f t="shared" si="196"/>
        <v>4731263</v>
      </c>
      <c r="U546" s="307">
        <v>88</v>
      </c>
      <c r="V546" s="307">
        <v>58877.522727272728</v>
      </c>
      <c r="W546" s="441">
        <f t="shared" si="197"/>
        <v>5181222</v>
      </c>
      <c r="X546" s="442">
        <v>67</v>
      </c>
      <c r="Y546" s="443">
        <v>45654.970149253728</v>
      </c>
      <c r="Z546" s="444">
        <f t="shared" si="198"/>
        <v>3058883</v>
      </c>
      <c r="AA546" s="307">
        <v>74</v>
      </c>
      <c r="AB546" s="307">
        <v>46702.486486486487</v>
      </c>
      <c r="AC546" s="445">
        <f t="shared" si="199"/>
        <v>3455984</v>
      </c>
      <c r="AD546" s="442"/>
      <c r="AE546" s="443"/>
      <c r="AF546" s="444">
        <f t="shared" si="200"/>
        <v>0</v>
      </c>
      <c r="AG546" s="307"/>
      <c r="AH546" s="307"/>
      <c r="AI546" s="445">
        <f t="shared" si="201"/>
        <v>0</v>
      </c>
      <c r="AJ546" s="446"/>
      <c r="AK546" s="443"/>
      <c r="AL546" s="444">
        <f t="shared" si="202"/>
        <v>0</v>
      </c>
      <c r="AM546" s="307"/>
      <c r="AN546" s="307"/>
      <c r="AO546" s="447">
        <f t="shared" si="203"/>
        <v>0</v>
      </c>
      <c r="AP546" s="448">
        <v>4</v>
      </c>
      <c r="AQ546" s="443">
        <v>114755.75</v>
      </c>
      <c r="AR546" s="444">
        <f t="shared" si="204"/>
        <v>375572.61860000005</v>
      </c>
      <c r="AS546" s="307"/>
      <c r="AT546" s="307"/>
      <c r="AU546" s="441">
        <f t="shared" si="205"/>
        <v>0</v>
      </c>
      <c r="AV546" s="442">
        <v>9</v>
      </c>
      <c r="AW546" s="443">
        <v>86585.111111111109</v>
      </c>
      <c r="AX546" s="444">
        <f t="shared" si="206"/>
        <v>637595.4412</v>
      </c>
      <c r="AY546" s="307"/>
      <c r="AZ546" s="307"/>
      <c r="BA546" s="445">
        <f t="shared" si="207"/>
        <v>0</v>
      </c>
      <c r="BB546" s="442">
        <v>4</v>
      </c>
      <c r="BC546" s="443">
        <v>88719.25</v>
      </c>
      <c r="BD546" s="444">
        <f t="shared" si="208"/>
        <v>290360.36139999999</v>
      </c>
      <c r="BE546" s="307"/>
      <c r="BF546" s="307"/>
      <c r="BG546" s="445">
        <f t="shared" si="209"/>
        <v>0</v>
      </c>
      <c r="BH546" s="442">
        <v>3</v>
      </c>
      <c r="BI546" s="443">
        <v>62040</v>
      </c>
      <c r="BJ546" s="444">
        <f t="shared" si="210"/>
        <v>152283.38400000002</v>
      </c>
      <c r="BK546" s="307"/>
      <c r="BL546" s="307"/>
      <c r="BM546" s="445">
        <f t="shared" si="211"/>
        <v>0</v>
      </c>
      <c r="BN546" s="442"/>
      <c r="BO546" s="443"/>
      <c r="BP546" s="444">
        <f t="shared" si="212"/>
        <v>0</v>
      </c>
      <c r="BQ546" s="307"/>
      <c r="BR546" s="307"/>
      <c r="BS546" s="445">
        <f t="shared" si="213"/>
        <v>0</v>
      </c>
      <c r="BT546" s="442"/>
      <c r="BU546" s="443"/>
      <c r="BV546" s="444">
        <f t="shared" si="214"/>
        <v>0</v>
      </c>
      <c r="BW546" s="307"/>
      <c r="BX546" s="307"/>
      <c r="BY546" s="449">
        <f t="shared" si="215"/>
        <v>0</v>
      </c>
    </row>
    <row r="547" spans="1:77" s="308" customFormat="1" ht="12.75" customHeight="1">
      <c r="A547" s="373" t="s">
        <v>309</v>
      </c>
      <c r="B547" s="374" t="s">
        <v>738</v>
      </c>
      <c r="C547" s="374"/>
      <c r="D547" s="375">
        <v>224545</v>
      </c>
      <c r="E547" s="323">
        <v>4</v>
      </c>
      <c r="F547" s="453">
        <v>19</v>
      </c>
      <c r="G547" s="454">
        <v>75678.68421052632</v>
      </c>
      <c r="H547" s="439">
        <f t="shared" si="192"/>
        <v>1437895</v>
      </c>
      <c r="I547" s="311">
        <v>22</v>
      </c>
      <c r="J547" s="311">
        <v>78579.681818181823</v>
      </c>
      <c r="K547" s="441">
        <f t="shared" si="193"/>
        <v>1728753</v>
      </c>
      <c r="L547" s="442">
        <v>19</v>
      </c>
      <c r="M547" s="443">
        <v>61200.894736842107</v>
      </c>
      <c r="N547" s="444">
        <f t="shared" si="194"/>
        <v>1162817</v>
      </c>
      <c r="O547" s="307">
        <v>20</v>
      </c>
      <c r="P547" s="307">
        <v>62416.95</v>
      </c>
      <c r="Q547" s="445">
        <f t="shared" si="195"/>
        <v>1248339</v>
      </c>
      <c r="R547" s="442">
        <v>12</v>
      </c>
      <c r="S547" s="443">
        <v>58791.083333333336</v>
      </c>
      <c r="T547" s="444">
        <f t="shared" si="196"/>
        <v>705493</v>
      </c>
      <c r="U547" s="307">
        <v>11</v>
      </c>
      <c r="V547" s="307">
        <v>61342.727272727272</v>
      </c>
      <c r="W547" s="441">
        <f t="shared" si="197"/>
        <v>674770</v>
      </c>
      <c r="X547" s="442">
        <v>4</v>
      </c>
      <c r="Y547" s="443">
        <v>52074.75</v>
      </c>
      <c r="Z547" s="444">
        <f t="shared" si="198"/>
        <v>208299</v>
      </c>
      <c r="AA547" s="307">
        <v>3</v>
      </c>
      <c r="AB547" s="307">
        <v>49681.333333333336</v>
      </c>
      <c r="AC547" s="445">
        <f t="shared" si="199"/>
        <v>149044</v>
      </c>
      <c r="AD547" s="442"/>
      <c r="AE547" s="443"/>
      <c r="AF547" s="444">
        <f t="shared" si="200"/>
        <v>0</v>
      </c>
      <c r="AG547" s="307"/>
      <c r="AH547" s="307"/>
      <c r="AI547" s="445">
        <f t="shared" si="201"/>
        <v>0</v>
      </c>
      <c r="AJ547" s="446"/>
      <c r="AK547" s="443"/>
      <c r="AL547" s="444">
        <f t="shared" si="202"/>
        <v>0</v>
      </c>
      <c r="AM547" s="307"/>
      <c r="AN547" s="307"/>
      <c r="AO547" s="447">
        <f t="shared" si="203"/>
        <v>0</v>
      </c>
      <c r="AP547" s="448">
        <v>6</v>
      </c>
      <c r="AQ547" s="443">
        <v>132878.16666666666</v>
      </c>
      <c r="AR547" s="444">
        <f t="shared" si="204"/>
        <v>652325.49580000003</v>
      </c>
      <c r="AS547" s="307">
        <v>4</v>
      </c>
      <c r="AT547" s="307">
        <v>129985</v>
      </c>
      <c r="AU547" s="441">
        <f t="shared" si="205"/>
        <v>425414.908</v>
      </c>
      <c r="AV547" s="442">
        <v>1</v>
      </c>
      <c r="AW547" s="443">
        <v>105942</v>
      </c>
      <c r="AX547" s="444">
        <f t="shared" si="206"/>
        <v>86681.744400000011</v>
      </c>
      <c r="AY547" s="307"/>
      <c r="AZ547" s="307"/>
      <c r="BA547" s="445">
        <f t="shared" si="207"/>
        <v>0</v>
      </c>
      <c r="BB547" s="442">
        <v>1</v>
      </c>
      <c r="BC547" s="443">
        <v>72988</v>
      </c>
      <c r="BD547" s="444">
        <f t="shared" si="208"/>
        <v>59718.781600000002</v>
      </c>
      <c r="BE547" s="307"/>
      <c r="BF547" s="307"/>
      <c r="BG547" s="445">
        <f t="shared" si="209"/>
        <v>0</v>
      </c>
      <c r="BH547" s="442">
        <v>2</v>
      </c>
      <c r="BI547" s="443">
        <v>64922.5</v>
      </c>
      <c r="BJ547" s="444">
        <f t="shared" si="210"/>
        <v>106239.179</v>
      </c>
      <c r="BK547" s="307">
        <v>2</v>
      </c>
      <c r="BL547" s="307">
        <v>59250</v>
      </c>
      <c r="BM547" s="445">
        <f t="shared" si="211"/>
        <v>96956.700000000012</v>
      </c>
      <c r="BN547" s="442"/>
      <c r="BO547" s="443"/>
      <c r="BP547" s="444">
        <f t="shared" si="212"/>
        <v>0</v>
      </c>
      <c r="BQ547" s="307"/>
      <c r="BR547" s="307"/>
      <c r="BS547" s="445">
        <f t="shared" si="213"/>
        <v>0</v>
      </c>
      <c r="BT547" s="442"/>
      <c r="BU547" s="443"/>
      <c r="BV547" s="444">
        <f t="shared" si="214"/>
        <v>0</v>
      </c>
      <c r="BW547" s="307"/>
      <c r="BX547" s="307"/>
      <c r="BY547" s="449">
        <f t="shared" si="215"/>
        <v>0</v>
      </c>
    </row>
    <row r="548" spans="1:77" s="308" customFormat="1" ht="12.75" customHeight="1">
      <c r="A548" s="373" t="s">
        <v>309</v>
      </c>
      <c r="B548" s="383" t="s">
        <v>79</v>
      </c>
      <c r="C548" s="374"/>
      <c r="D548" s="375">
        <v>225502</v>
      </c>
      <c r="E548" s="323">
        <v>4</v>
      </c>
      <c r="F548" s="453">
        <v>19</v>
      </c>
      <c r="G548" s="454">
        <v>88952.631578947374</v>
      </c>
      <c r="H548" s="439">
        <f t="shared" si="192"/>
        <v>1690100</v>
      </c>
      <c r="I548" s="311">
        <v>22</v>
      </c>
      <c r="J548" s="311">
        <v>90521.227272727279</v>
      </c>
      <c r="K548" s="441">
        <f t="shared" si="193"/>
        <v>1991467.0000000002</v>
      </c>
      <c r="L548" s="442">
        <v>31</v>
      </c>
      <c r="M548" s="443">
        <v>76280.838709677424</v>
      </c>
      <c r="N548" s="444">
        <f t="shared" si="194"/>
        <v>2364706</v>
      </c>
      <c r="O548" s="307">
        <v>33</v>
      </c>
      <c r="P548" s="307">
        <v>78638.333333333328</v>
      </c>
      <c r="Q548" s="445">
        <f t="shared" si="195"/>
        <v>2595065</v>
      </c>
      <c r="R548" s="442">
        <v>37</v>
      </c>
      <c r="S548" s="443">
        <v>67459.027027027027</v>
      </c>
      <c r="T548" s="444">
        <f t="shared" si="196"/>
        <v>2495984</v>
      </c>
      <c r="U548" s="307">
        <v>38</v>
      </c>
      <c r="V548" s="307">
        <v>68734.263157894733</v>
      </c>
      <c r="W548" s="441">
        <f t="shared" si="197"/>
        <v>2611902</v>
      </c>
      <c r="X548" s="442">
        <v>4</v>
      </c>
      <c r="Y548" s="443">
        <v>40589.25</v>
      </c>
      <c r="Z548" s="444">
        <f t="shared" si="198"/>
        <v>162357</v>
      </c>
      <c r="AA548" s="307">
        <v>6</v>
      </c>
      <c r="AB548" s="307">
        <v>42768.5</v>
      </c>
      <c r="AC548" s="445">
        <f t="shared" si="199"/>
        <v>256611</v>
      </c>
      <c r="AD548" s="442">
        <v>10</v>
      </c>
      <c r="AE548" s="443">
        <v>60874.7</v>
      </c>
      <c r="AF548" s="444">
        <f t="shared" si="200"/>
        <v>608747</v>
      </c>
      <c r="AG548" s="307"/>
      <c r="AH548" s="307"/>
      <c r="AI548" s="445">
        <f t="shared" si="201"/>
        <v>0</v>
      </c>
      <c r="AJ548" s="446"/>
      <c r="AK548" s="443"/>
      <c r="AL548" s="444">
        <f t="shared" si="202"/>
        <v>0</v>
      </c>
      <c r="AM548" s="307">
        <v>13</v>
      </c>
      <c r="AN548" s="307">
        <v>59072.076923076922</v>
      </c>
      <c r="AO548" s="447">
        <f t="shared" si="203"/>
        <v>767937</v>
      </c>
      <c r="AP548" s="448">
        <v>3</v>
      </c>
      <c r="AQ548" s="443">
        <v>138231.33333333334</v>
      </c>
      <c r="AR548" s="444">
        <f t="shared" si="204"/>
        <v>339302.63080000004</v>
      </c>
      <c r="AS548" s="307">
        <v>4</v>
      </c>
      <c r="AT548" s="307">
        <v>144598.5</v>
      </c>
      <c r="AU548" s="441">
        <f t="shared" si="205"/>
        <v>473241.97080000001</v>
      </c>
      <c r="AV548" s="442">
        <v>1</v>
      </c>
      <c r="AW548" s="443">
        <v>130727</v>
      </c>
      <c r="AX548" s="444">
        <f t="shared" si="206"/>
        <v>106960.83140000001</v>
      </c>
      <c r="AY548" s="307"/>
      <c r="AZ548" s="307"/>
      <c r="BA548" s="445">
        <f t="shared" si="207"/>
        <v>0</v>
      </c>
      <c r="BB548" s="442"/>
      <c r="BC548" s="443"/>
      <c r="BD548" s="444">
        <f t="shared" si="208"/>
        <v>0</v>
      </c>
      <c r="BE548" s="307"/>
      <c r="BF548" s="307"/>
      <c r="BG548" s="445">
        <f t="shared" si="209"/>
        <v>0</v>
      </c>
      <c r="BH548" s="442"/>
      <c r="BI548" s="443"/>
      <c r="BJ548" s="444">
        <f t="shared" si="210"/>
        <v>0</v>
      </c>
      <c r="BK548" s="307"/>
      <c r="BL548" s="307"/>
      <c r="BM548" s="445">
        <f t="shared" si="211"/>
        <v>0</v>
      </c>
      <c r="BN548" s="442"/>
      <c r="BO548" s="443"/>
      <c r="BP548" s="444">
        <f t="shared" si="212"/>
        <v>0</v>
      </c>
      <c r="BQ548" s="307"/>
      <c r="BR548" s="307"/>
      <c r="BS548" s="445">
        <f t="shared" si="213"/>
        <v>0</v>
      </c>
      <c r="BT548" s="442"/>
      <c r="BU548" s="443"/>
      <c r="BV548" s="444">
        <f t="shared" si="214"/>
        <v>0</v>
      </c>
      <c r="BW548" s="307"/>
      <c r="BX548" s="307"/>
      <c r="BY548" s="449">
        <f t="shared" si="215"/>
        <v>0</v>
      </c>
    </row>
    <row r="549" spans="1:77" s="308" customFormat="1" ht="12.75" customHeight="1">
      <c r="A549" s="373" t="s">
        <v>309</v>
      </c>
      <c r="B549" s="383" t="s">
        <v>76</v>
      </c>
      <c r="C549" s="555" t="s">
        <v>1134</v>
      </c>
      <c r="D549" s="375">
        <v>229018</v>
      </c>
      <c r="E549" s="323">
        <v>4</v>
      </c>
      <c r="F549" s="453">
        <v>21</v>
      </c>
      <c r="G549" s="454">
        <v>80416.904761904763</v>
      </c>
      <c r="H549" s="439">
        <f t="shared" si="192"/>
        <v>1688755</v>
      </c>
      <c r="I549" s="311">
        <v>22</v>
      </c>
      <c r="J549" s="311">
        <v>85449.272727272721</v>
      </c>
      <c r="K549" s="441">
        <f t="shared" si="193"/>
        <v>1879883.9999999998</v>
      </c>
      <c r="L549" s="442">
        <v>34</v>
      </c>
      <c r="M549" s="443">
        <v>68311.088235294112</v>
      </c>
      <c r="N549" s="444">
        <f t="shared" si="194"/>
        <v>2322577</v>
      </c>
      <c r="O549" s="307">
        <v>39</v>
      </c>
      <c r="P549" s="307">
        <v>64714.871794871797</v>
      </c>
      <c r="Q549" s="445">
        <f t="shared" si="195"/>
        <v>2523880</v>
      </c>
      <c r="R549" s="442">
        <v>35</v>
      </c>
      <c r="S549" s="443">
        <v>60623.771428571432</v>
      </c>
      <c r="T549" s="444">
        <f t="shared" si="196"/>
        <v>2121832</v>
      </c>
      <c r="U549" s="307">
        <v>37</v>
      </c>
      <c r="V549" s="307">
        <v>59876.324324324327</v>
      </c>
      <c r="W549" s="441">
        <f t="shared" si="197"/>
        <v>2215424</v>
      </c>
      <c r="X549" s="442"/>
      <c r="Y549" s="443"/>
      <c r="Z549" s="444">
        <f t="shared" si="198"/>
        <v>0</v>
      </c>
      <c r="AA549" s="307"/>
      <c r="AB549" s="307"/>
      <c r="AC549" s="445">
        <f t="shared" si="199"/>
        <v>0</v>
      </c>
      <c r="AD549" s="442">
        <v>29</v>
      </c>
      <c r="AE549" s="443">
        <v>41579.482758620688</v>
      </c>
      <c r="AF549" s="444">
        <f t="shared" si="200"/>
        <v>1205805</v>
      </c>
      <c r="AG549" s="307">
        <v>39</v>
      </c>
      <c r="AH549" s="307">
        <v>42076.205128205125</v>
      </c>
      <c r="AI549" s="445">
        <f t="shared" si="201"/>
        <v>1640972</v>
      </c>
      <c r="AJ549" s="446"/>
      <c r="AK549" s="443"/>
      <c r="AL549" s="444">
        <f t="shared" si="202"/>
        <v>0</v>
      </c>
      <c r="AM549" s="307"/>
      <c r="AN549" s="307"/>
      <c r="AO549" s="447">
        <f t="shared" si="203"/>
        <v>0</v>
      </c>
      <c r="AP549" s="448"/>
      <c r="AQ549" s="443"/>
      <c r="AR549" s="444">
        <f t="shared" si="204"/>
        <v>0</v>
      </c>
      <c r="AS549" s="307"/>
      <c r="AT549" s="307"/>
      <c r="AU549" s="441">
        <f t="shared" si="205"/>
        <v>0</v>
      </c>
      <c r="AV549" s="442"/>
      <c r="AW549" s="443"/>
      <c r="AX549" s="444">
        <f t="shared" si="206"/>
        <v>0</v>
      </c>
      <c r="AY549" s="307"/>
      <c r="AZ549" s="307"/>
      <c r="BA549" s="445">
        <f t="shared" si="207"/>
        <v>0</v>
      </c>
      <c r="BB549" s="442"/>
      <c r="BC549" s="443"/>
      <c r="BD549" s="444">
        <f t="shared" si="208"/>
        <v>0</v>
      </c>
      <c r="BE549" s="307"/>
      <c r="BF549" s="307"/>
      <c r="BG549" s="445">
        <f t="shared" si="209"/>
        <v>0</v>
      </c>
      <c r="BH549" s="442"/>
      <c r="BI549" s="443"/>
      <c r="BJ549" s="444">
        <f t="shared" si="210"/>
        <v>0</v>
      </c>
      <c r="BK549" s="307"/>
      <c r="BL549" s="307"/>
      <c r="BM549" s="445">
        <f t="shared" si="211"/>
        <v>0</v>
      </c>
      <c r="BN549" s="442"/>
      <c r="BO549" s="443"/>
      <c r="BP549" s="444">
        <f t="shared" si="212"/>
        <v>0</v>
      </c>
      <c r="BQ549" s="307"/>
      <c r="BR549" s="307"/>
      <c r="BS549" s="445">
        <f t="shared" si="213"/>
        <v>0</v>
      </c>
      <c r="BT549" s="442"/>
      <c r="BU549" s="443"/>
      <c r="BV549" s="444">
        <f t="shared" si="214"/>
        <v>0</v>
      </c>
      <c r="BW549" s="307"/>
      <c r="BX549" s="307"/>
      <c r="BY549" s="449">
        <f t="shared" si="215"/>
        <v>0</v>
      </c>
    </row>
    <row r="550" spans="1:77" s="308" customFormat="1" ht="12.75" customHeight="1">
      <c r="A550" s="373" t="s">
        <v>309</v>
      </c>
      <c r="B550" s="374" t="s">
        <v>77</v>
      </c>
      <c r="C550" s="374"/>
      <c r="D550" s="375" t="s">
        <v>739</v>
      </c>
      <c r="E550" s="323">
        <v>5</v>
      </c>
      <c r="F550" s="453"/>
      <c r="G550" s="454"/>
      <c r="H550" s="439">
        <f t="shared" si="192"/>
        <v>0</v>
      </c>
      <c r="I550" s="311"/>
      <c r="J550" s="311"/>
      <c r="K550" s="441">
        <f t="shared" si="193"/>
        <v>0</v>
      </c>
      <c r="L550" s="442"/>
      <c r="M550" s="443"/>
      <c r="N550" s="444">
        <f t="shared" si="194"/>
        <v>0</v>
      </c>
      <c r="O550" s="307"/>
      <c r="P550" s="307"/>
      <c r="Q550" s="445">
        <f t="shared" si="195"/>
        <v>0</v>
      </c>
      <c r="R550" s="442"/>
      <c r="S550" s="443"/>
      <c r="T550" s="444">
        <f t="shared" si="196"/>
        <v>0</v>
      </c>
      <c r="U550" s="307"/>
      <c r="V550" s="307"/>
      <c r="W550" s="441">
        <f t="shared" si="197"/>
        <v>0</v>
      </c>
      <c r="X550" s="442"/>
      <c r="Y550" s="443"/>
      <c r="Z550" s="444">
        <f t="shared" si="198"/>
        <v>0</v>
      </c>
      <c r="AA550" s="307"/>
      <c r="AB550" s="307"/>
      <c r="AC550" s="445">
        <f t="shared" si="199"/>
        <v>0</v>
      </c>
      <c r="AD550" s="442"/>
      <c r="AE550" s="443"/>
      <c r="AF550" s="444">
        <f t="shared" si="200"/>
        <v>0</v>
      </c>
      <c r="AG550" s="307"/>
      <c r="AH550" s="307"/>
      <c r="AI550" s="445">
        <f t="shared" si="201"/>
        <v>0</v>
      </c>
      <c r="AJ550" s="446"/>
      <c r="AK550" s="443"/>
      <c r="AL550" s="444">
        <f t="shared" si="202"/>
        <v>0</v>
      </c>
      <c r="AM550" s="307"/>
      <c r="AN550" s="307"/>
      <c r="AO550" s="447">
        <f t="shared" si="203"/>
        <v>0</v>
      </c>
      <c r="AP550" s="448"/>
      <c r="AQ550" s="443"/>
      <c r="AR550" s="444">
        <f t="shared" si="204"/>
        <v>0</v>
      </c>
      <c r="AS550" s="307"/>
      <c r="AT550" s="307"/>
      <c r="AU550" s="441">
        <f t="shared" si="205"/>
        <v>0</v>
      </c>
      <c r="AV550" s="442"/>
      <c r="AW550" s="443"/>
      <c r="AX550" s="444">
        <f t="shared" si="206"/>
        <v>0</v>
      </c>
      <c r="AY550" s="307"/>
      <c r="AZ550" s="307"/>
      <c r="BA550" s="445">
        <f t="shared" si="207"/>
        <v>0</v>
      </c>
      <c r="BB550" s="442"/>
      <c r="BC550" s="443"/>
      <c r="BD550" s="444">
        <f t="shared" si="208"/>
        <v>0</v>
      </c>
      <c r="BE550" s="307"/>
      <c r="BF550" s="307"/>
      <c r="BG550" s="445">
        <f t="shared" si="209"/>
        <v>0</v>
      </c>
      <c r="BH550" s="442"/>
      <c r="BI550" s="443"/>
      <c r="BJ550" s="444">
        <f t="shared" si="210"/>
        <v>0</v>
      </c>
      <c r="BK550" s="307"/>
      <c r="BL550" s="307"/>
      <c r="BM550" s="445">
        <f t="shared" si="211"/>
        <v>0</v>
      </c>
      <c r="BN550" s="442"/>
      <c r="BO550" s="443"/>
      <c r="BP550" s="444">
        <f t="shared" si="212"/>
        <v>0</v>
      </c>
      <c r="BQ550" s="307"/>
      <c r="BR550" s="307"/>
      <c r="BS550" s="445">
        <f t="shared" si="213"/>
        <v>0</v>
      </c>
      <c r="BT550" s="442"/>
      <c r="BU550" s="443"/>
      <c r="BV550" s="444">
        <f t="shared" si="214"/>
        <v>0</v>
      </c>
      <c r="BW550" s="307"/>
      <c r="BX550" s="307"/>
      <c r="BY550" s="449">
        <f t="shared" si="215"/>
        <v>0</v>
      </c>
    </row>
    <row r="551" spans="1:77" s="308" customFormat="1" ht="12.75" customHeight="1">
      <c r="A551" s="373" t="s">
        <v>309</v>
      </c>
      <c r="B551" s="374" t="s">
        <v>78</v>
      </c>
      <c r="C551" s="374"/>
      <c r="D551" s="375">
        <v>225432</v>
      </c>
      <c r="E551" s="323">
        <v>5</v>
      </c>
      <c r="F551" s="453">
        <v>41</v>
      </c>
      <c r="G551" s="454">
        <v>84993.195121951227</v>
      </c>
      <c r="H551" s="439">
        <f t="shared" si="192"/>
        <v>3484721.0000000005</v>
      </c>
      <c r="I551" s="311">
        <v>44</v>
      </c>
      <c r="J551" s="311">
        <v>88609.636363636368</v>
      </c>
      <c r="K551" s="441">
        <f t="shared" si="193"/>
        <v>3898824</v>
      </c>
      <c r="L551" s="442">
        <v>80</v>
      </c>
      <c r="M551" s="443">
        <v>67245.2</v>
      </c>
      <c r="N551" s="444">
        <f t="shared" si="194"/>
        <v>5379616</v>
      </c>
      <c r="O551" s="307">
        <v>88</v>
      </c>
      <c r="P551" s="307">
        <v>69842.886363636368</v>
      </c>
      <c r="Q551" s="445">
        <f t="shared" si="195"/>
        <v>6146174</v>
      </c>
      <c r="R551" s="442">
        <v>94</v>
      </c>
      <c r="S551" s="443">
        <v>55980.776595744683</v>
      </c>
      <c r="T551" s="444">
        <f t="shared" si="196"/>
        <v>5262193</v>
      </c>
      <c r="U551" s="307">
        <v>97</v>
      </c>
      <c r="V551" s="307">
        <v>57375.247422680412</v>
      </c>
      <c r="W551" s="441">
        <f t="shared" si="197"/>
        <v>5565399</v>
      </c>
      <c r="X551" s="442">
        <v>8</v>
      </c>
      <c r="Y551" s="443">
        <v>56084.875</v>
      </c>
      <c r="Z551" s="444">
        <f t="shared" si="198"/>
        <v>448679</v>
      </c>
      <c r="AA551" s="307">
        <v>7</v>
      </c>
      <c r="AB551" s="307">
        <v>63118.142857142855</v>
      </c>
      <c r="AC551" s="445">
        <f t="shared" si="199"/>
        <v>441827</v>
      </c>
      <c r="AD551" s="442">
        <v>53</v>
      </c>
      <c r="AE551" s="443">
        <v>45580.792452830188</v>
      </c>
      <c r="AF551" s="444">
        <f t="shared" si="200"/>
        <v>2415782</v>
      </c>
      <c r="AG551" s="307">
        <v>33</v>
      </c>
      <c r="AH551" s="307">
        <v>46785.818181818184</v>
      </c>
      <c r="AI551" s="445">
        <f t="shared" si="201"/>
        <v>1543932</v>
      </c>
      <c r="AJ551" s="446"/>
      <c r="AK551" s="443"/>
      <c r="AL551" s="444">
        <f t="shared" si="202"/>
        <v>0</v>
      </c>
      <c r="AM551" s="307">
        <v>7</v>
      </c>
      <c r="AN551" s="307">
        <v>51095.714285714283</v>
      </c>
      <c r="AO551" s="447">
        <f t="shared" si="203"/>
        <v>357670</v>
      </c>
      <c r="AP551" s="448">
        <v>5</v>
      </c>
      <c r="AQ551" s="443">
        <v>108519.2</v>
      </c>
      <c r="AR551" s="444">
        <f t="shared" si="204"/>
        <v>443952.04720000003</v>
      </c>
      <c r="AS551" s="307">
        <v>5</v>
      </c>
      <c r="AT551" s="307">
        <v>113306.8</v>
      </c>
      <c r="AU551" s="441">
        <f t="shared" si="205"/>
        <v>463538.1188</v>
      </c>
      <c r="AV551" s="442">
        <v>6</v>
      </c>
      <c r="AW551" s="443">
        <v>97556.666666666672</v>
      </c>
      <c r="AX551" s="444">
        <f t="shared" si="206"/>
        <v>478925.18800000002</v>
      </c>
      <c r="AY551" s="307">
        <v>6</v>
      </c>
      <c r="AZ551" s="307">
        <v>100680.5</v>
      </c>
      <c r="BA551" s="445">
        <f t="shared" si="207"/>
        <v>494260.71060000005</v>
      </c>
      <c r="BB551" s="442"/>
      <c r="BC551" s="443"/>
      <c r="BD551" s="444">
        <f t="shared" si="208"/>
        <v>0</v>
      </c>
      <c r="BE551" s="307"/>
      <c r="BF551" s="307"/>
      <c r="BG551" s="445">
        <f t="shared" si="209"/>
        <v>0</v>
      </c>
      <c r="BH551" s="442"/>
      <c r="BI551" s="443"/>
      <c r="BJ551" s="444">
        <f t="shared" si="210"/>
        <v>0</v>
      </c>
      <c r="BK551" s="307"/>
      <c r="BL551" s="307"/>
      <c r="BM551" s="445">
        <f t="shared" si="211"/>
        <v>0</v>
      </c>
      <c r="BN551" s="442">
        <v>3</v>
      </c>
      <c r="BO551" s="443">
        <v>79063</v>
      </c>
      <c r="BP551" s="444">
        <f t="shared" si="212"/>
        <v>194068.0398</v>
      </c>
      <c r="BQ551" s="307">
        <v>2</v>
      </c>
      <c r="BR551" s="307">
        <v>83984.5</v>
      </c>
      <c r="BS551" s="445">
        <f t="shared" si="213"/>
        <v>137432.23579999999</v>
      </c>
      <c r="BT551" s="442"/>
      <c r="BU551" s="443"/>
      <c r="BV551" s="444">
        <f t="shared" si="214"/>
        <v>0</v>
      </c>
      <c r="BW551" s="307">
        <v>2</v>
      </c>
      <c r="BX551" s="307">
        <v>100000</v>
      </c>
      <c r="BY551" s="449">
        <f t="shared" si="215"/>
        <v>163640</v>
      </c>
    </row>
    <row r="552" spans="1:77" s="308" customFormat="1" ht="12.75" customHeight="1">
      <c r="A552" s="373" t="s">
        <v>309</v>
      </c>
      <c r="B552" s="374" t="s">
        <v>740</v>
      </c>
      <c r="C552" s="374"/>
      <c r="D552" s="375">
        <v>228714</v>
      </c>
      <c r="E552" s="323">
        <v>6</v>
      </c>
      <c r="F552" s="453">
        <v>16</v>
      </c>
      <c r="G552" s="454">
        <v>93543.25</v>
      </c>
      <c r="H552" s="439">
        <f t="shared" si="192"/>
        <v>1496692</v>
      </c>
      <c r="I552" s="311">
        <v>18</v>
      </c>
      <c r="J552" s="311">
        <v>91882.611111111109</v>
      </c>
      <c r="K552" s="441">
        <f t="shared" si="193"/>
        <v>1653887</v>
      </c>
      <c r="L552" s="442">
        <v>17</v>
      </c>
      <c r="M552" s="443">
        <v>72108.176470588238</v>
      </c>
      <c r="N552" s="444">
        <f t="shared" si="194"/>
        <v>1225839</v>
      </c>
      <c r="O552" s="307">
        <v>14</v>
      </c>
      <c r="P552" s="307">
        <v>66528.928571428565</v>
      </c>
      <c r="Q552" s="445">
        <f t="shared" si="195"/>
        <v>931404.99999999988</v>
      </c>
      <c r="R552" s="442">
        <v>16</v>
      </c>
      <c r="S552" s="443">
        <v>64649.125</v>
      </c>
      <c r="T552" s="444">
        <f t="shared" si="196"/>
        <v>1034386</v>
      </c>
      <c r="U552" s="307">
        <v>17</v>
      </c>
      <c r="V552" s="307">
        <v>64242.76470588235</v>
      </c>
      <c r="W552" s="441">
        <f t="shared" si="197"/>
        <v>1092127</v>
      </c>
      <c r="X552" s="442"/>
      <c r="Y552" s="443"/>
      <c r="Z552" s="444">
        <f t="shared" si="198"/>
        <v>0</v>
      </c>
      <c r="AA552" s="307"/>
      <c r="AB552" s="307"/>
      <c r="AC552" s="445">
        <f t="shared" si="199"/>
        <v>0</v>
      </c>
      <c r="AD552" s="442">
        <v>29</v>
      </c>
      <c r="AE552" s="443">
        <v>48966.896551724138</v>
      </c>
      <c r="AF552" s="444">
        <f t="shared" si="200"/>
        <v>1420040</v>
      </c>
      <c r="AG552" s="307">
        <v>32</v>
      </c>
      <c r="AH552" s="307">
        <v>46695.9375</v>
      </c>
      <c r="AI552" s="445">
        <f t="shared" si="201"/>
        <v>1494270</v>
      </c>
      <c r="AJ552" s="446"/>
      <c r="AK552" s="443"/>
      <c r="AL552" s="444">
        <f t="shared" si="202"/>
        <v>0</v>
      </c>
      <c r="AM552" s="307"/>
      <c r="AN552" s="307"/>
      <c r="AO552" s="447">
        <f t="shared" si="203"/>
        <v>0</v>
      </c>
      <c r="AP552" s="448">
        <v>6</v>
      </c>
      <c r="AQ552" s="443">
        <v>136915</v>
      </c>
      <c r="AR552" s="444">
        <f t="shared" si="204"/>
        <v>672143.11800000002</v>
      </c>
      <c r="AS552" s="307">
        <v>6</v>
      </c>
      <c r="AT552" s="307">
        <v>142719.33333333334</v>
      </c>
      <c r="AU552" s="441">
        <f t="shared" si="205"/>
        <v>700637.75120000006</v>
      </c>
      <c r="AV552" s="442"/>
      <c r="AW552" s="443"/>
      <c r="AX552" s="444">
        <f t="shared" si="206"/>
        <v>0</v>
      </c>
      <c r="AY552" s="307"/>
      <c r="AZ552" s="307"/>
      <c r="BA552" s="445">
        <f t="shared" si="207"/>
        <v>0</v>
      </c>
      <c r="BB552" s="442"/>
      <c r="BC552" s="443"/>
      <c r="BD552" s="444">
        <f t="shared" si="208"/>
        <v>0</v>
      </c>
      <c r="BE552" s="307">
        <v>1</v>
      </c>
      <c r="BF552" s="307">
        <v>113334</v>
      </c>
      <c r="BG552" s="445">
        <f t="shared" si="209"/>
        <v>92729.878800000006</v>
      </c>
      <c r="BH552" s="442"/>
      <c r="BI552" s="443"/>
      <c r="BJ552" s="444">
        <f t="shared" si="210"/>
        <v>0</v>
      </c>
      <c r="BK552" s="307"/>
      <c r="BL552" s="307"/>
      <c r="BM552" s="445">
        <f t="shared" si="211"/>
        <v>0</v>
      </c>
      <c r="BN552" s="442">
        <v>11</v>
      </c>
      <c r="BO552" s="443">
        <v>66122.909090909088</v>
      </c>
      <c r="BP552" s="444">
        <f t="shared" si="212"/>
        <v>595119.40639999998</v>
      </c>
      <c r="BQ552" s="307">
        <v>12</v>
      </c>
      <c r="BR552" s="307">
        <v>66546.75</v>
      </c>
      <c r="BS552" s="445">
        <f t="shared" si="213"/>
        <v>653382.6102</v>
      </c>
      <c r="BT552" s="442"/>
      <c r="BU552" s="443"/>
      <c r="BV552" s="444">
        <f t="shared" si="214"/>
        <v>0</v>
      </c>
      <c r="BW552" s="307"/>
      <c r="BX552" s="307"/>
      <c r="BY552" s="449">
        <f t="shared" si="215"/>
        <v>0</v>
      </c>
    </row>
    <row r="553" spans="1:77" s="308" customFormat="1" ht="12.75" customHeight="1">
      <c r="A553" s="373" t="s">
        <v>309</v>
      </c>
      <c r="B553" s="377" t="s">
        <v>99</v>
      </c>
      <c r="C553" s="377"/>
      <c r="D553" s="375">
        <v>223506</v>
      </c>
      <c r="E553" s="323">
        <v>7</v>
      </c>
      <c r="F553" s="453"/>
      <c r="G553" s="454"/>
      <c r="H553" s="439">
        <f t="shared" si="192"/>
        <v>0</v>
      </c>
      <c r="I553" s="311">
        <v>2</v>
      </c>
      <c r="J553" s="311">
        <v>73896</v>
      </c>
      <c r="K553" s="441">
        <f t="shared" si="193"/>
        <v>147792</v>
      </c>
      <c r="L553" s="442">
        <v>17</v>
      </c>
      <c r="M553" s="443">
        <v>50604</v>
      </c>
      <c r="N553" s="444">
        <f t="shared" si="194"/>
        <v>860268</v>
      </c>
      <c r="O553" s="307">
        <v>17</v>
      </c>
      <c r="P553" s="307">
        <v>51748.941176470587</v>
      </c>
      <c r="Q553" s="445">
        <f t="shared" si="195"/>
        <v>879732</v>
      </c>
      <c r="R553" s="442">
        <v>29</v>
      </c>
      <c r="S553" s="443">
        <v>47145.379310344826</v>
      </c>
      <c r="T553" s="444">
        <f t="shared" si="196"/>
        <v>1367216</v>
      </c>
      <c r="U553" s="307">
        <v>24</v>
      </c>
      <c r="V553" s="307">
        <v>47941.291666666664</v>
      </c>
      <c r="W553" s="441">
        <f t="shared" si="197"/>
        <v>1150591</v>
      </c>
      <c r="X553" s="442">
        <v>13</v>
      </c>
      <c r="Y553" s="443">
        <v>40915.846153846156</v>
      </c>
      <c r="Z553" s="444">
        <f t="shared" si="198"/>
        <v>531906</v>
      </c>
      <c r="AA553" s="307">
        <v>11</v>
      </c>
      <c r="AB553" s="307">
        <v>41401.454545454544</v>
      </c>
      <c r="AC553" s="445">
        <f t="shared" si="199"/>
        <v>455416</v>
      </c>
      <c r="AD553" s="442"/>
      <c r="AE553" s="443"/>
      <c r="AF553" s="444">
        <f t="shared" si="200"/>
        <v>0</v>
      </c>
      <c r="AG553" s="307"/>
      <c r="AH553" s="307"/>
      <c r="AI553" s="445">
        <f t="shared" si="201"/>
        <v>0</v>
      </c>
      <c r="AJ553" s="446"/>
      <c r="AK553" s="443"/>
      <c r="AL553" s="444">
        <f t="shared" si="202"/>
        <v>0</v>
      </c>
      <c r="AM553" s="307"/>
      <c r="AN553" s="307"/>
      <c r="AO553" s="447">
        <f t="shared" si="203"/>
        <v>0</v>
      </c>
      <c r="AP553" s="448">
        <v>19</v>
      </c>
      <c r="AQ553" s="443">
        <v>91835.31578947368</v>
      </c>
      <c r="AR553" s="444">
        <f t="shared" si="204"/>
        <v>1427653.4522000002</v>
      </c>
      <c r="AS553" s="307">
        <v>14</v>
      </c>
      <c r="AT553" s="307">
        <v>94714.857142857145</v>
      </c>
      <c r="AU553" s="441">
        <f t="shared" si="205"/>
        <v>1084939.7456</v>
      </c>
      <c r="AV553" s="442">
        <v>3</v>
      </c>
      <c r="AW553" s="443">
        <v>78113</v>
      </c>
      <c r="AX553" s="444">
        <f t="shared" si="206"/>
        <v>191736.1698</v>
      </c>
      <c r="AY553" s="307">
        <v>4</v>
      </c>
      <c r="AZ553" s="307">
        <v>77620.25</v>
      </c>
      <c r="BA553" s="445">
        <f t="shared" si="207"/>
        <v>254035.55420000001</v>
      </c>
      <c r="BB553" s="442">
        <v>5</v>
      </c>
      <c r="BC553" s="443">
        <v>70544</v>
      </c>
      <c r="BD553" s="444">
        <f t="shared" si="208"/>
        <v>288595.50400000002</v>
      </c>
      <c r="BE553" s="307">
        <v>3</v>
      </c>
      <c r="BF553" s="307">
        <v>64577</v>
      </c>
      <c r="BG553" s="445">
        <f t="shared" si="209"/>
        <v>158510.70420000001</v>
      </c>
      <c r="BH553" s="442">
        <v>1</v>
      </c>
      <c r="BI553" s="443">
        <v>51432</v>
      </c>
      <c r="BJ553" s="444">
        <f t="shared" si="210"/>
        <v>42081.662400000001</v>
      </c>
      <c r="BK553" s="307">
        <v>2</v>
      </c>
      <c r="BL553" s="307">
        <v>54277.5</v>
      </c>
      <c r="BM553" s="445">
        <f t="shared" si="211"/>
        <v>88819.701000000001</v>
      </c>
      <c r="BN553" s="442"/>
      <c r="BO553" s="443"/>
      <c r="BP553" s="444">
        <f t="shared" si="212"/>
        <v>0</v>
      </c>
      <c r="BQ553" s="307"/>
      <c r="BR553" s="307"/>
      <c r="BS553" s="445">
        <f t="shared" si="213"/>
        <v>0</v>
      </c>
      <c r="BT553" s="442">
        <v>1</v>
      </c>
      <c r="BU553" s="443">
        <v>52260</v>
      </c>
      <c r="BV553" s="444">
        <f t="shared" si="214"/>
        <v>42759.132000000005</v>
      </c>
      <c r="BW553" s="307">
        <v>1</v>
      </c>
      <c r="BX553" s="307">
        <v>55056</v>
      </c>
      <c r="BY553" s="449">
        <f t="shared" si="215"/>
        <v>45046.819200000005</v>
      </c>
    </row>
    <row r="554" spans="1:77" s="308" customFormat="1" ht="12.75" customHeight="1">
      <c r="A554" s="373" t="s">
        <v>309</v>
      </c>
      <c r="B554" s="377" t="s">
        <v>111</v>
      </c>
      <c r="C554" s="377"/>
      <c r="D554" s="375">
        <v>226806</v>
      </c>
      <c r="E554" s="323">
        <v>7</v>
      </c>
      <c r="F554" s="453">
        <v>33</v>
      </c>
      <c r="G554" s="454">
        <v>63755.969696969696</v>
      </c>
      <c r="H554" s="439">
        <f t="shared" si="192"/>
        <v>2103947</v>
      </c>
      <c r="I554" s="311">
        <v>35</v>
      </c>
      <c r="J554" s="311">
        <v>63983.857142857145</v>
      </c>
      <c r="K554" s="441">
        <f t="shared" si="193"/>
        <v>2239435</v>
      </c>
      <c r="L554" s="442">
        <v>15</v>
      </c>
      <c r="M554" s="443">
        <v>52357.533333333333</v>
      </c>
      <c r="N554" s="444">
        <f t="shared" si="194"/>
        <v>785363</v>
      </c>
      <c r="O554" s="307">
        <v>17</v>
      </c>
      <c r="P554" s="307">
        <v>53123.058823529413</v>
      </c>
      <c r="Q554" s="445">
        <f t="shared" si="195"/>
        <v>903092</v>
      </c>
      <c r="R554" s="442">
        <v>24</v>
      </c>
      <c r="S554" s="443">
        <v>49950.333333333336</v>
      </c>
      <c r="T554" s="444">
        <f t="shared" si="196"/>
        <v>1198808</v>
      </c>
      <c r="U554" s="307">
        <v>22</v>
      </c>
      <c r="V554" s="307">
        <v>50691.772727272728</v>
      </c>
      <c r="W554" s="441">
        <f t="shared" si="197"/>
        <v>1115219</v>
      </c>
      <c r="X554" s="442">
        <v>24</v>
      </c>
      <c r="Y554" s="443">
        <v>48562.375</v>
      </c>
      <c r="Z554" s="444">
        <f t="shared" si="198"/>
        <v>1165497</v>
      </c>
      <c r="AA554" s="307">
        <v>21</v>
      </c>
      <c r="AB554" s="307">
        <v>47805.809523809527</v>
      </c>
      <c r="AC554" s="445">
        <f t="shared" si="199"/>
        <v>1003922</v>
      </c>
      <c r="AD554" s="442"/>
      <c r="AE554" s="443"/>
      <c r="AF554" s="444">
        <f t="shared" si="200"/>
        <v>0</v>
      </c>
      <c r="AG554" s="307"/>
      <c r="AH554" s="307"/>
      <c r="AI554" s="445">
        <f t="shared" si="201"/>
        <v>0</v>
      </c>
      <c r="AJ554" s="446">
        <v>1</v>
      </c>
      <c r="AK554" s="443">
        <v>52000</v>
      </c>
      <c r="AL554" s="444">
        <f t="shared" si="202"/>
        <v>52000</v>
      </c>
      <c r="AM554" s="307"/>
      <c r="AN554" s="307"/>
      <c r="AO554" s="447">
        <f t="shared" si="203"/>
        <v>0</v>
      </c>
      <c r="AP554" s="448">
        <v>7</v>
      </c>
      <c r="AQ554" s="443">
        <v>69302.142857142855</v>
      </c>
      <c r="AR554" s="444">
        <f t="shared" si="204"/>
        <v>396921.09299999999</v>
      </c>
      <c r="AS554" s="307">
        <v>9</v>
      </c>
      <c r="AT554" s="307">
        <v>70160.777777777781</v>
      </c>
      <c r="AU554" s="441">
        <f t="shared" si="205"/>
        <v>516649.93540000002</v>
      </c>
      <c r="AV554" s="442">
        <v>8</v>
      </c>
      <c r="AW554" s="443">
        <v>59909.5</v>
      </c>
      <c r="AX554" s="444">
        <f t="shared" si="206"/>
        <v>392143.62320000003</v>
      </c>
      <c r="AY554" s="307">
        <v>8</v>
      </c>
      <c r="AZ554" s="307">
        <v>62240.875</v>
      </c>
      <c r="BA554" s="445">
        <f t="shared" si="207"/>
        <v>407403.8714</v>
      </c>
      <c r="BB554" s="442">
        <v>5</v>
      </c>
      <c r="BC554" s="443">
        <v>53497.2</v>
      </c>
      <c r="BD554" s="444">
        <f t="shared" si="208"/>
        <v>218857.04520000002</v>
      </c>
      <c r="BE554" s="307">
        <v>5</v>
      </c>
      <c r="BF554" s="307">
        <v>53049.2</v>
      </c>
      <c r="BG554" s="445">
        <f t="shared" si="209"/>
        <v>217024.27720000001</v>
      </c>
      <c r="BH554" s="442">
        <v>14</v>
      </c>
      <c r="BI554" s="443">
        <v>58052.071428571428</v>
      </c>
      <c r="BJ554" s="444">
        <f t="shared" si="210"/>
        <v>664974.86780000001</v>
      </c>
      <c r="BK554" s="307">
        <v>11</v>
      </c>
      <c r="BL554" s="307">
        <v>57162.727272727272</v>
      </c>
      <c r="BM554" s="445">
        <f t="shared" si="211"/>
        <v>514475.978</v>
      </c>
      <c r="BN554" s="442"/>
      <c r="BO554" s="443"/>
      <c r="BP554" s="444">
        <f t="shared" si="212"/>
        <v>0</v>
      </c>
      <c r="BQ554" s="307"/>
      <c r="BR554" s="307"/>
      <c r="BS554" s="445">
        <f t="shared" si="213"/>
        <v>0</v>
      </c>
      <c r="BT554" s="442">
        <v>5</v>
      </c>
      <c r="BU554" s="443">
        <v>51746.6</v>
      </c>
      <c r="BV554" s="444">
        <f t="shared" si="214"/>
        <v>211695.3406</v>
      </c>
      <c r="BW554" s="307">
        <v>7</v>
      </c>
      <c r="BX554" s="307">
        <v>51241.142857142855</v>
      </c>
      <c r="BY554" s="449">
        <f t="shared" si="215"/>
        <v>293478.52160000004</v>
      </c>
    </row>
    <row r="555" spans="1:77" s="308" customFormat="1" ht="12.75" customHeight="1">
      <c r="A555" s="378" t="s">
        <v>309</v>
      </c>
      <c r="B555" s="377" t="s">
        <v>94</v>
      </c>
      <c r="C555" s="377"/>
      <c r="D555" s="379">
        <v>409315</v>
      </c>
      <c r="E555" s="380">
        <v>7</v>
      </c>
      <c r="F555" s="453">
        <v>3</v>
      </c>
      <c r="G555" s="454">
        <v>61372</v>
      </c>
      <c r="H555" s="439">
        <f t="shared" si="192"/>
        <v>184116</v>
      </c>
      <c r="I555" s="311">
        <v>5</v>
      </c>
      <c r="J555" s="311">
        <v>62151.4</v>
      </c>
      <c r="K555" s="441">
        <f t="shared" si="193"/>
        <v>310757</v>
      </c>
      <c r="L555" s="442">
        <v>14</v>
      </c>
      <c r="M555" s="443">
        <v>56786.214285714283</v>
      </c>
      <c r="N555" s="444">
        <f t="shared" si="194"/>
        <v>795007</v>
      </c>
      <c r="O555" s="307">
        <v>20</v>
      </c>
      <c r="P555" s="307">
        <v>57549.599999999999</v>
      </c>
      <c r="Q555" s="445">
        <f t="shared" si="195"/>
        <v>1150992</v>
      </c>
      <c r="R555" s="442">
        <v>24</v>
      </c>
      <c r="S555" s="443">
        <v>49416.166666666664</v>
      </c>
      <c r="T555" s="444">
        <f t="shared" si="196"/>
        <v>1185988</v>
      </c>
      <c r="U555" s="307">
        <v>23</v>
      </c>
      <c r="V555" s="307">
        <v>51375.565217391304</v>
      </c>
      <c r="W555" s="441">
        <f t="shared" si="197"/>
        <v>1181638</v>
      </c>
      <c r="X555" s="442">
        <v>406</v>
      </c>
      <c r="Y555" s="443">
        <v>50258.248768472906</v>
      </c>
      <c r="Z555" s="444">
        <f t="shared" si="198"/>
        <v>20404849</v>
      </c>
      <c r="AA555" s="307">
        <v>462</v>
      </c>
      <c r="AB555" s="307">
        <v>50723.028138528141</v>
      </c>
      <c r="AC555" s="445">
        <f t="shared" si="199"/>
        <v>23434039</v>
      </c>
      <c r="AD555" s="442"/>
      <c r="AE555" s="443"/>
      <c r="AF555" s="444">
        <f t="shared" si="200"/>
        <v>0</v>
      </c>
      <c r="AG555" s="307"/>
      <c r="AH555" s="307"/>
      <c r="AI555" s="445">
        <f t="shared" si="201"/>
        <v>0</v>
      </c>
      <c r="AJ555" s="446"/>
      <c r="AK555" s="443"/>
      <c r="AL555" s="444">
        <f t="shared" si="202"/>
        <v>0</v>
      </c>
      <c r="AM555" s="307"/>
      <c r="AN555" s="307"/>
      <c r="AO555" s="447">
        <f t="shared" si="203"/>
        <v>0</v>
      </c>
      <c r="AP555" s="448"/>
      <c r="AQ555" s="443"/>
      <c r="AR555" s="444">
        <f t="shared" si="204"/>
        <v>0</v>
      </c>
      <c r="AS555" s="307"/>
      <c r="AT555" s="307"/>
      <c r="AU555" s="441">
        <f t="shared" si="205"/>
        <v>0</v>
      </c>
      <c r="AV555" s="442"/>
      <c r="AW555" s="443"/>
      <c r="AX555" s="444">
        <f t="shared" si="206"/>
        <v>0</v>
      </c>
      <c r="AY555" s="307"/>
      <c r="AZ555" s="307"/>
      <c r="BA555" s="445">
        <f t="shared" si="207"/>
        <v>0</v>
      </c>
      <c r="BB555" s="442"/>
      <c r="BC555" s="443"/>
      <c r="BD555" s="444">
        <f t="shared" si="208"/>
        <v>0</v>
      </c>
      <c r="BE555" s="307"/>
      <c r="BF555" s="307"/>
      <c r="BG555" s="445">
        <f t="shared" si="209"/>
        <v>0</v>
      </c>
      <c r="BH555" s="442">
        <v>54</v>
      </c>
      <c r="BI555" s="443">
        <v>64984.574074074073</v>
      </c>
      <c r="BJ555" s="444">
        <f t="shared" si="210"/>
        <v>2871200.4394</v>
      </c>
      <c r="BK555" s="307">
        <v>35</v>
      </c>
      <c r="BL555" s="307">
        <v>63627.742857142854</v>
      </c>
      <c r="BM555" s="445">
        <f t="shared" si="211"/>
        <v>1822107.6722000001</v>
      </c>
      <c r="BN555" s="442"/>
      <c r="BO555" s="443"/>
      <c r="BP555" s="444">
        <f t="shared" si="212"/>
        <v>0</v>
      </c>
      <c r="BQ555" s="307"/>
      <c r="BR555" s="307"/>
      <c r="BS555" s="445">
        <f t="shared" si="213"/>
        <v>0</v>
      </c>
      <c r="BT555" s="442"/>
      <c r="BU555" s="443"/>
      <c r="BV555" s="444">
        <f t="shared" si="214"/>
        <v>0</v>
      </c>
      <c r="BW555" s="307"/>
      <c r="BX555" s="307"/>
      <c r="BY555" s="449">
        <f t="shared" si="215"/>
        <v>0</v>
      </c>
    </row>
    <row r="556" spans="1:77" s="308" customFormat="1" ht="12.75" customHeight="1">
      <c r="A556" s="373" t="s">
        <v>309</v>
      </c>
      <c r="B556" s="374" t="s">
        <v>80</v>
      </c>
      <c r="C556" s="374"/>
      <c r="D556" s="375">
        <v>222576</v>
      </c>
      <c r="E556" s="323">
        <v>8</v>
      </c>
      <c r="F556" s="453">
        <v>34</v>
      </c>
      <c r="G556" s="454">
        <v>61877.088235294119</v>
      </c>
      <c r="H556" s="439">
        <f t="shared" si="192"/>
        <v>2103821</v>
      </c>
      <c r="I556" s="311">
        <v>33</v>
      </c>
      <c r="J556" s="311">
        <v>63095.151515151512</v>
      </c>
      <c r="K556" s="441">
        <f t="shared" si="193"/>
        <v>2082140</v>
      </c>
      <c r="L556" s="442">
        <v>21</v>
      </c>
      <c r="M556" s="443">
        <v>54994.190476190473</v>
      </c>
      <c r="N556" s="444">
        <f t="shared" si="194"/>
        <v>1154878</v>
      </c>
      <c r="O556" s="307">
        <v>19</v>
      </c>
      <c r="P556" s="307">
        <v>55566.473684210527</v>
      </c>
      <c r="Q556" s="445">
        <f t="shared" si="195"/>
        <v>1055763</v>
      </c>
      <c r="R556" s="442">
        <v>22</v>
      </c>
      <c r="S556" s="443">
        <v>51828.045454545456</v>
      </c>
      <c r="T556" s="444">
        <f t="shared" si="196"/>
        <v>1140217</v>
      </c>
      <c r="U556" s="307">
        <v>25</v>
      </c>
      <c r="V556" s="307">
        <v>52830.36</v>
      </c>
      <c r="W556" s="441">
        <f t="shared" si="197"/>
        <v>1320759</v>
      </c>
      <c r="X556" s="442">
        <v>110</v>
      </c>
      <c r="Y556" s="443">
        <v>45319.154545454548</v>
      </c>
      <c r="Z556" s="444">
        <f t="shared" si="198"/>
        <v>4985107</v>
      </c>
      <c r="AA556" s="307">
        <v>105</v>
      </c>
      <c r="AB556" s="307">
        <v>47051.81904761905</v>
      </c>
      <c r="AC556" s="445">
        <f t="shared" si="199"/>
        <v>4940441</v>
      </c>
      <c r="AD556" s="442"/>
      <c r="AE556" s="443"/>
      <c r="AF556" s="444">
        <f t="shared" si="200"/>
        <v>0</v>
      </c>
      <c r="AG556" s="307"/>
      <c r="AH556" s="307"/>
      <c r="AI556" s="445">
        <f t="shared" si="201"/>
        <v>0</v>
      </c>
      <c r="AJ556" s="446"/>
      <c r="AK556" s="443"/>
      <c r="AL556" s="444">
        <f t="shared" si="202"/>
        <v>0</v>
      </c>
      <c r="AM556" s="307"/>
      <c r="AN556" s="307"/>
      <c r="AO556" s="447">
        <f t="shared" si="203"/>
        <v>0</v>
      </c>
      <c r="AP556" s="448">
        <v>7</v>
      </c>
      <c r="AQ556" s="443">
        <v>77800.142857142855</v>
      </c>
      <c r="AR556" s="444">
        <f t="shared" si="204"/>
        <v>445592.53820000001</v>
      </c>
      <c r="AS556" s="307">
        <v>7</v>
      </c>
      <c r="AT556" s="307">
        <v>78932.142857142855</v>
      </c>
      <c r="AU556" s="441">
        <f t="shared" si="205"/>
        <v>452075.95500000002</v>
      </c>
      <c r="AV556" s="442">
        <v>9</v>
      </c>
      <c r="AW556" s="443">
        <v>68251.777777777781</v>
      </c>
      <c r="AX556" s="444">
        <f t="shared" si="206"/>
        <v>502592.4412</v>
      </c>
      <c r="AY556" s="307">
        <v>7</v>
      </c>
      <c r="AZ556" s="307">
        <v>66709.571428571435</v>
      </c>
      <c r="BA556" s="445">
        <f t="shared" si="207"/>
        <v>382072.39940000005</v>
      </c>
      <c r="BB556" s="442">
        <v>9</v>
      </c>
      <c r="BC556" s="443">
        <v>66530.777777777781</v>
      </c>
      <c r="BD556" s="444">
        <f t="shared" si="208"/>
        <v>489919.34140000003</v>
      </c>
      <c r="BE556" s="307">
        <v>8</v>
      </c>
      <c r="BF556" s="307">
        <v>66541.875</v>
      </c>
      <c r="BG556" s="445">
        <f t="shared" si="209"/>
        <v>435556.49700000003</v>
      </c>
      <c r="BH556" s="442">
        <v>23</v>
      </c>
      <c r="BI556" s="443">
        <v>59889.608695652176</v>
      </c>
      <c r="BJ556" s="444">
        <f t="shared" si="210"/>
        <v>1127038.5902</v>
      </c>
      <c r="BK556" s="307">
        <v>21</v>
      </c>
      <c r="BL556" s="307">
        <v>59609.666666666664</v>
      </c>
      <c r="BM556" s="445">
        <f t="shared" si="211"/>
        <v>1024225.2146000001</v>
      </c>
      <c r="BN556" s="442"/>
      <c r="BO556" s="443"/>
      <c r="BP556" s="444">
        <f t="shared" si="212"/>
        <v>0</v>
      </c>
      <c r="BQ556" s="307"/>
      <c r="BR556" s="307"/>
      <c r="BS556" s="445">
        <f t="shared" si="213"/>
        <v>0</v>
      </c>
      <c r="BT556" s="442"/>
      <c r="BU556" s="443"/>
      <c r="BV556" s="444">
        <f t="shared" si="214"/>
        <v>0</v>
      </c>
      <c r="BW556" s="307"/>
      <c r="BX556" s="307"/>
      <c r="BY556" s="449">
        <f t="shared" si="215"/>
        <v>0</v>
      </c>
    </row>
    <row r="557" spans="1:77" s="308" customFormat="1" ht="12.75" customHeight="1">
      <c r="A557" s="373" t="s">
        <v>309</v>
      </c>
      <c r="B557" s="374" t="s">
        <v>81</v>
      </c>
      <c r="C557" s="374"/>
      <c r="D557" s="375">
        <v>222992</v>
      </c>
      <c r="E557" s="323">
        <v>8</v>
      </c>
      <c r="F557" s="453">
        <v>35</v>
      </c>
      <c r="G557" s="454">
        <v>68303.828571428574</v>
      </c>
      <c r="H557" s="439">
        <f t="shared" si="192"/>
        <v>2390634</v>
      </c>
      <c r="I557" s="311">
        <v>74</v>
      </c>
      <c r="J557" s="311">
        <v>68324.189189189186</v>
      </c>
      <c r="K557" s="441">
        <f t="shared" si="193"/>
        <v>5055990</v>
      </c>
      <c r="L557" s="442">
        <v>18</v>
      </c>
      <c r="M557" s="443">
        <v>53035.833333333336</v>
      </c>
      <c r="N557" s="444">
        <f t="shared" si="194"/>
        <v>954645</v>
      </c>
      <c r="O557" s="307">
        <v>44</v>
      </c>
      <c r="P557" s="307">
        <v>51844.045454545456</v>
      </c>
      <c r="Q557" s="445">
        <f t="shared" si="195"/>
        <v>2281138</v>
      </c>
      <c r="R557" s="442">
        <v>8</v>
      </c>
      <c r="S557" s="443">
        <v>44778.375</v>
      </c>
      <c r="T557" s="444">
        <f t="shared" si="196"/>
        <v>358227</v>
      </c>
      <c r="U557" s="307">
        <v>14</v>
      </c>
      <c r="V557" s="307">
        <v>45460.285714285717</v>
      </c>
      <c r="W557" s="441">
        <f t="shared" si="197"/>
        <v>636444</v>
      </c>
      <c r="X557" s="442"/>
      <c r="Y557" s="443"/>
      <c r="Z557" s="444">
        <f t="shared" si="198"/>
        <v>0</v>
      </c>
      <c r="AA557" s="307"/>
      <c r="AB557" s="307"/>
      <c r="AC557" s="445">
        <f t="shared" si="199"/>
        <v>0</v>
      </c>
      <c r="AD557" s="442"/>
      <c r="AE557" s="443"/>
      <c r="AF557" s="444">
        <f t="shared" si="200"/>
        <v>0</v>
      </c>
      <c r="AG557" s="307"/>
      <c r="AH557" s="307"/>
      <c r="AI557" s="445">
        <f t="shared" si="201"/>
        <v>0</v>
      </c>
      <c r="AJ557" s="446"/>
      <c r="AK557" s="443"/>
      <c r="AL557" s="444">
        <f t="shared" si="202"/>
        <v>0</v>
      </c>
      <c r="AM557" s="307"/>
      <c r="AN557" s="307"/>
      <c r="AO557" s="447">
        <f t="shared" si="203"/>
        <v>0</v>
      </c>
      <c r="AP557" s="448">
        <v>293</v>
      </c>
      <c r="AQ557" s="443">
        <v>83737.505119453926</v>
      </c>
      <c r="AR557" s="444">
        <f t="shared" si="204"/>
        <v>20074609.819800001</v>
      </c>
      <c r="AS557" s="307">
        <v>620</v>
      </c>
      <c r="AT557" s="307">
        <v>82320.535483870961</v>
      </c>
      <c r="AU557" s="441">
        <f t="shared" si="205"/>
        <v>41759890.522399999</v>
      </c>
      <c r="AV557" s="442">
        <v>144</v>
      </c>
      <c r="AW557" s="443">
        <v>63796.861111111109</v>
      </c>
      <c r="AX557" s="444">
        <f t="shared" si="206"/>
        <v>7516597.2136000004</v>
      </c>
      <c r="AY557" s="307">
        <v>300</v>
      </c>
      <c r="AZ557" s="307">
        <v>62795.026666666665</v>
      </c>
      <c r="BA557" s="445">
        <f t="shared" si="207"/>
        <v>15413667.2456</v>
      </c>
      <c r="BB557" s="442">
        <v>57</v>
      </c>
      <c r="BC557" s="443">
        <v>54030.596491228069</v>
      </c>
      <c r="BD557" s="444">
        <f t="shared" si="208"/>
        <v>2519846.5408000001</v>
      </c>
      <c r="BE557" s="307">
        <v>126</v>
      </c>
      <c r="BF557" s="307">
        <v>53026.952380952382</v>
      </c>
      <c r="BG557" s="445">
        <f t="shared" si="209"/>
        <v>5466718.2072000001</v>
      </c>
      <c r="BH557" s="442"/>
      <c r="BI557" s="443"/>
      <c r="BJ557" s="444">
        <f t="shared" si="210"/>
        <v>0</v>
      </c>
      <c r="BK557" s="307"/>
      <c r="BL557" s="307"/>
      <c r="BM557" s="445">
        <f t="shared" si="211"/>
        <v>0</v>
      </c>
      <c r="BN557" s="442"/>
      <c r="BO557" s="443"/>
      <c r="BP557" s="444">
        <f t="shared" si="212"/>
        <v>0</v>
      </c>
      <c r="BQ557" s="307"/>
      <c r="BR557" s="307"/>
      <c r="BS557" s="445">
        <f t="shared" si="213"/>
        <v>0</v>
      </c>
      <c r="BT557" s="442"/>
      <c r="BU557" s="443"/>
      <c r="BV557" s="444">
        <f t="shared" si="214"/>
        <v>0</v>
      </c>
      <c r="BW557" s="307"/>
      <c r="BX557" s="307"/>
      <c r="BY557" s="449">
        <f t="shared" si="215"/>
        <v>0</v>
      </c>
    </row>
    <row r="558" spans="1:77" s="308" customFormat="1" ht="12.75" customHeight="1">
      <c r="A558" s="373" t="s">
        <v>309</v>
      </c>
      <c r="B558" s="374" t="s">
        <v>82</v>
      </c>
      <c r="C558" s="374"/>
      <c r="D558" s="375">
        <v>223427</v>
      </c>
      <c r="E558" s="323">
        <v>8</v>
      </c>
      <c r="F558" s="453"/>
      <c r="G558" s="454"/>
      <c r="H558" s="439">
        <f t="shared" si="192"/>
        <v>0</v>
      </c>
      <c r="I558" s="311"/>
      <c r="J558" s="311"/>
      <c r="K558" s="441">
        <f t="shared" si="193"/>
        <v>0</v>
      </c>
      <c r="L558" s="442"/>
      <c r="M558" s="443"/>
      <c r="N558" s="444">
        <f t="shared" si="194"/>
        <v>0</v>
      </c>
      <c r="O558" s="307"/>
      <c r="P558" s="307"/>
      <c r="Q558" s="445">
        <f t="shared" si="195"/>
        <v>0</v>
      </c>
      <c r="R558" s="442"/>
      <c r="S558" s="443"/>
      <c r="T558" s="444">
        <f t="shared" si="196"/>
        <v>0</v>
      </c>
      <c r="U558" s="307"/>
      <c r="V558" s="307"/>
      <c r="W558" s="441">
        <f t="shared" si="197"/>
        <v>0</v>
      </c>
      <c r="X558" s="442"/>
      <c r="Y558" s="443"/>
      <c r="Z558" s="444">
        <f t="shared" si="198"/>
        <v>0</v>
      </c>
      <c r="AA558" s="307"/>
      <c r="AB558" s="307"/>
      <c r="AC558" s="445">
        <f t="shared" si="199"/>
        <v>0</v>
      </c>
      <c r="AD558" s="442"/>
      <c r="AE558" s="443"/>
      <c r="AF558" s="444">
        <f t="shared" si="200"/>
        <v>0</v>
      </c>
      <c r="AG558" s="307"/>
      <c r="AH558" s="307"/>
      <c r="AI558" s="445">
        <f t="shared" si="201"/>
        <v>0</v>
      </c>
      <c r="AJ558" s="446">
        <v>290</v>
      </c>
      <c r="AK558" s="443">
        <v>54821.11724137931</v>
      </c>
      <c r="AL558" s="444">
        <f t="shared" si="202"/>
        <v>15898124</v>
      </c>
      <c r="AM558" s="307">
        <v>307</v>
      </c>
      <c r="AN558" s="307">
        <v>49236.296416938108</v>
      </c>
      <c r="AO558" s="447">
        <f t="shared" si="203"/>
        <v>15115543</v>
      </c>
      <c r="AP558" s="448"/>
      <c r="AQ558" s="443"/>
      <c r="AR558" s="444">
        <f t="shared" si="204"/>
        <v>0</v>
      </c>
      <c r="AS558" s="307"/>
      <c r="AT558" s="307"/>
      <c r="AU558" s="441">
        <f t="shared" si="205"/>
        <v>0</v>
      </c>
      <c r="AV558" s="442"/>
      <c r="AW558" s="443"/>
      <c r="AX558" s="444">
        <f t="shared" si="206"/>
        <v>0</v>
      </c>
      <c r="AY558" s="307"/>
      <c r="AZ558" s="307"/>
      <c r="BA558" s="445">
        <f t="shared" si="207"/>
        <v>0</v>
      </c>
      <c r="BB558" s="442"/>
      <c r="BC558" s="443"/>
      <c r="BD558" s="444">
        <f t="shared" si="208"/>
        <v>0</v>
      </c>
      <c r="BE558" s="307"/>
      <c r="BF558" s="307"/>
      <c r="BG558" s="445">
        <f t="shared" si="209"/>
        <v>0</v>
      </c>
      <c r="BH558" s="442"/>
      <c r="BI558" s="443"/>
      <c r="BJ558" s="444">
        <f t="shared" si="210"/>
        <v>0</v>
      </c>
      <c r="BK558" s="307"/>
      <c r="BL558" s="307"/>
      <c r="BM558" s="445">
        <f t="shared" si="211"/>
        <v>0</v>
      </c>
      <c r="BN558" s="442"/>
      <c r="BO558" s="443"/>
      <c r="BP558" s="444">
        <f t="shared" si="212"/>
        <v>0</v>
      </c>
      <c r="BQ558" s="307"/>
      <c r="BR558" s="307"/>
      <c r="BS558" s="445">
        <f t="shared" si="213"/>
        <v>0</v>
      </c>
      <c r="BT558" s="442">
        <v>47</v>
      </c>
      <c r="BU558" s="443">
        <v>49521</v>
      </c>
      <c r="BV558" s="444">
        <f t="shared" si="214"/>
        <v>1904349.8634000001</v>
      </c>
      <c r="BW558" s="307">
        <v>47</v>
      </c>
      <c r="BX558" s="307">
        <v>49524.957446808512</v>
      </c>
      <c r="BY558" s="449">
        <f t="shared" si="215"/>
        <v>1904502.0486000001</v>
      </c>
    </row>
    <row r="559" spans="1:77" s="308" customFormat="1" ht="12.75" customHeight="1">
      <c r="A559" s="373" t="s">
        <v>309</v>
      </c>
      <c r="B559" s="374" t="s">
        <v>741</v>
      </c>
      <c r="C559" s="374"/>
      <c r="D559" s="375">
        <v>223524</v>
      </c>
      <c r="E559" s="323">
        <v>8</v>
      </c>
      <c r="F559" s="453"/>
      <c r="G559" s="454"/>
      <c r="H559" s="439">
        <f t="shared" si="192"/>
        <v>0</v>
      </c>
      <c r="I559" s="311"/>
      <c r="J559" s="311"/>
      <c r="K559" s="441">
        <f t="shared" si="193"/>
        <v>0</v>
      </c>
      <c r="L559" s="442"/>
      <c r="M559" s="443"/>
      <c r="N559" s="444">
        <f t="shared" si="194"/>
        <v>0</v>
      </c>
      <c r="O559" s="307"/>
      <c r="P559" s="307"/>
      <c r="Q559" s="445">
        <f t="shared" si="195"/>
        <v>0</v>
      </c>
      <c r="R559" s="442"/>
      <c r="S559" s="443"/>
      <c r="T559" s="444">
        <f t="shared" si="196"/>
        <v>0</v>
      </c>
      <c r="U559" s="307"/>
      <c r="V559" s="307"/>
      <c r="W559" s="441">
        <f t="shared" si="197"/>
        <v>0</v>
      </c>
      <c r="X559" s="442"/>
      <c r="Y559" s="443"/>
      <c r="Z559" s="444">
        <f t="shared" si="198"/>
        <v>0</v>
      </c>
      <c r="AA559" s="307"/>
      <c r="AB559" s="307"/>
      <c r="AC559" s="445">
        <f t="shared" si="199"/>
        <v>0</v>
      </c>
      <c r="AD559" s="442"/>
      <c r="AE559" s="443"/>
      <c r="AF559" s="444">
        <f t="shared" si="200"/>
        <v>0</v>
      </c>
      <c r="AG559" s="307"/>
      <c r="AH559" s="307"/>
      <c r="AI559" s="445">
        <f t="shared" si="201"/>
        <v>0</v>
      </c>
      <c r="AJ559" s="446">
        <v>123</v>
      </c>
      <c r="AK559" s="443">
        <v>58633.560975609755</v>
      </c>
      <c r="AL559" s="444">
        <f t="shared" si="202"/>
        <v>7211928</v>
      </c>
      <c r="AM559" s="307">
        <v>131</v>
      </c>
      <c r="AN559" s="307">
        <v>57798.358778625952</v>
      </c>
      <c r="AO559" s="447">
        <f t="shared" si="203"/>
        <v>7571585</v>
      </c>
      <c r="AP559" s="448"/>
      <c r="AQ559" s="443"/>
      <c r="AR559" s="444">
        <f t="shared" si="204"/>
        <v>0</v>
      </c>
      <c r="AS559" s="307"/>
      <c r="AT559" s="307"/>
      <c r="AU559" s="441">
        <f t="shared" si="205"/>
        <v>0</v>
      </c>
      <c r="AV559" s="442"/>
      <c r="AW559" s="443"/>
      <c r="AX559" s="444">
        <f t="shared" si="206"/>
        <v>0</v>
      </c>
      <c r="AY559" s="307"/>
      <c r="AZ559" s="307"/>
      <c r="BA559" s="445">
        <f t="shared" si="207"/>
        <v>0</v>
      </c>
      <c r="BB559" s="442"/>
      <c r="BC559" s="443"/>
      <c r="BD559" s="444">
        <f t="shared" si="208"/>
        <v>0</v>
      </c>
      <c r="BE559" s="307"/>
      <c r="BF559" s="307"/>
      <c r="BG559" s="445">
        <f t="shared" si="209"/>
        <v>0</v>
      </c>
      <c r="BH559" s="442"/>
      <c r="BI559" s="443"/>
      <c r="BJ559" s="444">
        <f t="shared" si="210"/>
        <v>0</v>
      </c>
      <c r="BK559" s="307"/>
      <c r="BL559" s="307"/>
      <c r="BM559" s="445">
        <f t="shared" si="211"/>
        <v>0</v>
      </c>
      <c r="BN559" s="442"/>
      <c r="BO559" s="443"/>
      <c r="BP559" s="444">
        <f t="shared" si="212"/>
        <v>0</v>
      </c>
      <c r="BQ559" s="307"/>
      <c r="BR559" s="307"/>
      <c r="BS559" s="445">
        <f t="shared" si="213"/>
        <v>0</v>
      </c>
      <c r="BT559" s="442"/>
      <c r="BU559" s="443"/>
      <c r="BV559" s="444">
        <f t="shared" si="214"/>
        <v>0</v>
      </c>
      <c r="BW559" s="307"/>
      <c r="BX559" s="307"/>
      <c r="BY559" s="449">
        <f t="shared" si="215"/>
        <v>0</v>
      </c>
    </row>
    <row r="560" spans="1:77" s="308" customFormat="1" ht="12.75" customHeight="1">
      <c r="A560" s="373" t="s">
        <v>309</v>
      </c>
      <c r="B560" s="374" t="s">
        <v>83</v>
      </c>
      <c r="C560" s="374"/>
      <c r="D560" s="375">
        <v>223816</v>
      </c>
      <c r="E560" s="323">
        <v>8</v>
      </c>
      <c r="F560" s="453">
        <v>81</v>
      </c>
      <c r="G560" s="454">
        <v>59224.814814814818</v>
      </c>
      <c r="H560" s="439">
        <f t="shared" si="192"/>
        <v>4797210</v>
      </c>
      <c r="I560" s="311">
        <v>82</v>
      </c>
      <c r="J560" s="311">
        <v>58177.804878048781</v>
      </c>
      <c r="K560" s="441">
        <f t="shared" si="193"/>
        <v>4770580</v>
      </c>
      <c r="L560" s="442"/>
      <c r="M560" s="443"/>
      <c r="N560" s="444">
        <f t="shared" si="194"/>
        <v>0</v>
      </c>
      <c r="O560" s="307"/>
      <c r="P560" s="307"/>
      <c r="Q560" s="445">
        <f t="shared" si="195"/>
        <v>0</v>
      </c>
      <c r="R560" s="442"/>
      <c r="S560" s="443"/>
      <c r="T560" s="444">
        <f t="shared" si="196"/>
        <v>0</v>
      </c>
      <c r="U560" s="307"/>
      <c r="V560" s="307"/>
      <c r="W560" s="441">
        <f t="shared" si="197"/>
        <v>0</v>
      </c>
      <c r="X560" s="442"/>
      <c r="Y560" s="443"/>
      <c r="Z560" s="444">
        <f t="shared" si="198"/>
        <v>0</v>
      </c>
      <c r="AA560" s="307"/>
      <c r="AB560" s="307"/>
      <c r="AC560" s="445">
        <f t="shared" si="199"/>
        <v>0</v>
      </c>
      <c r="AD560" s="442"/>
      <c r="AE560" s="443"/>
      <c r="AF560" s="444">
        <f t="shared" si="200"/>
        <v>0</v>
      </c>
      <c r="AG560" s="307"/>
      <c r="AH560" s="307"/>
      <c r="AI560" s="445">
        <f t="shared" si="201"/>
        <v>0</v>
      </c>
      <c r="AJ560" s="446"/>
      <c r="AK560" s="443"/>
      <c r="AL560" s="444">
        <f t="shared" si="202"/>
        <v>0</v>
      </c>
      <c r="AM560" s="307"/>
      <c r="AN560" s="307"/>
      <c r="AO560" s="447">
        <f t="shared" si="203"/>
        <v>0</v>
      </c>
      <c r="AP560" s="448">
        <v>84</v>
      </c>
      <c r="AQ560" s="443">
        <v>71387.476190476184</v>
      </c>
      <c r="AR560" s="444">
        <f t="shared" si="204"/>
        <v>4906375.5735999998</v>
      </c>
      <c r="AS560" s="307">
        <v>83</v>
      </c>
      <c r="AT560" s="307">
        <v>72154.614457831325</v>
      </c>
      <c r="AU560" s="441">
        <f t="shared" si="205"/>
        <v>4900063.1606000001</v>
      </c>
      <c r="AV560" s="442"/>
      <c r="AW560" s="443"/>
      <c r="AX560" s="444">
        <f t="shared" si="206"/>
        <v>0</v>
      </c>
      <c r="AY560" s="307"/>
      <c r="AZ560" s="307"/>
      <c r="BA560" s="445">
        <f t="shared" si="207"/>
        <v>0</v>
      </c>
      <c r="BB560" s="442"/>
      <c r="BC560" s="443"/>
      <c r="BD560" s="444">
        <f t="shared" si="208"/>
        <v>0</v>
      </c>
      <c r="BE560" s="307"/>
      <c r="BF560" s="307"/>
      <c r="BG560" s="445">
        <f t="shared" si="209"/>
        <v>0</v>
      </c>
      <c r="BH560" s="442">
        <v>87</v>
      </c>
      <c r="BI560" s="443">
        <v>40393.310344827587</v>
      </c>
      <c r="BJ560" s="444">
        <f t="shared" si="210"/>
        <v>2875333.1676000003</v>
      </c>
      <c r="BK560" s="307">
        <v>82</v>
      </c>
      <c r="BL560" s="307">
        <v>43493.341463414632</v>
      </c>
      <c r="BM560" s="445">
        <f t="shared" si="211"/>
        <v>2918072.6628</v>
      </c>
      <c r="BN560" s="442"/>
      <c r="BO560" s="443"/>
      <c r="BP560" s="444">
        <f t="shared" si="212"/>
        <v>0</v>
      </c>
      <c r="BQ560" s="307"/>
      <c r="BR560" s="307"/>
      <c r="BS560" s="445">
        <f t="shared" si="213"/>
        <v>0</v>
      </c>
      <c r="BT560" s="442"/>
      <c r="BU560" s="443"/>
      <c r="BV560" s="444">
        <f t="shared" si="214"/>
        <v>0</v>
      </c>
      <c r="BW560" s="307"/>
      <c r="BX560" s="307"/>
      <c r="BY560" s="449">
        <f t="shared" si="215"/>
        <v>0</v>
      </c>
    </row>
    <row r="561" spans="1:77" s="308" customFormat="1" ht="12.75" customHeight="1">
      <c r="A561" s="373" t="s">
        <v>309</v>
      </c>
      <c r="B561" s="374" t="s">
        <v>84</v>
      </c>
      <c r="C561" s="374"/>
      <c r="D561" s="375">
        <v>247834</v>
      </c>
      <c r="E561" s="323">
        <v>8</v>
      </c>
      <c r="F561" s="453"/>
      <c r="G561" s="454"/>
      <c r="H561" s="439">
        <f t="shared" si="192"/>
        <v>0</v>
      </c>
      <c r="I561" s="311"/>
      <c r="J561" s="311"/>
      <c r="K561" s="441">
        <f t="shared" si="193"/>
        <v>0</v>
      </c>
      <c r="L561" s="442"/>
      <c r="M561" s="443"/>
      <c r="N561" s="444">
        <f t="shared" si="194"/>
        <v>0</v>
      </c>
      <c r="O561" s="307"/>
      <c r="P561" s="307"/>
      <c r="Q561" s="445">
        <f t="shared" si="195"/>
        <v>0</v>
      </c>
      <c r="R561" s="442"/>
      <c r="S561" s="443"/>
      <c r="T561" s="444">
        <f t="shared" si="196"/>
        <v>0</v>
      </c>
      <c r="U561" s="307"/>
      <c r="V561" s="307"/>
      <c r="W561" s="441">
        <f t="shared" si="197"/>
        <v>0</v>
      </c>
      <c r="X561" s="442"/>
      <c r="Y561" s="443"/>
      <c r="Z561" s="444">
        <f t="shared" si="198"/>
        <v>0</v>
      </c>
      <c r="AA561" s="307"/>
      <c r="AB561" s="307"/>
      <c r="AC561" s="445">
        <f t="shared" si="199"/>
        <v>0</v>
      </c>
      <c r="AD561" s="442"/>
      <c r="AE561" s="443"/>
      <c r="AF561" s="444">
        <f t="shared" si="200"/>
        <v>0</v>
      </c>
      <c r="AG561" s="307"/>
      <c r="AH561" s="307"/>
      <c r="AI561" s="445">
        <f t="shared" si="201"/>
        <v>0</v>
      </c>
      <c r="AJ561" s="446">
        <v>322</v>
      </c>
      <c r="AK561" s="443">
        <v>54192.73291925466</v>
      </c>
      <c r="AL561" s="444">
        <f t="shared" si="202"/>
        <v>17450060</v>
      </c>
      <c r="AM561" s="307">
        <v>345</v>
      </c>
      <c r="AN561" s="307">
        <v>55549.498550724638</v>
      </c>
      <c r="AO561" s="447">
        <f t="shared" si="203"/>
        <v>19164577</v>
      </c>
      <c r="AP561" s="448"/>
      <c r="AQ561" s="443"/>
      <c r="AR561" s="444">
        <f t="shared" si="204"/>
        <v>0</v>
      </c>
      <c r="AS561" s="307"/>
      <c r="AT561" s="307"/>
      <c r="AU561" s="441">
        <f t="shared" si="205"/>
        <v>0</v>
      </c>
      <c r="AV561" s="442"/>
      <c r="AW561" s="443"/>
      <c r="AX561" s="444">
        <f t="shared" si="206"/>
        <v>0</v>
      </c>
      <c r="AY561" s="307"/>
      <c r="AZ561" s="307"/>
      <c r="BA561" s="445">
        <f t="shared" si="207"/>
        <v>0</v>
      </c>
      <c r="BB561" s="442"/>
      <c r="BC561" s="443"/>
      <c r="BD561" s="444">
        <f t="shared" si="208"/>
        <v>0</v>
      </c>
      <c r="BE561" s="307"/>
      <c r="BF561" s="307"/>
      <c r="BG561" s="445">
        <f t="shared" si="209"/>
        <v>0</v>
      </c>
      <c r="BH561" s="442"/>
      <c r="BI561" s="443"/>
      <c r="BJ561" s="444">
        <f t="shared" si="210"/>
        <v>0</v>
      </c>
      <c r="BK561" s="307"/>
      <c r="BL561" s="307"/>
      <c r="BM561" s="445">
        <f t="shared" si="211"/>
        <v>0</v>
      </c>
      <c r="BN561" s="442"/>
      <c r="BO561" s="443"/>
      <c r="BP561" s="444">
        <f t="shared" si="212"/>
        <v>0</v>
      </c>
      <c r="BQ561" s="307"/>
      <c r="BR561" s="307"/>
      <c r="BS561" s="445">
        <f t="shared" si="213"/>
        <v>0</v>
      </c>
      <c r="BT561" s="442">
        <v>3</v>
      </c>
      <c r="BU561" s="443">
        <v>52875</v>
      </c>
      <c r="BV561" s="444">
        <f t="shared" si="214"/>
        <v>129786.97500000001</v>
      </c>
      <c r="BW561" s="307">
        <v>2</v>
      </c>
      <c r="BX561" s="307">
        <v>55219</v>
      </c>
      <c r="BY561" s="449">
        <f t="shared" si="215"/>
        <v>90360.371599999999</v>
      </c>
    </row>
    <row r="562" spans="1:77" s="308" customFormat="1" ht="12.75" customHeight="1">
      <c r="A562" s="373" t="s">
        <v>309</v>
      </c>
      <c r="B562" s="374" t="s">
        <v>85</v>
      </c>
      <c r="C562" s="374"/>
      <c r="D562" s="375">
        <v>224350</v>
      </c>
      <c r="E562" s="323">
        <v>8</v>
      </c>
      <c r="F562" s="453">
        <v>82</v>
      </c>
      <c r="G562" s="454">
        <v>71838.64634146342</v>
      </c>
      <c r="H562" s="439">
        <f t="shared" si="192"/>
        <v>5890769</v>
      </c>
      <c r="I562" s="311">
        <v>80</v>
      </c>
      <c r="J562" s="311">
        <v>67454.587499999994</v>
      </c>
      <c r="K562" s="441">
        <f t="shared" si="193"/>
        <v>5396367</v>
      </c>
      <c r="L562" s="442">
        <v>42</v>
      </c>
      <c r="M562" s="443">
        <v>56959.309523809527</v>
      </c>
      <c r="N562" s="444">
        <f t="shared" si="194"/>
        <v>2392291</v>
      </c>
      <c r="O562" s="307">
        <v>59</v>
      </c>
      <c r="P562" s="307">
        <v>56145.508474576272</v>
      </c>
      <c r="Q562" s="445">
        <f t="shared" si="195"/>
        <v>3312585</v>
      </c>
      <c r="R562" s="442">
        <v>73</v>
      </c>
      <c r="S562" s="443">
        <v>51483.575342465752</v>
      </c>
      <c r="T562" s="444">
        <f t="shared" si="196"/>
        <v>3758301</v>
      </c>
      <c r="U562" s="307">
        <v>62</v>
      </c>
      <c r="V562" s="307">
        <v>50442.725806451614</v>
      </c>
      <c r="W562" s="441">
        <f t="shared" si="197"/>
        <v>3127449</v>
      </c>
      <c r="X562" s="442">
        <v>93</v>
      </c>
      <c r="Y562" s="443">
        <v>44747.462365591397</v>
      </c>
      <c r="Z562" s="444">
        <f t="shared" si="198"/>
        <v>4161514</v>
      </c>
      <c r="AA562" s="307">
        <v>82</v>
      </c>
      <c r="AB562" s="307">
        <v>44289.463414634149</v>
      </c>
      <c r="AC562" s="445">
        <f t="shared" si="199"/>
        <v>3631736</v>
      </c>
      <c r="AD562" s="442"/>
      <c r="AE562" s="443"/>
      <c r="AF562" s="444">
        <f t="shared" si="200"/>
        <v>0</v>
      </c>
      <c r="AG562" s="307"/>
      <c r="AH562" s="307"/>
      <c r="AI562" s="445">
        <f t="shared" si="201"/>
        <v>0</v>
      </c>
      <c r="AJ562" s="446"/>
      <c r="AK562" s="443"/>
      <c r="AL562" s="444">
        <f t="shared" si="202"/>
        <v>0</v>
      </c>
      <c r="AM562" s="307"/>
      <c r="AN562" s="307"/>
      <c r="AO562" s="447">
        <f t="shared" si="203"/>
        <v>0</v>
      </c>
      <c r="AP562" s="448">
        <v>4</v>
      </c>
      <c r="AQ562" s="443">
        <v>90399</v>
      </c>
      <c r="AR562" s="444">
        <f t="shared" si="204"/>
        <v>295857.84720000002</v>
      </c>
      <c r="AS562" s="307">
        <v>3</v>
      </c>
      <c r="AT562" s="307">
        <v>90950.666666666672</v>
      </c>
      <c r="AU562" s="441">
        <f t="shared" si="205"/>
        <v>223247.50640000001</v>
      </c>
      <c r="AV562" s="442"/>
      <c r="AW562" s="443"/>
      <c r="AX562" s="444">
        <f t="shared" si="206"/>
        <v>0</v>
      </c>
      <c r="AY562" s="307"/>
      <c r="AZ562" s="307"/>
      <c r="BA562" s="445">
        <f t="shared" si="207"/>
        <v>0</v>
      </c>
      <c r="BB562" s="442"/>
      <c r="BC562" s="443"/>
      <c r="BD562" s="444">
        <f t="shared" si="208"/>
        <v>0</v>
      </c>
      <c r="BE562" s="307"/>
      <c r="BF562" s="307"/>
      <c r="BG562" s="445">
        <f t="shared" si="209"/>
        <v>0</v>
      </c>
      <c r="BH562" s="442"/>
      <c r="BI562" s="443"/>
      <c r="BJ562" s="444">
        <f t="shared" si="210"/>
        <v>0</v>
      </c>
      <c r="BK562" s="307"/>
      <c r="BL562" s="307"/>
      <c r="BM562" s="445">
        <f t="shared" si="211"/>
        <v>0</v>
      </c>
      <c r="BN562" s="442"/>
      <c r="BO562" s="443"/>
      <c r="BP562" s="444">
        <f t="shared" si="212"/>
        <v>0</v>
      </c>
      <c r="BQ562" s="307"/>
      <c r="BR562" s="307"/>
      <c r="BS562" s="445">
        <f t="shared" si="213"/>
        <v>0</v>
      </c>
      <c r="BT562" s="442"/>
      <c r="BU562" s="443"/>
      <c r="BV562" s="444">
        <f t="shared" si="214"/>
        <v>0</v>
      </c>
      <c r="BW562" s="307"/>
      <c r="BX562" s="307"/>
      <c r="BY562" s="449">
        <f t="shared" si="215"/>
        <v>0</v>
      </c>
    </row>
    <row r="563" spans="1:77" s="308" customFormat="1" ht="12.75" customHeight="1">
      <c r="A563" s="373" t="s">
        <v>309</v>
      </c>
      <c r="B563" s="374" t="s">
        <v>742</v>
      </c>
      <c r="C563" s="374"/>
      <c r="D563" s="375">
        <v>224572</v>
      </c>
      <c r="E563" s="323">
        <v>8</v>
      </c>
      <c r="F563" s="453"/>
      <c r="G563" s="454"/>
      <c r="H563" s="439">
        <f t="shared" si="192"/>
        <v>0</v>
      </c>
      <c r="I563" s="311"/>
      <c r="J563" s="311"/>
      <c r="K563" s="441">
        <f t="shared" si="193"/>
        <v>0</v>
      </c>
      <c r="L563" s="442"/>
      <c r="M563" s="443"/>
      <c r="N563" s="444">
        <f t="shared" si="194"/>
        <v>0</v>
      </c>
      <c r="O563" s="307"/>
      <c r="P563" s="307"/>
      <c r="Q563" s="445">
        <f t="shared" si="195"/>
        <v>0</v>
      </c>
      <c r="R563" s="442"/>
      <c r="S563" s="443"/>
      <c r="T563" s="444">
        <f t="shared" si="196"/>
        <v>0</v>
      </c>
      <c r="U563" s="307"/>
      <c r="V563" s="307"/>
      <c r="W563" s="441">
        <f t="shared" si="197"/>
        <v>0</v>
      </c>
      <c r="X563" s="442"/>
      <c r="Y563" s="443"/>
      <c r="Z563" s="444">
        <f t="shared" si="198"/>
        <v>0</v>
      </c>
      <c r="AA563" s="307"/>
      <c r="AB563" s="307"/>
      <c r="AC563" s="445">
        <f t="shared" si="199"/>
        <v>0</v>
      </c>
      <c r="AD563" s="442"/>
      <c r="AE563" s="443"/>
      <c r="AF563" s="444">
        <f t="shared" si="200"/>
        <v>0</v>
      </c>
      <c r="AG563" s="307"/>
      <c r="AH563" s="307"/>
      <c r="AI563" s="445">
        <f t="shared" si="201"/>
        <v>0</v>
      </c>
      <c r="AJ563" s="446">
        <v>119</v>
      </c>
      <c r="AK563" s="443">
        <v>58744.285714285717</v>
      </c>
      <c r="AL563" s="444">
        <f t="shared" si="202"/>
        <v>6990570</v>
      </c>
      <c r="AM563" s="307">
        <v>121</v>
      </c>
      <c r="AN563" s="307">
        <v>57594.371900826445</v>
      </c>
      <c r="AO563" s="447">
        <f t="shared" si="203"/>
        <v>6968919</v>
      </c>
      <c r="AP563" s="448"/>
      <c r="AQ563" s="443"/>
      <c r="AR563" s="444">
        <f t="shared" si="204"/>
        <v>0</v>
      </c>
      <c r="AS563" s="307"/>
      <c r="AT563" s="307"/>
      <c r="AU563" s="441">
        <f t="shared" si="205"/>
        <v>0</v>
      </c>
      <c r="AV563" s="442"/>
      <c r="AW563" s="443"/>
      <c r="AX563" s="444">
        <f t="shared" si="206"/>
        <v>0</v>
      </c>
      <c r="AY563" s="307"/>
      <c r="AZ563" s="307"/>
      <c r="BA563" s="445">
        <f t="shared" si="207"/>
        <v>0</v>
      </c>
      <c r="BB563" s="442"/>
      <c r="BC563" s="443"/>
      <c r="BD563" s="444">
        <f t="shared" si="208"/>
        <v>0</v>
      </c>
      <c r="BE563" s="307"/>
      <c r="BF563" s="307"/>
      <c r="BG563" s="445">
        <f t="shared" si="209"/>
        <v>0</v>
      </c>
      <c r="BH563" s="442"/>
      <c r="BI563" s="443"/>
      <c r="BJ563" s="444">
        <f t="shared" si="210"/>
        <v>0</v>
      </c>
      <c r="BK563" s="307"/>
      <c r="BL563" s="307"/>
      <c r="BM563" s="445">
        <f t="shared" si="211"/>
        <v>0</v>
      </c>
      <c r="BN563" s="442"/>
      <c r="BO563" s="443"/>
      <c r="BP563" s="444">
        <f t="shared" si="212"/>
        <v>0</v>
      </c>
      <c r="BQ563" s="307"/>
      <c r="BR563" s="307"/>
      <c r="BS563" s="445">
        <f t="shared" si="213"/>
        <v>0</v>
      </c>
      <c r="BT563" s="442"/>
      <c r="BU563" s="443"/>
      <c r="BV563" s="444">
        <f t="shared" si="214"/>
        <v>0</v>
      </c>
      <c r="BW563" s="307"/>
      <c r="BX563" s="307"/>
      <c r="BY563" s="449">
        <f t="shared" si="215"/>
        <v>0</v>
      </c>
    </row>
    <row r="564" spans="1:77" s="308" customFormat="1" ht="12.75" customHeight="1">
      <c r="A564" s="373" t="s">
        <v>309</v>
      </c>
      <c r="B564" s="410" t="s">
        <v>104</v>
      </c>
      <c r="C564" s="556" t="s">
        <v>1104</v>
      </c>
      <c r="D564" s="375">
        <v>224615</v>
      </c>
      <c r="E564" s="411">
        <v>8</v>
      </c>
      <c r="F564" s="453"/>
      <c r="G564" s="454"/>
      <c r="H564" s="439">
        <f t="shared" si="192"/>
        <v>0</v>
      </c>
      <c r="I564" s="311"/>
      <c r="J564" s="311"/>
      <c r="K564" s="441">
        <f t="shared" si="193"/>
        <v>0</v>
      </c>
      <c r="L564" s="442"/>
      <c r="M564" s="443"/>
      <c r="N564" s="444">
        <f t="shared" si="194"/>
        <v>0</v>
      </c>
      <c r="O564" s="307"/>
      <c r="P564" s="307"/>
      <c r="Q564" s="445">
        <f t="shared" si="195"/>
        <v>0</v>
      </c>
      <c r="R564" s="442"/>
      <c r="S564" s="443"/>
      <c r="T564" s="444">
        <f t="shared" si="196"/>
        <v>0</v>
      </c>
      <c r="U564" s="307"/>
      <c r="V564" s="307"/>
      <c r="W564" s="441">
        <f t="shared" si="197"/>
        <v>0</v>
      </c>
      <c r="X564" s="442"/>
      <c r="Y564" s="443"/>
      <c r="Z564" s="444">
        <f t="shared" si="198"/>
        <v>0</v>
      </c>
      <c r="AA564" s="307"/>
      <c r="AB564" s="307"/>
      <c r="AC564" s="445">
        <f t="shared" si="199"/>
        <v>0</v>
      </c>
      <c r="AD564" s="442"/>
      <c r="AE564" s="443"/>
      <c r="AF564" s="444">
        <f t="shared" si="200"/>
        <v>0</v>
      </c>
      <c r="AG564" s="307"/>
      <c r="AH564" s="307"/>
      <c r="AI564" s="445">
        <f t="shared" si="201"/>
        <v>0</v>
      </c>
      <c r="AJ564" s="446">
        <v>137</v>
      </c>
      <c r="AK564" s="443">
        <v>54471.802919708032</v>
      </c>
      <c r="AL564" s="444">
        <f t="shared" si="202"/>
        <v>7462637</v>
      </c>
      <c r="AM564" s="307">
        <v>136</v>
      </c>
      <c r="AN564" s="307">
        <v>53986.566176470587</v>
      </c>
      <c r="AO564" s="447">
        <f t="shared" si="203"/>
        <v>7342173</v>
      </c>
      <c r="AP564" s="448"/>
      <c r="AQ564" s="443"/>
      <c r="AR564" s="444">
        <f t="shared" si="204"/>
        <v>0</v>
      </c>
      <c r="AS564" s="307"/>
      <c r="AT564" s="307"/>
      <c r="AU564" s="441">
        <f t="shared" si="205"/>
        <v>0</v>
      </c>
      <c r="AV564" s="442"/>
      <c r="AW564" s="443"/>
      <c r="AX564" s="444">
        <f t="shared" si="206"/>
        <v>0</v>
      </c>
      <c r="AY564" s="307"/>
      <c r="AZ564" s="307"/>
      <c r="BA564" s="445">
        <f t="shared" si="207"/>
        <v>0</v>
      </c>
      <c r="BB564" s="442"/>
      <c r="BC564" s="443"/>
      <c r="BD564" s="444">
        <f t="shared" si="208"/>
        <v>0</v>
      </c>
      <c r="BE564" s="307"/>
      <c r="BF564" s="307"/>
      <c r="BG564" s="445">
        <f t="shared" si="209"/>
        <v>0</v>
      </c>
      <c r="BH564" s="442"/>
      <c r="BI564" s="443"/>
      <c r="BJ564" s="444">
        <f t="shared" si="210"/>
        <v>0</v>
      </c>
      <c r="BK564" s="307"/>
      <c r="BL564" s="307"/>
      <c r="BM564" s="445">
        <f t="shared" si="211"/>
        <v>0</v>
      </c>
      <c r="BN564" s="442"/>
      <c r="BO564" s="443"/>
      <c r="BP564" s="444">
        <f t="shared" si="212"/>
        <v>0</v>
      </c>
      <c r="BQ564" s="307"/>
      <c r="BR564" s="307"/>
      <c r="BS564" s="445">
        <f t="shared" si="213"/>
        <v>0</v>
      </c>
      <c r="BT564" s="442"/>
      <c r="BU564" s="443"/>
      <c r="BV564" s="444">
        <f t="shared" si="214"/>
        <v>0</v>
      </c>
      <c r="BW564" s="307"/>
      <c r="BX564" s="307"/>
      <c r="BY564" s="449">
        <f t="shared" si="215"/>
        <v>0</v>
      </c>
    </row>
    <row r="565" spans="1:77" s="308" customFormat="1" ht="12.75" customHeight="1">
      <c r="A565" s="373" t="s">
        <v>309</v>
      </c>
      <c r="B565" s="374" t="s">
        <v>86</v>
      </c>
      <c r="C565" s="374"/>
      <c r="D565" s="375">
        <v>224642</v>
      </c>
      <c r="E565" s="323">
        <v>8</v>
      </c>
      <c r="F565" s="453">
        <v>159</v>
      </c>
      <c r="G565" s="454">
        <v>62893.119496855346</v>
      </c>
      <c r="H565" s="439">
        <f t="shared" si="192"/>
        <v>10000006</v>
      </c>
      <c r="I565" s="311">
        <v>162</v>
      </c>
      <c r="J565" s="311">
        <v>64219.919753086418</v>
      </c>
      <c r="K565" s="441">
        <f t="shared" si="193"/>
        <v>10403627</v>
      </c>
      <c r="L565" s="442">
        <v>97</v>
      </c>
      <c r="M565" s="443">
        <v>44380.680412371134</v>
      </c>
      <c r="N565" s="444">
        <f t="shared" si="194"/>
        <v>4304926</v>
      </c>
      <c r="O565" s="307">
        <v>119</v>
      </c>
      <c r="P565" s="307">
        <v>47014.277310924372</v>
      </c>
      <c r="Q565" s="445">
        <f t="shared" si="195"/>
        <v>5594699</v>
      </c>
      <c r="R565" s="442">
        <v>90</v>
      </c>
      <c r="S565" s="443">
        <v>39240.522222222222</v>
      </c>
      <c r="T565" s="444">
        <f t="shared" si="196"/>
        <v>3531647</v>
      </c>
      <c r="U565" s="307">
        <v>61</v>
      </c>
      <c r="V565" s="307">
        <v>43597.754098360652</v>
      </c>
      <c r="W565" s="441">
        <f t="shared" si="197"/>
        <v>2659463</v>
      </c>
      <c r="X565" s="442"/>
      <c r="Y565" s="443"/>
      <c r="Z565" s="444">
        <f t="shared" si="198"/>
        <v>0</v>
      </c>
      <c r="AA565" s="307"/>
      <c r="AB565" s="307"/>
      <c r="AC565" s="445">
        <f t="shared" si="199"/>
        <v>0</v>
      </c>
      <c r="AD565" s="442">
        <v>58</v>
      </c>
      <c r="AE565" s="443">
        <v>41507.137931034486</v>
      </c>
      <c r="AF565" s="444">
        <f t="shared" si="200"/>
        <v>2407414</v>
      </c>
      <c r="AG565" s="307">
        <v>54</v>
      </c>
      <c r="AH565" s="307">
        <v>36405.962962962964</v>
      </c>
      <c r="AI565" s="445">
        <f t="shared" si="201"/>
        <v>1965922</v>
      </c>
      <c r="AJ565" s="446"/>
      <c r="AK565" s="443"/>
      <c r="AL565" s="444">
        <f t="shared" si="202"/>
        <v>0</v>
      </c>
      <c r="AM565" s="307"/>
      <c r="AN565" s="307"/>
      <c r="AO565" s="447">
        <f t="shared" si="203"/>
        <v>0</v>
      </c>
      <c r="AP565" s="448"/>
      <c r="AQ565" s="443"/>
      <c r="AR565" s="444">
        <f t="shared" si="204"/>
        <v>0</v>
      </c>
      <c r="AS565" s="307"/>
      <c r="AT565" s="307"/>
      <c r="AU565" s="441">
        <f t="shared" si="205"/>
        <v>0</v>
      </c>
      <c r="AV565" s="442"/>
      <c r="AW565" s="443"/>
      <c r="AX565" s="444">
        <f t="shared" si="206"/>
        <v>0</v>
      </c>
      <c r="AY565" s="307"/>
      <c r="AZ565" s="307"/>
      <c r="BA565" s="445">
        <f t="shared" si="207"/>
        <v>0</v>
      </c>
      <c r="BB565" s="442"/>
      <c r="BC565" s="443"/>
      <c r="BD565" s="444">
        <f t="shared" si="208"/>
        <v>0</v>
      </c>
      <c r="BE565" s="307"/>
      <c r="BF565" s="307"/>
      <c r="BG565" s="445">
        <f t="shared" si="209"/>
        <v>0</v>
      </c>
      <c r="BH565" s="442"/>
      <c r="BI565" s="443"/>
      <c r="BJ565" s="444">
        <f t="shared" si="210"/>
        <v>0</v>
      </c>
      <c r="BK565" s="307"/>
      <c r="BL565" s="307"/>
      <c r="BM565" s="445">
        <f t="shared" si="211"/>
        <v>0</v>
      </c>
      <c r="BN565" s="442"/>
      <c r="BO565" s="443"/>
      <c r="BP565" s="444">
        <f t="shared" si="212"/>
        <v>0</v>
      </c>
      <c r="BQ565" s="307">
        <v>23</v>
      </c>
      <c r="BR565" s="307">
        <v>49305.739130434784</v>
      </c>
      <c r="BS565" s="445">
        <f t="shared" si="213"/>
        <v>927864.9824000001</v>
      </c>
      <c r="BT565" s="442"/>
      <c r="BU565" s="443"/>
      <c r="BV565" s="444">
        <f t="shared" si="214"/>
        <v>0</v>
      </c>
      <c r="BW565" s="307"/>
      <c r="BX565" s="307"/>
      <c r="BY565" s="449">
        <f t="shared" si="215"/>
        <v>0</v>
      </c>
    </row>
    <row r="566" spans="1:77" s="308" customFormat="1" ht="12.75" customHeight="1">
      <c r="A566" s="373" t="s">
        <v>309</v>
      </c>
      <c r="B566" s="374" t="s">
        <v>87</v>
      </c>
      <c r="C566" s="374"/>
      <c r="D566" s="375">
        <v>225423</v>
      </c>
      <c r="E566" s="323">
        <v>8</v>
      </c>
      <c r="F566" s="453"/>
      <c r="G566" s="454"/>
      <c r="H566" s="439">
        <f t="shared" si="192"/>
        <v>0</v>
      </c>
      <c r="I566" s="311"/>
      <c r="J566" s="311"/>
      <c r="K566" s="441">
        <f t="shared" si="193"/>
        <v>0</v>
      </c>
      <c r="L566" s="442"/>
      <c r="M566" s="443"/>
      <c r="N566" s="444">
        <f t="shared" si="194"/>
        <v>0</v>
      </c>
      <c r="O566" s="307"/>
      <c r="P566" s="307"/>
      <c r="Q566" s="445">
        <f t="shared" si="195"/>
        <v>0</v>
      </c>
      <c r="R566" s="442"/>
      <c r="S566" s="443"/>
      <c r="T566" s="444">
        <f t="shared" si="196"/>
        <v>0</v>
      </c>
      <c r="U566" s="307"/>
      <c r="V566" s="307"/>
      <c r="W566" s="441">
        <f t="shared" si="197"/>
        <v>0</v>
      </c>
      <c r="X566" s="442"/>
      <c r="Y566" s="443"/>
      <c r="Z566" s="444">
        <f t="shared" si="198"/>
        <v>0</v>
      </c>
      <c r="AA566" s="307">
        <v>553</v>
      </c>
      <c r="AB566" s="307">
        <v>54823.840867992767</v>
      </c>
      <c r="AC566" s="445">
        <f t="shared" si="199"/>
        <v>30317584</v>
      </c>
      <c r="AD566" s="442"/>
      <c r="AE566" s="443"/>
      <c r="AF566" s="444">
        <f t="shared" si="200"/>
        <v>0</v>
      </c>
      <c r="AG566" s="307"/>
      <c r="AH566" s="307"/>
      <c r="AI566" s="445">
        <f t="shared" si="201"/>
        <v>0</v>
      </c>
      <c r="AJ566" s="446">
        <v>528</v>
      </c>
      <c r="AK566" s="443">
        <v>53701.515151515152</v>
      </c>
      <c r="AL566" s="444">
        <f t="shared" si="202"/>
        <v>28354400</v>
      </c>
      <c r="AM566" s="307"/>
      <c r="AN566" s="307"/>
      <c r="AO566" s="447">
        <f t="shared" si="203"/>
        <v>0</v>
      </c>
      <c r="AP566" s="448"/>
      <c r="AQ566" s="443"/>
      <c r="AR566" s="444">
        <f t="shared" si="204"/>
        <v>0</v>
      </c>
      <c r="AS566" s="307"/>
      <c r="AT566" s="307"/>
      <c r="AU566" s="441">
        <f t="shared" si="205"/>
        <v>0</v>
      </c>
      <c r="AV566" s="442"/>
      <c r="AW566" s="443"/>
      <c r="AX566" s="444">
        <f t="shared" si="206"/>
        <v>0</v>
      </c>
      <c r="AY566" s="307"/>
      <c r="AZ566" s="307"/>
      <c r="BA566" s="445">
        <f t="shared" si="207"/>
        <v>0</v>
      </c>
      <c r="BB566" s="442"/>
      <c r="BC566" s="443"/>
      <c r="BD566" s="444">
        <f t="shared" si="208"/>
        <v>0</v>
      </c>
      <c r="BE566" s="307"/>
      <c r="BF566" s="307"/>
      <c r="BG566" s="445">
        <f t="shared" si="209"/>
        <v>0</v>
      </c>
      <c r="BH566" s="442"/>
      <c r="BI566" s="443"/>
      <c r="BJ566" s="444">
        <f t="shared" si="210"/>
        <v>0</v>
      </c>
      <c r="BK566" s="307">
        <v>357</v>
      </c>
      <c r="BL566" s="307">
        <v>74474.408963585433</v>
      </c>
      <c r="BM566" s="445">
        <f t="shared" si="211"/>
        <v>21753781.224800002</v>
      </c>
      <c r="BN566" s="442"/>
      <c r="BO566" s="443"/>
      <c r="BP566" s="444">
        <f t="shared" si="212"/>
        <v>0</v>
      </c>
      <c r="BQ566" s="307"/>
      <c r="BR566" s="307"/>
      <c r="BS566" s="445">
        <f t="shared" si="213"/>
        <v>0</v>
      </c>
      <c r="BT566" s="442">
        <v>320</v>
      </c>
      <c r="BU566" s="443">
        <v>77196.412500000006</v>
      </c>
      <c r="BV566" s="444">
        <f t="shared" si="214"/>
        <v>20211873.5064</v>
      </c>
      <c r="BW566" s="307"/>
      <c r="BX566" s="307"/>
      <c r="BY566" s="449">
        <f t="shared" si="215"/>
        <v>0</v>
      </c>
    </row>
    <row r="567" spans="1:77" s="308" customFormat="1" ht="12.75" customHeight="1">
      <c r="A567" s="373" t="s">
        <v>309</v>
      </c>
      <c r="B567" s="374" t="s">
        <v>88</v>
      </c>
      <c r="C567" s="374"/>
      <c r="D567" s="375">
        <v>226134</v>
      </c>
      <c r="E567" s="323">
        <v>8</v>
      </c>
      <c r="F567" s="453"/>
      <c r="G567" s="454"/>
      <c r="H567" s="439">
        <f t="shared" si="192"/>
        <v>0</v>
      </c>
      <c r="I567" s="311"/>
      <c r="J567" s="311"/>
      <c r="K567" s="441">
        <f t="shared" si="193"/>
        <v>0</v>
      </c>
      <c r="L567" s="442"/>
      <c r="M567" s="443"/>
      <c r="N567" s="444">
        <f t="shared" si="194"/>
        <v>0</v>
      </c>
      <c r="O567" s="307"/>
      <c r="P567" s="307"/>
      <c r="Q567" s="445">
        <f t="shared" si="195"/>
        <v>0</v>
      </c>
      <c r="R567" s="442"/>
      <c r="S567" s="443"/>
      <c r="T567" s="444">
        <f t="shared" si="196"/>
        <v>0</v>
      </c>
      <c r="U567" s="307"/>
      <c r="V567" s="307"/>
      <c r="W567" s="441">
        <f t="shared" si="197"/>
        <v>0</v>
      </c>
      <c r="X567" s="442"/>
      <c r="Y567" s="443"/>
      <c r="Z567" s="444">
        <f t="shared" si="198"/>
        <v>0</v>
      </c>
      <c r="AA567" s="307">
        <v>184</v>
      </c>
      <c r="AB567" s="307">
        <v>55429.54891304348</v>
      </c>
      <c r="AC567" s="445">
        <f t="shared" si="199"/>
        <v>10199037</v>
      </c>
      <c r="AD567" s="442"/>
      <c r="AE567" s="443"/>
      <c r="AF567" s="444">
        <f t="shared" si="200"/>
        <v>0</v>
      </c>
      <c r="AG567" s="307"/>
      <c r="AH567" s="307"/>
      <c r="AI567" s="445">
        <f t="shared" si="201"/>
        <v>0</v>
      </c>
      <c r="AJ567" s="446">
        <v>185</v>
      </c>
      <c r="AK567" s="443">
        <v>54954.048648648648</v>
      </c>
      <c r="AL567" s="444">
        <f t="shared" si="202"/>
        <v>10166499</v>
      </c>
      <c r="AM567" s="307"/>
      <c r="AN567" s="307"/>
      <c r="AO567" s="447">
        <f t="shared" si="203"/>
        <v>0</v>
      </c>
      <c r="AP567" s="448"/>
      <c r="AQ567" s="443"/>
      <c r="AR567" s="444">
        <f t="shared" si="204"/>
        <v>0</v>
      </c>
      <c r="AS567" s="307"/>
      <c r="AT567" s="307"/>
      <c r="AU567" s="441">
        <f t="shared" si="205"/>
        <v>0</v>
      </c>
      <c r="AV567" s="442"/>
      <c r="AW567" s="443"/>
      <c r="AX567" s="444">
        <f t="shared" si="206"/>
        <v>0</v>
      </c>
      <c r="AY567" s="307"/>
      <c r="AZ567" s="307"/>
      <c r="BA567" s="445">
        <f t="shared" si="207"/>
        <v>0</v>
      </c>
      <c r="BB567" s="442"/>
      <c r="BC567" s="443"/>
      <c r="BD567" s="444">
        <f t="shared" si="208"/>
        <v>0</v>
      </c>
      <c r="BE567" s="307"/>
      <c r="BF567" s="307"/>
      <c r="BG567" s="445">
        <f t="shared" si="209"/>
        <v>0</v>
      </c>
      <c r="BH567" s="442"/>
      <c r="BI567" s="443"/>
      <c r="BJ567" s="444">
        <f t="shared" si="210"/>
        <v>0</v>
      </c>
      <c r="BK567" s="307">
        <v>13</v>
      </c>
      <c r="BL567" s="307">
        <v>67839.230769230766</v>
      </c>
      <c r="BM567" s="445">
        <f t="shared" si="211"/>
        <v>721578.76199999999</v>
      </c>
      <c r="BN567" s="442"/>
      <c r="BO567" s="443"/>
      <c r="BP567" s="444">
        <f t="shared" si="212"/>
        <v>0</v>
      </c>
      <c r="BQ567" s="307"/>
      <c r="BR567" s="307"/>
      <c r="BS567" s="445">
        <f t="shared" si="213"/>
        <v>0</v>
      </c>
      <c r="BT567" s="442">
        <v>13</v>
      </c>
      <c r="BU567" s="443">
        <v>67530.538461538468</v>
      </c>
      <c r="BV567" s="444">
        <f t="shared" si="214"/>
        <v>718295.32540000009</v>
      </c>
      <c r="BW567" s="307"/>
      <c r="BX567" s="307"/>
      <c r="BY567" s="449">
        <f t="shared" si="215"/>
        <v>0</v>
      </c>
    </row>
    <row r="568" spans="1:77" s="308" customFormat="1" ht="12.75" customHeight="1">
      <c r="A568" s="373" t="s">
        <v>309</v>
      </c>
      <c r="B568" s="374" t="s">
        <v>743</v>
      </c>
      <c r="C568" s="374"/>
      <c r="D568" s="375">
        <v>227182</v>
      </c>
      <c r="E568" s="323">
        <v>8</v>
      </c>
      <c r="F568" s="453">
        <v>442</v>
      </c>
      <c r="G568" s="454">
        <v>68704.438914027152</v>
      </c>
      <c r="H568" s="439">
        <f t="shared" si="192"/>
        <v>30367362</v>
      </c>
      <c r="I568" s="311">
        <v>461</v>
      </c>
      <c r="J568" s="311">
        <v>68058.347071583514</v>
      </c>
      <c r="K568" s="441">
        <f t="shared" si="193"/>
        <v>31374898</v>
      </c>
      <c r="L568" s="442">
        <v>120</v>
      </c>
      <c r="M568" s="443">
        <v>54734.26666666667</v>
      </c>
      <c r="N568" s="444">
        <f t="shared" si="194"/>
        <v>6568112</v>
      </c>
      <c r="O568" s="307">
        <v>116</v>
      </c>
      <c r="P568" s="307">
        <v>53034.879310344826</v>
      </c>
      <c r="Q568" s="445">
        <f t="shared" si="195"/>
        <v>6152046</v>
      </c>
      <c r="R568" s="442">
        <v>24</v>
      </c>
      <c r="S568" s="443">
        <v>51999.333333333336</v>
      </c>
      <c r="T568" s="444">
        <f t="shared" si="196"/>
        <v>1247984</v>
      </c>
      <c r="U568" s="307">
        <v>21</v>
      </c>
      <c r="V568" s="307">
        <v>49530.190476190473</v>
      </c>
      <c r="W568" s="441">
        <f t="shared" si="197"/>
        <v>1040134</v>
      </c>
      <c r="X568" s="442">
        <v>3</v>
      </c>
      <c r="Y568" s="443">
        <v>30267</v>
      </c>
      <c r="Z568" s="444">
        <f t="shared" si="198"/>
        <v>90801</v>
      </c>
      <c r="AA568" s="307">
        <v>1</v>
      </c>
      <c r="AB568" s="307">
        <v>34364</v>
      </c>
      <c r="AC568" s="445">
        <f t="shared" si="199"/>
        <v>34364</v>
      </c>
      <c r="AD568" s="442"/>
      <c r="AE568" s="443"/>
      <c r="AF568" s="444">
        <f t="shared" si="200"/>
        <v>0</v>
      </c>
      <c r="AG568" s="307"/>
      <c r="AH568" s="307"/>
      <c r="AI568" s="445">
        <f t="shared" si="201"/>
        <v>0</v>
      </c>
      <c r="AJ568" s="446"/>
      <c r="AK568" s="443"/>
      <c r="AL568" s="444">
        <f t="shared" si="202"/>
        <v>0</v>
      </c>
      <c r="AM568" s="307"/>
      <c r="AN568" s="307"/>
      <c r="AO568" s="447">
        <f t="shared" si="203"/>
        <v>0</v>
      </c>
      <c r="AP568" s="448">
        <v>35</v>
      </c>
      <c r="AQ568" s="443">
        <v>74530.028571428571</v>
      </c>
      <c r="AR568" s="444">
        <f t="shared" si="204"/>
        <v>2134316.4282</v>
      </c>
      <c r="AS568" s="307">
        <v>38</v>
      </c>
      <c r="AT568" s="307">
        <v>73181.210526315786</v>
      </c>
      <c r="AU568" s="441">
        <f t="shared" si="205"/>
        <v>2275320.9251999999</v>
      </c>
      <c r="AV568" s="442">
        <v>19</v>
      </c>
      <c r="AW568" s="443">
        <v>59847.210526315786</v>
      </c>
      <c r="AX568" s="444">
        <f t="shared" si="206"/>
        <v>930372.76540000003</v>
      </c>
      <c r="AY568" s="307">
        <v>19</v>
      </c>
      <c r="AZ568" s="307">
        <v>58113.57894736842</v>
      </c>
      <c r="BA568" s="445">
        <f t="shared" si="207"/>
        <v>903422.0756000001</v>
      </c>
      <c r="BB568" s="442">
        <v>9</v>
      </c>
      <c r="BC568" s="443">
        <v>55990.333333333336</v>
      </c>
      <c r="BD568" s="444">
        <f t="shared" si="208"/>
        <v>412301.61660000001</v>
      </c>
      <c r="BE568" s="307">
        <v>6</v>
      </c>
      <c r="BF568" s="307">
        <v>55393.5</v>
      </c>
      <c r="BG568" s="445">
        <f t="shared" si="209"/>
        <v>271937.77020000003</v>
      </c>
      <c r="BH568" s="442"/>
      <c r="BI568" s="443"/>
      <c r="BJ568" s="444">
        <f t="shared" si="210"/>
        <v>0</v>
      </c>
      <c r="BK568" s="307">
        <v>3</v>
      </c>
      <c r="BL568" s="307">
        <v>56103</v>
      </c>
      <c r="BM568" s="445">
        <f t="shared" si="211"/>
        <v>137710.42380000002</v>
      </c>
      <c r="BN568" s="442"/>
      <c r="BO568" s="443"/>
      <c r="BP568" s="444">
        <f t="shared" si="212"/>
        <v>0</v>
      </c>
      <c r="BQ568" s="307"/>
      <c r="BR568" s="307"/>
      <c r="BS568" s="445">
        <f t="shared" si="213"/>
        <v>0</v>
      </c>
      <c r="BT568" s="442"/>
      <c r="BU568" s="443"/>
      <c r="BV568" s="444">
        <f t="shared" si="214"/>
        <v>0</v>
      </c>
      <c r="BW568" s="307"/>
      <c r="BX568" s="307"/>
      <c r="BY568" s="449">
        <f t="shared" si="215"/>
        <v>0</v>
      </c>
    </row>
    <row r="569" spans="1:77" s="308" customFormat="1" ht="12.75" customHeight="1">
      <c r="A569" s="373" t="s">
        <v>309</v>
      </c>
      <c r="B569" s="374" t="s">
        <v>89</v>
      </c>
      <c r="C569" s="374"/>
      <c r="D569" s="375">
        <v>226578</v>
      </c>
      <c r="E569" s="323">
        <v>8</v>
      </c>
      <c r="F569" s="453"/>
      <c r="G569" s="454"/>
      <c r="H569" s="439">
        <f t="shared" si="192"/>
        <v>0</v>
      </c>
      <c r="I569" s="311"/>
      <c r="J569" s="311"/>
      <c r="K569" s="441">
        <f t="shared" si="193"/>
        <v>0</v>
      </c>
      <c r="L569" s="442"/>
      <c r="M569" s="443"/>
      <c r="N569" s="444">
        <f t="shared" si="194"/>
        <v>0</v>
      </c>
      <c r="O569" s="307"/>
      <c r="P569" s="307"/>
      <c r="Q569" s="445">
        <f t="shared" si="195"/>
        <v>0</v>
      </c>
      <c r="R569" s="442"/>
      <c r="S569" s="443"/>
      <c r="T569" s="444">
        <f t="shared" si="196"/>
        <v>0</v>
      </c>
      <c r="U569" s="307"/>
      <c r="V569" s="307"/>
      <c r="W569" s="441">
        <f t="shared" si="197"/>
        <v>0</v>
      </c>
      <c r="X569" s="442"/>
      <c r="Y569" s="443"/>
      <c r="Z569" s="444">
        <f t="shared" si="198"/>
        <v>0</v>
      </c>
      <c r="AA569" s="307"/>
      <c r="AB569" s="307"/>
      <c r="AC569" s="445">
        <f t="shared" si="199"/>
        <v>0</v>
      </c>
      <c r="AD569" s="442"/>
      <c r="AE569" s="443"/>
      <c r="AF569" s="444">
        <f t="shared" si="200"/>
        <v>0</v>
      </c>
      <c r="AG569" s="307"/>
      <c r="AH569" s="307"/>
      <c r="AI569" s="445">
        <f t="shared" si="201"/>
        <v>0</v>
      </c>
      <c r="AJ569" s="446">
        <v>186</v>
      </c>
      <c r="AK569" s="443">
        <v>60100.827956989247</v>
      </c>
      <c r="AL569" s="444">
        <f t="shared" si="202"/>
        <v>11178754</v>
      </c>
      <c r="AM569" s="307">
        <v>190</v>
      </c>
      <c r="AN569" s="307">
        <v>62395.826315789476</v>
      </c>
      <c r="AO569" s="447">
        <f t="shared" si="203"/>
        <v>11855207</v>
      </c>
      <c r="AP569" s="448"/>
      <c r="AQ569" s="443"/>
      <c r="AR569" s="444">
        <f t="shared" si="204"/>
        <v>0</v>
      </c>
      <c r="AS569" s="307"/>
      <c r="AT569" s="307"/>
      <c r="AU569" s="441">
        <f t="shared" si="205"/>
        <v>0</v>
      </c>
      <c r="AV569" s="442"/>
      <c r="AW569" s="443"/>
      <c r="AX569" s="444">
        <f t="shared" si="206"/>
        <v>0</v>
      </c>
      <c r="AY569" s="307"/>
      <c r="AZ569" s="307"/>
      <c r="BA569" s="445">
        <f t="shared" si="207"/>
        <v>0</v>
      </c>
      <c r="BB569" s="442"/>
      <c r="BC569" s="443"/>
      <c r="BD569" s="444">
        <f t="shared" si="208"/>
        <v>0</v>
      </c>
      <c r="BE569" s="307"/>
      <c r="BF569" s="307"/>
      <c r="BG569" s="445">
        <f t="shared" si="209"/>
        <v>0</v>
      </c>
      <c r="BH569" s="442"/>
      <c r="BI569" s="443"/>
      <c r="BJ569" s="444">
        <f t="shared" si="210"/>
        <v>0</v>
      </c>
      <c r="BK569" s="307"/>
      <c r="BL569" s="307"/>
      <c r="BM569" s="445">
        <f t="shared" si="211"/>
        <v>0</v>
      </c>
      <c r="BN569" s="442"/>
      <c r="BO569" s="443"/>
      <c r="BP569" s="444">
        <f t="shared" si="212"/>
        <v>0</v>
      </c>
      <c r="BQ569" s="307"/>
      <c r="BR569" s="307"/>
      <c r="BS569" s="445">
        <f t="shared" si="213"/>
        <v>0</v>
      </c>
      <c r="BT569" s="442">
        <v>19</v>
      </c>
      <c r="BU569" s="443">
        <v>57307.73684210526</v>
      </c>
      <c r="BV569" s="444">
        <f t="shared" si="214"/>
        <v>890894.61540000001</v>
      </c>
      <c r="BW569" s="307">
        <v>20</v>
      </c>
      <c r="BX569" s="307">
        <v>59164.05</v>
      </c>
      <c r="BY569" s="449">
        <f t="shared" si="215"/>
        <v>968160.51420000009</v>
      </c>
    </row>
    <row r="570" spans="1:77" s="308" customFormat="1" ht="12.75" customHeight="1">
      <c r="A570" s="378" t="s">
        <v>309</v>
      </c>
      <c r="B570" s="381" t="s">
        <v>113</v>
      </c>
      <c r="C570" s="381"/>
      <c r="D570" s="379">
        <v>227146</v>
      </c>
      <c r="E570" s="380">
        <v>8</v>
      </c>
      <c r="F570" s="453">
        <v>40</v>
      </c>
      <c r="G570" s="454">
        <v>56724.4</v>
      </c>
      <c r="H570" s="439">
        <f t="shared" si="192"/>
        <v>2268976</v>
      </c>
      <c r="I570" s="311">
        <v>38</v>
      </c>
      <c r="J570" s="311">
        <v>58045.684210526313</v>
      </c>
      <c r="K570" s="441">
        <f t="shared" si="193"/>
        <v>2205736</v>
      </c>
      <c r="L570" s="442">
        <v>44</v>
      </c>
      <c r="M570" s="443">
        <v>51735.5</v>
      </c>
      <c r="N570" s="444">
        <f t="shared" si="194"/>
        <v>2276362</v>
      </c>
      <c r="O570" s="307">
        <v>44</v>
      </c>
      <c r="P570" s="307">
        <v>50585.545454545456</v>
      </c>
      <c r="Q570" s="445">
        <f t="shared" si="195"/>
        <v>2225764</v>
      </c>
      <c r="R570" s="442">
        <v>8</v>
      </c>
      <c r="S570" s="443">
        <v>47890.75</v>
      </c>
      <c r="T570" s="444">
        <f t="shared" si="196"/>
        <v>383126</v>
      </c>
      <c r="U570" s="307">
        <v>4</v>
      </c>
      <c r="V570" s="307">
        <v>49147</v>
      </c>
      <c r="W570" s="441">
        <f t="shared" si="197"/>
        <v>196588</v>
      </c>
      <c r="X570" s="442"/>
      <c r="Y570" s="443"/>
      <c r="Z570" s="444">
        <f t="shared" si="198"/>
        <v>0</v>
      </c>
      <c r="AA570" s="307"/>
      <c r="AB570" s="307"/>
      <c r="AC570" s="445">
        <f t="shared" si="199"/>
        <v>0</v>
      </c>
      <c r="AD570" s="442"/>
      <c r="AE570" s="443"/>
      <c r="AF570" s="444">
        <f t="shared" si="200"/>
        <v>0</v>
      </c>
      <c r="AG570" s="307"/>
      <c r="AH570" s="307"/>
      <c r="AI570" s="445">
        <f t="shared" si="201"/>
        <v>0</v>
      </c>
      <c r="AJ570" s="446"/>
      <c r="AK570" s="443"/>
      <c r="AL570" s="444">
        <f t="shared" si="202"/>
        <v>0</v>
      </c>
      <c r="AM570" s="307"/>
      <c r="AN570" s="307"/>
      <c r="AO570" s="447">
        <f t="shared" si="203"/>
        <v>0</v>
      </c>
      <c r="AP570" s="448">
        <v>3</v>
      </c>
      <c r="AQ570" s="443">
        <v>51519.666666666664</v>
      </c>
      <c r="AR570" s="444">
        <f t="shared" si="204"/>
        <v>126460.1738</v>
      </c>
      <c r="AS570" s="307">
        <v>2</v>
      </c>
      <c r="AT570" s="307">
        <v>51143</v>
      </c>
      <c r="AU570" s="441">
        <f t="shared" si="205"/>
        <v>83690.405200000008</v>
      </c>
      <c r="AV570" s="442">
        <v>15</v>
      </c>
      <c r="AW570" s="443">
        <v>60895.6</v>
      </c>
      <c r="AX570" s="444">
        <f t="shared" si="206"/>
        <v>747371.69880000001</v>
      </c>
      <c r="AY570" s="307">
        <v>21</v>
      </c>
      <c r="AZ570" s="307">
        <v>63836.476190476191</v>
      </c>
      <c r="BA570" s="445">
        <f t="shared" si="207"/>
        <v>1096851.1012000002</v>
      </c>
      <c r="BB570" s="442">
        <v>13</v>
      </c>
      <c r="BC570" s="443">
        <v>57418.307692307695</v>
      </c>
      <c r="BD570" s="444">
        <f t="shared" si="208"/>
        <v>610735.57160000002</v>
      </c>
      <c r="BE570" s="307">
        <v>13</v>
      </c>
      <c r="BF570" s="307">
        <v>58147.307692307695</v>
      </c>
      <c r="BG570" s="445">
        <f t="shared" si="209"/>
        <v>618489.65300000005</v>
      </c>
      <c r="BH570" s="442"/>
      <c r="BI570" s="443"/>
      <c r="BJ570" s="444">
        <f t="shared" si="210"/>
        <v>0</v>
      </c>
      <c r="BK570" s="307"/>
      <c r="BL570" s="307"/>
      <c r="BM570" s="445">
        <f t="shared" si="211"/>
        <v>0</v>
      </c>
      <c r="BN570" s="442"/>
      <c r="BO570" s="443"/>
      <c r="BP570" s="444">
        <f t="shared" si="212"/>
        <v>0</v>
      </c>
      <c r="BQ570" s="307"/>
      <c r="BR570" s="307"/>
      <c r="BS570" s="445">
        <f t="shared" si="213"/>
        <v>0</v>
      </c>
      <c r="BT570" s="442"/>
      <c r="BU570" s="443"/>
      <c r="BV570" s="444">
        <f t="shared" si="214"/>
        <v>0</v>
      </c>
      <c r="BW570" s="307"/>
      <c r="BX570" s="307"/>
      <c r="BY570" s="449">
        <f t="shared" si="215"/>
        <v>0</v>
      </c>
    </row>
    <row r="571" spans="1:77" s="308" customFormat="1" ht="12.75" customHeight="1">
      <c r="A571" s="373" t="s">
        <v>309</v>
      </c>
      <c r="B571" s="410" t="s">
        <v>114</v>
      </c>
      <c r="C571" s="556" t="s">
        <v>1104</v>
      </c>
      <c r="D571" s="375">
        <v>224110</v>
      </c>
      <c r="E571" s="411">
        <v>8</v>
      </c>
      <c r="F571" s="453"/>
      <c r="G571" s="454"/>
      <c r="H571" s="439">
        <f t="shared" si="192"/>
        <v>0</v>
      </c>
      <c r="I571" s="311"/>
      <c r="J571" s="311"/>
      <c r="K571" s="441">
        <f t="shared" si="193"/>
        <v>0</v>
      </c>
      <c r="L571" s="442"/>
      <c r="M571" s="443"/>
      <c r="N571" s="444">
        <f t="shared" si="194"/>
        <v>0</v>
      </c>
      <c r="O571" s="307"/>
      <c r="P571" s="307"/>
      <c r="Q571" s="445">
        <f t="shared" si="195"/>
        <v>0</v>
      </c>
      <c r="R571" s="442"/>
      <c r="S571" s="443"/>
      <c r="T571" s="444">
        <f t="shared" si="196"/>
        <v>0</v>
      </c>
      <c r="U571" s="307"/>
      <c r="V571" s="307"/>
      <c r="W571" s="441">
        <f t="shared" si="197"/>
        <v>0</v>
      </c>
      <c r="X571" s="442"/>
      <c r="Y571" s="443"/>
      <c r="Z571" s="444">
        <f t="shared" si="198"/>
        <v>0</v>
      </c>
      <c r="AA571" s="307"/>
      <c r="AB571" s="307"/>
      <c r="AC571" s="445">
        <f t="shared" si="199"/>
        <v>0</v>
      </c>
      <c r="AD571" s="442"/>
      <c r="AE571" s="443"/>
      <c r="AF571" s="444">
        <f t="shared" si="200"/>
        <v>0</v>
      </c>
      <c r="AG571" s="307"/>
      <c r="AH571" s="307"/>
      <c r="AI571" s="445">
        <f t="shared" si="201"/>
        <v>0</v>
      </c>
      <c r="AJ571" s="446">
        <v>100</v>
      </c>
      <c r="AK571" s="443">
        <v>46970.93</v>
      </c>
      <c r="AL571" s="444">
        <f t="shared" si="202"/>
        <v>4697093</v>
      </c>
      <c r="AM571" s="307">
        <v>89</v>
      </c>
      <c r="AN571" s="307">
        <v>47135.6404494382</v>
      </c>
      <c r="AO571" s="447">
        <f t="shared" si="203"/>
        <v>4195072</v>
      </c>
      <c r="AP571" s="448"/>
      <c r="AQ571" s="443"/>
      <c r="AR571" s="444">
        <f t="shared" si="204"/>
        <v>0</v>
      </c>
      <c r="AS571" s="307"/>
      <c r="AT571" s="307"/>
      <c r="AU571" s="441">
        <f t="shared" si="205"/>
        <v>0</v>
      </c>
      <c r="AV571" s="442"/>
      <c r="AW571" s="443"/>
      <c r="AX571" s="444">
        <f t="shared" si="206"/>
        <v>0</v>
      </c>
      <c r="AY571" s="307"/>
      <c r="AZ571" s="307"/>
      <c r="BA571" s="445">
        <f t="shared" si="207"/>
        <v>0</v>
      </c>
      <c r="BB571" s="442"/>
      <c r="BC571" s="443"/>
      <c r="BD571" s="444">
        <f t="shared" si="208"/>
        <v>0</v>
      </c>
      <c r="BE571" s="307"/>
      <c r="BF571" s="307"/>
      <c r="BG571" s="445">
        <f t="shared" si="209"/>
        <v>0</v>
      </c>
      <c r="BH571" s="442"/>
      <c r="BI571" s="443"/>
      <c r="BJ571" s="444">
        <f t="shared" si="210"/>
        <v>0</v>
      </c>
      <c r="BK571" s="307"/>
      <c r="BL571" s="307"/>
      <c r="BM571" s="445">
        <f t="shared" si="211"/>
        <v>0</v>
      </c>
      <c r="BN571" s="442"/>
      <c r="BO571" s="443"/>
      <c r="BP571" s="444">
        <f t="shared" si="212"/>
        <v>0</v>
      </c>
      <c r="BQ571" s="307"/>
      <c r="BR571" s="307"/>
      <c r="BS571" s="445">
        <f t="shared" si="213"/>
        <v>0</v>
      </c>
      <c r="BT571" s="442">
        <v>27</v>
      </c>
      <c r="BU571" s="443">
        <v>54097.925925925927</v>
      </c>
      <c r="BV571" s="444">
        <f t="shared" si="214"/>
        <v>1195098.9208</v>
      </c>
      <c r="BW571" s="307">
        <v>33</v>
      </c>
      <c r="BX571" s="307">
        <v>55769.272727272728</v>
      </c>
      <c r="BY571" s="449">
        <f t="shared" si="215"/>
        <v>1505803.8252000001</v>
      </c>
    </row>
    <row r="572" spans="1:77" s="308" customFormat="1" ht="12.75" customHeight="1">
      <c r="A572" s="373" t="s">
        <v>309</v>
      </c>
      <c r="B572" s="374" t="s">
        <v>744</v>
      </c>
      <c r="C572" s="374"/>
      <c r="D572" s="375">
        <v>227191</v>
      </c>
      <c r="E572" s="323">
        <v>8</v>
      </c>
      <c r="F572" s="453"/>
      <c r="G572" s="454"/>
      <c r="H572" s="439">
        <f t="shared" si="192"/>
        <v>0</v>
      </c>
      <c r="I572" s="311"/>
      <c r="J572" s="311"/>
      <c r="K572" s="441">
        <f t="shared" si="193"/>
        <v>0</v>
      </c>
      <c r="L572" s="442"/>
      <c r="M572" s="443"/>
      <c r="N572" s="444">
        <f t="shared" si="194"/>
        <v>0</v>
      </c>
      <c r="O572" s="307"/>
      <c r="P572" s="307"/>
      <c r="Q572" s="445">
        <f t="shared" si="195"/>
        <v>0</v>
      </c>
      <c r="R572" s="442"/>
      <c r="S572" s="443"/>
      <c r="T572" s="444">
        <f t="shared" si="196"/>
        <v>0</v>
      </c>
      <c r="U572" s="307"/>
      <c r="V572" s="307"/>
      <c r="W572" s="441">
        <f t="shared" si="197"/>
        <v>0</v>
      </c>
      <c r="X572" s="442"/>
      <c r="Y572" s="443"/>
      <c r="Z572" s="444">
        <f t="shared" si="198"/>
        <v>0</v>
      </c>
      <c r="AA572" s="307"/>
      <c r="AB572" s="307"/>
      <c r="AC572" s="445">
        <f t="shared" si="199"/>
        <v>0</v>
      </c>
      <c r="AD572" s="442"/>
      <c r="AE572" s="443"/>
      <c r="AF572" s="444">
        <f t="shared" si="200"/>
        <v>0</v>
      </c>
      <c r="AG572" s="307"/>
      <c r="AH572" s="307"/>
      <c r="AI572" s="445">
        <f t="shared" si="201"/>
        <v>0</v>
      </c>
      <c r="AJ572" s="446">
        <v>109</v>
      </c>
      <c r="AK572" s="443">
        <v>57626</v>
      </c>
      <c r="AL572" s="444">
        <f t="shared" si="202"/>
        <v>6281234</v>
      </c>
      <c r="AM572" s="307">
        <v>104</v>
      </c>
      <c r="AN572" s="307">
        <v>58365.451923076922</v>
      </c>
      <c r="AO572" s="447">
        <f t="shared" si="203"/>
        <v>6070007</v>
      </c>
      <c r="AP572" s="448"/>
      <c r="AQ572" s="443"/>
      <c r="AR572" s="444">
        <f t="shared" si="204"/>
        <v>0</v>
      </c>
      <c r="AS572" s="307"/>
      <c r="AT572" s="307"/>
      <c r="AU572" s="441">
        <f t="shared" si="205"/>
        <v>0</v>
      </c>
      <c r="AV572" s="442"/>
      <c r="AW572" s="443"/>
      <c r="AX572" s="444">
        <f t="shared" si="206"/>
        <v>0</v>
      </c>
      <c r="AY572" s="307"/>
      <c r="AZ572" s="307"/>
      <c r="BA572" s="445">
        <f t="shared" si="207"/>
        <v>0</v>
      </c>
      <c r="BB572" s="442"/>
      <c r="BC572" s="443"/>
      <c r="BD572" s="444">
        <f t="shared" si="208"/>
        <v>0</v>
      </c>
      <c r="BE572" s="307"/>
      <c r="BF572" s="307"/>
      <c r="BG572" s="445">
        <f t="shared" si="209"/>
        <v>0</v>
      </c>
      <c r="BH572" s="442"/>
      <c r="BI572" s="443"/>
      <c r="BJ572" s="444">
        <f t="shared" si="210"/>
        <v>0</v>
      </c>
      <c r="BK572" s="307"/>
      <c r="BL572" s="307"/>
      <c r="BM572" s="445">
        <f t="shared" si="211"/>
        <v>0</v>
      </c>
      <c r="BN572" s="442"/>
      <c r="BO572" s="443"/>
      <c r="BP572" s="444">
        <f t="shared" si="212"/>
        <v>0</v>
      </c>
      <c r="BQ572" s="307"/>
      <c r="BR572" s="307"/>
      <c r="BS572" s="445">
        <f t="shared" si="213"/>
        <v>0</v>
      </c>
      <c r="BT572" s="442"/>
      <c r="BU572" s="443"/>
      <c r="BV572" s="444">
        <f t="shared" si="214"/>
        <v>0</v>
      </c>
      <c r="BW572" s="307"/>
      <c r="BX572" s="307"/>
      <c r="BY572" s="449">
        <f t="shared" si="215"/>
        <v>0</v>
      </c>
    </row>
    <row r="573" spans="1:77" s="308" customFormat="1" ht="12.75" customHeight="1">
      <c r="A573" s="373" t="s">
        <v>309</v>
      </c>
      <c r="B573" s="374" t="s">
        <v>90</v>
      </c>
      <c r="C573" s="374"/>
      <c r="D573" s="375">
        <v>420398</v>
      </c>
      <c r="E573" s="323">
        <v>8</v>
      </c>
      <c r="F573" s="453">
        <v>1</v>
      </c>
      <c r="G573" s="454">
        <v>79776</v>
      </c>
      <c r="H573" s="439">
        <f t="shared" si="192"/>
        <v>79776</v>
      </c>
      <c r="I573" s="311">
        <v>5</v>
      </c>
      <c r="J573" s="311">
        <v>63532.800000000003</v>
      </c>
      <c r="K573" s="441">
        <f t="shared" si="193"/>
        <v>317664</v>
      </c>
      <c r="L573" s="442">
        <v>13</v>
      </c>
      <c r="M573" s="443">
        <v>54973.384615384617</v>
      </c>
      <c r="N573" s="444">
        <f t="shared" si="194"/>
        <v>714654</v>
      </c>
      <c r="O573" s="307">
        <v>18</v>
      </c>
      <c r="P573" s="307">
        <v>57034.777777777781</v>
      </c>
      <c r="Q573" s="445">
        <f t="shared" si="195"/>
        <v>1026626</v>
      </c>
      <c r="R573" s="442">
        <v>37</v>
      </c>
      <c r="S573" s="443">
        <v>50119.2972972973</v>
      </c>
      <c r="T573" s="444">
        <f t="shared" si="196"/>
        <v>1854414</v>
      </c>
      <c r="U573" s="307">
        <v>41</v>
      </c>
      <c r="V573" s="307">
        <v>50536.097560975613</v>
      </c>
      <c r="W573" s="441">
        <f t="shared" si="197"/>
        <v>2071980.0000000002</v>
      </c>
      <c r="X573" s="442">
        <v>74</v>
      </c>
      <c r="Y573" s="443">
        <v>44023.62162162162</v>
      </c>
      <c r="Z573" s="444">
        <f t="shared" si="198"/>
        <v>3257748</v>
      </c>
      <c r="AA573" s="307">
        <v>69</v>
      </c>
      <c r="AB573" s="307">
        <v>42659.492753623192</v>
      </c>
      <c r="AC573" s="445">
        <f t="shared" si="199"/>
        <v>2943505</v>
      </c>
      <c r="AD573" s="442"/>
      <c r="AE573" s="443"/>
      <c r="AF573" s="444">
        <f t="shared" si="200"/>
        <v>0</v>
      </c>
      <c r="AG573" s="307"/>
      <c r="AH573" s="307"/>
      <c r="AI573" s="445">
        <f t="shared" si="201"/>
        <v>0</v>
      </c>
      <c r="AJ573" s="446"/>
      <c r="AK573" s="443"/>
      <c r="AL573" s="444">
        <f t="shared" si="202"/>
        <v>0</v>
      </c>
      <c r="AM573" s="307"/>
      <c r="AN573" s="307"/>
      <c r="AO573" s="447">
        <f t="shared" si="203"/>
        <v>0</v>
      </c>
      <c r="AP573" s="448"/>
      <c r="AQ573" s="443"/>
      <c r="AR573" s="444">
        <f t="shared" si="204"/>
        <v>0</v>
      </c>
      <c r="AS573" s="307"/>
      <c r="AT573" s="307"/>
      <c r="AU573" s="441">
        <f t="shared" si="205"/>
        <v>0</v>
      </c>
      <c r="AV573" s="442"/>
      <c r="AW573" s="443"/>
      <c r="AX573" s="444">
        <f t="shared" si="206"/>
        <v>0</v>
      </c>
      <c r="AY573" s="307">
        <v>3</v>
      </c>
      <c r="AZ573" s="307">
        <v>67123</v>
      </c>
      <c r="BA573" s="445">
        <f t="shared" si="207"/>
        <v>164760.1158</v>
      </c>
      <c r="BB573" s="442">
        <v>6</v>
      </c>
      <c r="BC573" s="443">
        <v>57593.5</v>
      </c>
      <c r="BD573" s="444">
        <f t="shared" si="208"/>
        <v>282738.01020000002</v>
      </c>
      <c r="BE573" s="307">
        <v>3</v>
      </c>
      <c r="BF573" s="307">
        <v>56605.666666666664</v>
      </c>
      <c r="BG573" s="445">
        <f t="shared" si="209"/>
        <v>138944.26940000002</v>
      </c>
      <c r="BH573" s="442">
        <v>4</v>
      </c>
      <c r="BI573" s="443">
        <v>53019.75</v>
      </c>
      <c r="BJ573" s="444">
        <f t="shared" si="210"/>
        <v>173523.03780000002</v>
      </c>
      <c r="BK573" s="307">
        <v>2</v>
      </c>
      <c r="BL573" s="307">
        <v>51075.5</v>
      </c>
      <c r="BM573" s="445">
        <f t="shared" si="211"/>
        <v>83579.948199999999</v>
      </c>
      <c r="BN573" s="442"/>
      <c r="BO573" s="443"/>
      <c r="BP573" s="444">
        <f t="shared" si="212"/>
        <v>0</v>
      </c>
      <c r="BQ573" s="307"/>
      <c r="BR573" s="307"/>
      <c r="BS573" s="445">
        <f t="shared" si="213"/>
        <v>0</v>
      </c>
      <c r="BT573" s="442"/>
      <c r="BU573" s="443"/>
      <c r="BV573" s="444">
        <f t="shared" si="214"/>
        <v>0</v>
      </c>
      <c r="BW573" s="307"/>
      <c r="BX573" s="307"/>
      <c r="BY573" s="449">
        <f t="shared" si="215"/>
        <v>0</v>
      </c>
    </row>
    <row r="574" spans="1:77" s="308" customFormat="1" ht="12.75" customHeight="1">
      <c r="A574" s="373" t="s">
        <v>309</v>
      </c>
      <c r="B574" s="374" t="s">
        <v>91</v>
      </c>
      <c r="C574" s="374"/>
      <c r="D574" s="375">
        <v>246354</v>
      </c>
      <c r="E574" s="323">
        <v>8</v>
      </c>
      <c r="F574" s="453">
        <v>20</v>
      </c>
      <c r="G574" s="454">
        <v>67901.399999999994</v>
      </c>
      <c r="H574" s="439">
        <f t="shared" si="192"/>
        <v>1358028</v>
      </c>
      <c r="I574" s="311">
        <v>21</v>
      </c>
      <c r="J574" s="311">
        <v>69461.952380952382</v>
      </c>
      <c r="K574" s="441">
        <f t="shared" si="193"/>
        <v>1458701</v>
      </c>
      <c r="L574" s="442">
        <v>18</v>
      </c>
      <c r="M574" s="443">
        <v>61300.666666666664</v>
      </c>
      <c r="N574" s="444">
        <f t="shared" si="194"/>
        <v>1103412</v>
      </c>
      <c r="O574" s="307">
        <v>27</v>
      </c>
      <c r="P574" s="307">
        <v>59905.222222222219</v>
      </c>
      <c r="Q574" s="445">
        <f t="shared" si="195"/>
        <v>1617441</v>
      </c>
      <c r="R574" s="442">
        <v>33</v>
      </c>
      <c r="S574" s="443">
        <v>55630.36363636364</v>
      </c>
      <c r="T574" s="444">
        <f t="shared" si="196"/>
        <v>1835802</v>
      </c>
      <c r="U574" s="307">
        <v>29</v>
      </c>
      <c r="V574" s="307">
        <v>55607.34482758621</v>
      </c>
      <c r="W574" s="441">
        <f t="shared" si="197"/>
        <v>1612613</v>
      </c>
      <c r="X574" s="442">
        <v>49</v>
      </c>
      <c r="Y574" s="443">
        <v>47180.387755102041</v>
      </c>
      <c r="Z574" s="444">
        <f t="shared" si="198"/>
        <v>2311839</v>
      </c>
      <c r="AA574" s="307">
        <v>39</v>
      </c>
      <c r="AB574" s="307">
        <v>46469.307692307695</v>
      </c>
      <c r="AC574" s="445">
        <f t="shared" si="199"/>
        <v>1812303</v>
      </c>
      <c r="AD574" s="442"/>
      <c r="AE574" s="443"/>
      <c r="AF574" s="444">
        <f t="shared" si="200"/>
        <v>0</v>
      </c>
      <c r="AG574" s="307"/>
      <c r="AH574" s="307"/>
      <c r="AI574" s="445">
        <f t="shared" si="201"/>
        <v>0</v>
      </c>
      <c r="AJ574" s="446"/>
      <c r="AK574" s="443"/>
      <c r="AL574" s="444">
        <f t="shared" si="202"/>
        <v>0</v>
      </c>
      <c r="AM574" s="307"/>
      <c r="AN574" s="307"/>
      <c r="AO574" s="447">
        <f t="shared" si="203"/>
        <v>0</v>
      </c>
      <c r="AP574" s="448">
        <v>1</v>
      </c>
      <c r="AQ574" s="443">
        <v>79401</v>
      </c>
      <c r="AR574" s="444">
        <f t="shared" si="204"/>
        <v>64965.898200000003</v>
      </c>
      <c r="AS574" s="307">
        <v>1</v>
      </c>
      <c r="AT574" s="307">
        <v>80989</v>
      </c>
      <c r="AU574" s="441">
        <f t="shared" si="205"/>
        <v>66265.199800000002</v>
      </c>
      <c r="AV574" s="442">
        <v>1</v>
      </c>
      <c r="AW574" s="443">
        <v>69510</v>
      </c>
      <c r="AX574" s="444">
        <f t="shared" si="206"/>
        <v>56873.082000000002</v>
      </c>
      <c r="AY574" s="307">
        <v>4</v>
      </c>
      <c r="AZ574" s="307">
        <v>64966.5</v>
      </c>
      <c r="BA574" s="445">
        <f t="shared" si="207"/>
        <v>212622.36120000001</v>
      </c>
      <c r="BB574" s="442">
        <v>4</v>
      </c>
      <c r="BC574" s="443">
        <v>56253</v>
      </c>
      <c r="BD574" s="444">
        <f t="shared" si="208"/>
        <v>184104.81840000002</v>
      </c>
      <c r="BE574" s="307">
        <v>1</v>
      </c>
      <c r="BF574" s="307">
        <v>57448</v>
      </c>
      <c r="BG574" s="445">
        <f t="shared" si="209"/>
        <v>47003.953600000001</v>
      </c>
      <c r="BH574" s="442">
        <v>3</v>
      </c>
      <c r="BI574" s="443">
        <v>51643</v>
      </c>
      <c r="BJ574" s="444">
        <f t="shared" si="210"/>
        <v>126762.9078</v>
      </c>
      <c r="BK574" s="307">
        <v>2</v>
      </c>
      <c r="BL574" s="307">
        <v>49051</v>
      </c>
      <c r="BM574" s="445">
        <f t="shared" si="211"/>
        <v>80267.056400000001</v>
      </c>
      <c r="BN574" s="442"/>
      <c r="BO574" s="443"/>
      <c r="BP574" s="444">
        <f t="shared" si="212"/>
        <v>0</v>
      </c>
      <c r="BQ574" s="307"/>
      <c r="BR574" s="307"/>
      <c r="BS574" s="445">
        <f t="shared" si="213"/>
        <v>0</v>
      </c>
      <c r="BT574" s="442"/>
      <c r="BU574" s="443"/>
      <c r="BV574" s="444">
        <f t="shared" si="214"/>
        <v>0</v>
      </c>
      <c r="BW574" s="307"/>
      <c r="BX574" s="307"/>
      <c r="BY574" s="449">
        <f t="shared" si="215"/>
        <v>0</v>
      </c>
    </row>
    <row r="575" spans="1:77" s="308" customFormat="1" ht="12.75" customHeight="1">
      <c r="A575" s="373" t="s">
        <v>309</v>
      </c>
      <c r="B575" s="374" t="s">
        <v>745</v>
      </c>
      <c r="C575" s="374"/>
      <c r="D575" s="375">
        <v>227766</v>
      </c>
      <c r="E575" s="323">
        <v>8</v>
      </c>
      <c r="F575" s="453"/>
      <c r="G575" s="454"/>
      <c r="H575" s="439">
        <f t="shared" si="192"/>
        <v>0</v>
      </c>
      <c r="I575" s="311"/>
      <c r="J575" s="311"/>
      <c r="K575" s="441">
        <f t="shared" si="193"/>
        <v>0</v>
      </c>
      <c r="L575" s="442"/>
      <c r="M575" s="443"/>
      <c r="N575" s="444">
        <f t="shared" si="194"/>
        <v>0</v>
      </c>
      <c r="O575" s="307"/>
      <c r="P575" s="307"/>
      <c r="Q575" s="445">
        <f t="shared" si="195"/>
        <v>0</v>
      </c>
      <c r="R575" s="442"/>
      <c r="S575" s="443"/>
      <c r="T575" s="444">
        <f t="shared" si="196"/>
        <v>0</v>
      </c>
      <c r="U575" s="307"/>
      <c r="V575" s="307"/>
      <c r="W575" s="441">
        <f t="shared" si="197"/>
        <v>0</v>
      </c>
      <c r="X575" s="442"/>
      <c r="Y575" s="443"/>
      <c r="Z575" s="444">
        <f t="shared" si="198"/>
        <v>0</v>
      </c>
      <c r="AA575" s="307"/>
      <c r="AB575" s="307"/>
      <c r="AC575" s="445">
        <f t="shared" si="199"/>
        <v>0</v>
      </c>
      <c r="AD575" s="442"/>
      <c r="AE575" s="443"/>
      <c r="AF575" s="444">
        <f t="shared" si="200"/>
        <v>0</v>
      </c>
      <c r="AG575" s="307"/>
      <c r="AH575" s="307"/>
      <c r="AI575" s="445">
        <f t="shared" si="201"/>
        <v>0</v>
      </c>
      <c r="AJ575" s="446">
        <v>148</v>
      </c>
      <c r="AK575" s="443">
        <v>64082.62837837838</v>
      </c>
      <c r="AL575" s="444">
        <f t="shared" si="202"/>
        <v>9484229</v>
      </c>
      <c r="AM575" s="307">
        <v>156</v>
      </c>
      <c r="AN575" s="307">
        <v>62238.820512820515</v>
      </c>
      <c r="AO575" s="447">
        <f t="shared" si="203"/>
        <v>9709256</v>
      </c>
      <c r="AP575" s="448"/>
      <c r="AQ575" s="443"/>
      <c r="AR575" s="444">
        <f t="shared" si="204"/>
        <v>0</v>
      </c>
      <c r="AS575" s="307"/>
      <c r="AT575" s="307"/>
      <c r="AU575" s="441">
        <f t="shared" si="205"/>
        <v>0</v>
      </c>
      <c r="AV575" s="442"/>
      <c r="AW575" s="443"/>
      <c r="AX575" s="444">
        <f t="shared" si="206"/>
        <v>0</v>
      </c>
      <c r="AY575" s="307"/>
      <c r="AZ575" s="307"/>
      <c r="BA575" s="445">
        <f t="shared" si="207"/>
        <v>0</v>
      </c>
      <c r="BB575" s="442"/>
      <c r="BC575" s="443"/>
      <c r="BD575" s="444">
        <f t="shared" si="208"/>
        <v>0</v>
      </c>
      <c r="BE575" s="307"/>
      <c r="BF575" s="307"/>
      <c r="BG575" s="445">
        <f t="shared" si="209"/>
        <v>0</v>
      </c>
      <c r="BH575" s="442"/>
      <c r="BI575" s="443"/>
      <c r="BJ575" s="444">
        <f t="shared" si="210"/>
        <v>0</v>
      </c>
      <c r="BK575" s="307"/>
      <c r="BL575" s="307"/>
      <c r="BM575" s="445">
        <f t="shared" si="211"/>
        <v>0</v>
      </c>
      <c r="BN575" s="442"/>
      <c r="BO575" s="443"/>
      <c r="BP575" s="444">
        <f t="shared" si="212"/>
        <v>0</v>
      </c>
      <c r="BQ575" s="307"/>
      <c r="BR575" s="307"/>
      <c r="BS575" s="445">
        <f t="shared" si="213"/>
        <v>0</v>
      </c>
      <c r="BT575" s="442"/>
      <c r="BU575" s="443"/>
      <c r="BV575" s="444">
        <f t="shared" si="214"/>
        <v>0</v>
      </c>
      <c r="BW575" s="307"/>
      <c r="BX575" s="307"/>
      <c r="BY575" s="449">
        <f t="shared" si="215"/>
        <v>0</v>
      </c>
    </row>
    <row r="576" spans="1:77" s="308" customFormat="1" ht="12.75" customHeight="1">
      <c r="A576" s="373" t="s">
        <v>309</v>
      </c>
      <c r="B576" s="374" t="s">
        <v>92</v>
      </c>
      <c r="C576" s="374"/>
      <c r="D576" s="375">
        <v>227924</v>
      </c>
      <c r="E576" s="323">
        <v>8</v>
      </c>
      <c r="F576" s="453">
        <v>238</v>
      </c>
      <c r="G576" s="454">
        <v>70649.092436974795</v>
      </c>
      <c r="H576" s="439">
        <f t="shared" si="192"/>
        <v>16814484</v>
      </c>
      <c r="I576" s="311">
        <v>234</v>
      </c>
      <c r="J576" s="311">
        <v>71633.179487179485</v>
      </c>
      <c r="K576" s="441">
        <f t="shared" si="193"/>
        <v>16762164</v>
      </c>
      <c r="L576" s="442">
        <v>172</v>
      </c>
      <c r="M576" s="443">
        <v>59788.639534883718</v>
      </c>
      <c r="N576" s="444">
        <f t="shared" si="194"/>
        <v>10283646</v>
      </c>
      <c r="O576" s="307">
        <v>140</v>
      </c>
      <c r="P576" s="307">
        <v>59512.1</v>
      </c>
      <c r="Q576" s="445">
        <f t="shared" si="195"/>
        <v>8331694</v>
      </c>
      <c r="R576" s="442">
        <v>172</v>
      </c>
      <c r="S576" s="443">
        <v>52431.860465116282</v>
      </c>
      <c r="T576" s="444">
        <f t="shared" si="196"/>
        <v>9018280</v>
      </c>
      <c r="U576" s="307">
        <v>198</v>
      </c>
      <c r="V576" s="307">
        <v>54233.949494949498</v>
      </c>
      <c r="W576" s="441">
        <f t="shared" si="197"/>
        <v>10738322</v>
      </c>
      <c r="X576" s="442">
        <v>214</v>
      </c>
      <c r="Y576" s="443">
        <v>45484.878504672895</v>
      </c>
      <c r="Z576" s="444">
        <f t="shared" si="198"/>
        <v>9733764</v>
      </c>
      <c r="AA576" s="307">
        <v>184</v>
      </c>
      <c r="AB576" s="307">
        <v>45937.684782608696</v>
      </c>
      <c r="AC576" s="445">
        <f t="shared" si="199"/>
        <v>8452534</v>
      </c>
      <c r="AD576" s="442"/>
      <c r="AE576" s="443"/>
      <c r="AF576" s="444">
        <f t="shared" si="200"/>
        <v>0</v>
      </c>
      <c r="AG576" s="307"/>
      <c r="AH576" s="307"/>
      <c r="AI576" s="445">
        <f t="shared" si="201"/>
        <v>0</v>
      </c>
      <c r="AJ576" s="446"/>
      <c r="AK576" s="443"/>
      <c r="AL576" s="444">
        <f t="shared" si="202"/>
        <v>0</v>
      </c>
      <c r="AM576" s="307"/>
      <c r="AN576" s="307"/>
      <c r="AO576" s="447">
        <f t="shared" si="203"/>
        <v>0</v>
      </c>
      <c r="AP576" s="448">
        <v>26</v>
      </c>
      <c r="AQ576" s="443">
        <v>81501</v>
      </c>
      <c r="AR576" s="444">
        <f t="shared" si="204"/>
        <v>1733787.0732</v>
      </c>
      <c r="AS576" s="307">
        <v>28</v>
      </c>
      <c r="AT576" s="307">
        <v>83706.21428571429</v>
      </c>
      <c r="AU576" s="441">
        <f t="shared" si="205"/>
        <v>1917675.8868</v>
      </c>
      <c r="AV576" s="442">
        <v>12</v>
      </c>
      <c r="AW576" s="443">
        <v>66859</v>
      </c>
      <c r="AX576" s="444">
        <f t="shared" si="206"/>
        <v>656448.40560000006</v>
      </c>
      <c r="AY576" s="307">
        <v>12</v>
      </c>
      <c r="AZ576" s="307">
        <v>69601.5</v>
      </c>
      <c r="BA576" s="445">
        <f t="shared" si="207"/>
        <v>683375.3676</v>
      </c>
      <c r="BB576" s="442">
        <v>16</v>
      </c>
      <c r="BC576" s="443">
        <v>65031.75</v>
      </c>
      <c r="BD576" s="444">
        <f t="shared" si="208"/>
        <v>851343.64560000005</v>
      </c>
      <c r="BE576" s="307">
        <v>14</v>
      </c>
      <c r="BF576" s="307">
        <v>66053</v>
      </c>
      <c r="BG576" s="445">
        <f t="shared" si="209"/>
        <v>756623.9044</v>
      </c>
      <c r="BH576" s="442">
        <v>14</v>
      </c>
      <c r="BI576" s="443">
        <v>59502</v>
      </c>
      <c r="BJ576" s="444">
        <f t="shared" si="210"/>
        <v>681583.50959999999</v>
      </c>
      <c r="BK576" s="307">
        <v>12</v>
      </c>
      <c r="BL576" s="307">
        <v>55236.333333333336</v>
      </c>
      <c r="BM576" s="445">
        <f t="shared" si="211"/>
        <v>542332.41520000005</v>
      </c>
      <c r="BN576" s="442"/>
      <c r="BO576" s="443"/>
      <c r="BP576" s="444">
        <f t="shared" si="212"/>
        <v>0</v>
      </c>
      <c r="BQ576" s="307"/>
      <c r="BR576" s="307"/>
      <c r="BS576" s="445">
        <f t="shared" si="213"/>
        <v>0</v>
      </c>
      <c r="BT576" s="442"/>
      <c r="BU576" s="443"/>
      <c r="BV576" s="444">
        <f t="shared" si="214"/>
        <v>0</v>
      </c>
      <c r="BW576" s="307"/>
      <c r="BX576" s="307"/>
      <c r="BY576" s="449">
        <f t="shared" si="215"/>
        <v>0</v>
      </c>
    </row>
    <row r="577" spans="1:77" s="308" customFormat="1" ht="12.75" customHeight="1">
      <c r="A577" s="373" t="s">
        <v>309</v>
      </c>
      <c r="B577" s="374" t="s">
        <v>746</v>
      </c>
      <c r="C577" s="374"/>
      <c r="D577" s="375">
        <v>227979</v>
      </c>
      <c r="E577" s="323">
        <v>8</v>
      </c>
      <c r="F577" s="453"/>
      <c r="G577" s="454"/>
      <c r="H577" s="439">
        <f t="shared" si="192"/>
        <v>0</v>
      </c>
      <c r="I577" s="311"/>
      <c r="J577" s="311"/>
      <c r="K577" s="441">
        <f t="shared" si="193"/>
        <v>0</v>
      </c>
      <c r="L577" s="442"/>
      <c r="M577" s="443"/>
      <c r="N577" s="444">
        <f t="shared" si="194"/>
        <v>0</v>
      </c>
      <c r="O577" s="307"/>
      <c r="P577" s="307"/>
      <c r="Q577" s="445">
        <f t="shared" si="195"/>
        <v>0</v>
      </c>
      <c r="R577" s="442"/>
      <c r="S577" s="443"/>
      <c r="T577" s="444">
        <f t="shared" si="196"/>
        <v>0</v>
      </c>
      <c r="U577" s="307"/>
      <c r="V577" s="307"/>
      <c r="W577" s="441">
        <f t="shared" si="197"/>
        <v>0</v>
      </c>
      <c r="X577" s="442"/>
      <c r="Y577" s="443"/>
      <c r="Z577" s="444">
        <f t="shared" si="198"/>
        <v>0</v>
      </c>
      <c r="AA577" s="307"/>
      <c r="AB577" s="307"/>
      <c r="AC577" s="445">
        <f t="shared" si="199"/>
        <v>0</v>
      </c>
      <c r="AD577" s="442"/>
      <c r="AE577" s="443"/>
      <c r="AF577" s="444">
        <f t="shared" si="200"/>
        <v>0</v>
      </c>
      <c r="AG577" s="307"/>
      <c r="AH577" s="307"/>
      <c r="AI577" s="445">
        <f t="shared" si="201"/>
        <v>0</v>
      </c>
      <c r="AJ577" s="446">
        <v>348</v>
      </c>
      <c r="AK577" s="443">
        <v>56235.1091954023</v>
      </c>
      <c r="AL577" s="444">
        <f t="shared" si="202"/>
        <v>19569818</v>
      </c>
      <c r="AM577" s="307">
        <v>405</v>
      </c>
      <c r="AN577" s="307">
        <v>57853.002469135805</v>
      </c>
      <c r="AO577" s="447">
        <f t="shared" si="203"/>
        <v>23430466</v>
      </c>
      <c r="AP577" s="448"/>
      <c r="AQ577" s="443"/>
      <c r="AR577" s="444">
        <f t="shared" si="204"/>
        <v>0</v>
      </c>
      <c r="AS577" s="307"/>
      <c r="AT577" s="307"/>
      <c r="AU577" s="441">
        <f t="shared" si="205"/>
        <v>0</v>
      </c>
      <c r="AV577" s="442"/>
      <c r="AW577" s="443"/>
      <c r="AX577" s="444">
        <f t="shared" si="206"/>
        <v>0</v>
      </c>
      <c r="AY577" s="307"/>
      <c r="AZ577" s="307"/>
      <c r="BA577" s="445">
        <f t="shared" si="207"/>
        <v>0</v>
      </c>
      <c r="BB577" s="442"/>
      <c r="BC577" s="443"/>
      <c r="BD577" s="444">
        <f t="shared" si="208"/>
        <v>0</v>
      </c>
      <c r="BE577" s="307"/>
      <c r="BF577" s="307"/>
      <c r="BG577" s="445">
        <f t="shared" si="209"/>
        <v>0</v>
      </c>
      <c r="BH577" s="442"/>
      <c r="BI577" s="443"/>
      <c r="BJ577" s="444">
        <f t="shared" si="210"/>
        <v>0</v>
      </c>
      <c r="BK577" s="307"/>
      <c r="BL577" s="307"/>
      <c r="BM577" s="445">
        <f t="shared" si="211"/>
        <v>0</v>
      </c>
      <c r="BN577" s="442"/>
      <c r="BO577" s="443"/>
      <c r="BP577" s="444">
        <f t="shared" si="212"/>
        <v>0</v>
      </c>
      <c r="BQ577" s="307"/>
      <c r="BR577" s="307"/>
      <c r="BS577" s="445">
        <f t="shared" si="213"/>
        <v>0</v>
      </c>
      <c r="BT577" s="442">
        <v>98</v>
      </c>
      <c r="BU577" s="443">
        <v>73555.744897959186</v>
      </c>
      <c r="BV577" s="444">
        <f t="shared" si="214"/>
        <v>5897964.4265999999</v>
      </c>
      <c r="BW577" s="307">
        <v>107</v>
      </c>
      <c r="BX577" s="307">
        <v>76774.654205607483</v>
      </c>
      <c r="BY577" s="449">
        <f t="shared" si="215"/>
        <v>6721421.3616000013</v>
      </c>
    </row>
    <row r="578" spans="1:77" s="308" customFormat="1" ht="12.75" customHeight="1">
      <c r="A578" s="373" t="s">
        <v>309</v>
      </c>
      <c r="B578" s="374" t="s">
        <v>93</v>
      </c>
      <c r="C578" s="374"/>
      <c r="D578" s="375">
        <v>228158</v>
      </c>
      <c r="E578" s="323">
        <v>8</v>
      </c>
      <c r="F578" s="453">
        <v>45</v>
      </c>
      <c r="G578" s="454">
        <v>57277.066666666666</v>
      </c>
      <c r="H578" s="439">
        <f t="shared" si="192"/>
        <v>2577468</v>
      </c>
      <c r="I578" s="311">
        <v>48</v>
      </c>
      <c r="J578" s="311">
        <v>59394.875</v>
      </c>
      <c r="K578" s="441">
        <f t="shared" si="193"/>
        <v>2850954</v>
      </c>
      <c r="L578" s="442">
        <v>40</v>
      </c>
      <c r="M578" s="443">
        <v>49878.15</v>
      </c>
      <c r="N578" s="444">
        <f t="shared" si="194"/>
        <v>1995126</v>
      </c>
      <c r="O578" s="307">
        <v>41</v>
      </c>
      <c r="P578" s="307">
        <v>50850.756097560974</v>
      </c>
      <c r="Q578" s="445">
        <f t="shared" si="195"/>
        <v>2084881</v>
      </c>
      <c r="R578" s="442">
        <v>101</v>
      </c>
      <c r="S578" s="443">
        <v>43485.782178217822</v>
      </c>
      <c r="T578" s="444">
        <f t="shared" si="196"/>
        <v>4392064</v>
      </c>
      <c r="U578" s="307">
        <v>96</v>
      </c>
      <c r="V578" s="307">
        <v>44806.1875</v>
      </c>
      <c r="W578" s="441">
        <f t="shared" si="197"/>
        <v>4301394</v>
      </c>
      <c r="X578" s="442">
        <v>55</v>
      </c>
      <c r="Y578" s="443">
        <v>38245.872727272726</v>
      </c>
      <c r="Z578" s="444">
        <f t="shared" si="198"/>
        <v>2103523</v>
      </c>
      <c r="AA578" s="307">
        <v>62</v>
      </c>
      <c r="AB578" s="307">
        <v>39915.467741935485</v>
      </c>
      <c r="AC578" s="445">
        <f t="shared" si="199"/>
        <v>2474759</v>
      </c>
      <c r="AD578" s="442"/>
      <c r="AE578" s="443"/>
      <c r="AF578" s="444">
        <f t="shared" si="200"/>
        <v>0</v>
      </c>
      <c r="AG578" s="307"/>
      <c r="AH578" s="307"/>
      <c r="AI578" s="445">
        <f t="shared" si="201"/>
        <v>0</v>
      </c>
      <c r="AJ578" s="446"/>
      <c r="AK578" s="443"/>
      <c r="AL578" s="444">
        <f t="shared" si="202"/>
        <v>0</v>
      </c>
      <c r="AM578" s="307"/>
      <c r="AN578" s="307"/>
      <c r="AO578" s="447">
        <f t="shared" si="203"/>
        <v>0</v>
      </c>
      <c r="AP578" s="448"/>
      <c r="AQ578" s="443"/>
      <c r="AR578" s="444">
        <f t="shared" si="204"/>
        <v>0</v>
      </c>
      <c r="AS578" s="307"/>
      <c r="AT578" s="307"/>
      <c r="AU578" s="441">
        <f t="shared" si="205"/>
        <v>0</v>
      </c>
      <c r="AV578" s="442"/>
      <c r="AW578" s="443"/>
      <c r="AX578" s="444">
        <f t="shared" si="206"/>
        <v>0</v>
      </c>
      <c r="AY578" s="307">
        <v>1</v>
      </c>
      <c r="AZ578" s="307">
        <v>76863</v>
      </c>
      <c r="BA578" s="445">
        <f t="shared" si="207"/>
        <v>62889.306600000004</v>
      </c>
      <c r="BB578" s="442">
        <v>4</v>
      </c>
      <c r="BC578" s="443">
        <v>63999.5</v>
      </c>
      <c r="BD578" s="444">
        <f t="shared" si="208"/>
        <v>209457.56360000002</v>
      </c>
      <c r="BE578" s="307">
        <v>2</v>
      </c>
      <c r="BF578" s="307">
        <v>55492</v>
      </c>
      <c r="BG578" s="445">
        <f t="shared" si="209"/>
        <v>90807.108800000002</v>
      </c>
      <c r="BH578" s="442">
        <v>27</v>
      </c>
      <c r="BI578" s="443">
        <v>46613.259259259263</v>
      </c>
      <c r="BJ578" s="444">
        <f t="shared" si="210"/>
        <v>1029752.1556000001</v>
      </c>
      <c r="BK578" s="307">
        <v>29</v>
      </c>
      <c r="BL578" s="307">
        <v>47991.448275862072</v>
      </c>
      <c r="BM578" s="445">
        <f t="shared" si="211"/>
        <v>1138731.4864000001</v>
      </c>
      <c r="BN578" s="442"/>
      <c r="BO578" s="443"/>
      <c r="BP578" s="444">
        <f t="shared" si="212"/>
        <v>0</v>
      </c>
      <c r="BQ578" s="307"/>
      <c r="BR578" s="307"/>
      <c r="BS578" s="445">
        <f t="shared" si="213"/>
        <v>0</v>
      </c>
      <c r="BT578" s="442"/>
      <c r="BU578" s="443"/>
      <c r="BV578" s="444">
        <f t="shared" si="214"/>
        <v>0</v>
      </c>
      <c r="BW578" s="307"/>
      <c r="BX578" s="307"/>
      <c r="BY578" s="449">
        <f t="shared" si="215"/>
        <v>0</v>
      </c>
    </row>
    <row r="579" spans="1:77" s="308" customFormat="1" ht="12.75" customHeight="1">
      <c r="A579" s="373" t="s">
        <v>309</v>
      </c>
      <c r="B579" s="374" t="s">
        <v>747</v>
      </c>
      <c r="C579" s="374"/>
      <c r="D579" s="375">
        <v>227854</v>
      </c>
      <c r="E579" s="323">
        <v>8</v>
      </c>
      <c r="F579" s="453">
        <v>20</v>
      </c>
      <c r="G579" s="454">
        <v>67097.7</v>
      </c>
      <c r="H579" s="439">
        <f t="shared" si="192"/>
        <v>1341954</v>
      </c>
      <c r="I579" s="311">
        <v>22</v>
      </c>
      <c r="J579" s="311">
        <v>67509.681818181823</v>
      </c>
      <c r="K579" s="441">
        <f t="shared" si="193"/>
        <v>1485213</v>
      </c>
      <c r="L579" s="442">
        <v>15</v>
      </c>
      <c r="M579" s="443">
        <v>63247.199999999997</v>
      </c>
      <c r="N579" s="444">
        <f t="shared" si="194"/>
        <v>948708</v>
      </c>
      <c r="O579" s="307">
        <v>25</v>
      </c>
      <c r="P579" s="307">
        <v>61096.160000000003</v>
      </c>
      <c r="Q579" s="445">
        <f t="shared" si="195"/>
        <v>1527404</v>
      </c>
      <c r="R579" s="442">
        <v>38</v>
      </c>
      <c r="S579" s="443">
        <v>54722.84210526316</v>
      </c>
      <c r="T579" s="444">
        <f t="shared" si="196"/>
        <v>2079468</v>
      </c>
      <c r="U579" s="307">
        <v>47</v>
      </c>
      <c r="V579" s="307">
        <v>53568.51063829787</v>
      </c>
      <c r="W579" s="441">
        <f t="shared" si="197"/>
        <v>2517720</v>
      </c>
      <c r="X579" s="442">
        <v>119</v>
      </c>
      <c r="Y579" s="443">
        <v>45484.848739495799</v>
      </c>
      <c r="Z579" s="444">
        <f t="shared" si="198"/>
        <v>5412697</v>
      </c>
      <c r="AA579" s="307">
        <v>93</v>
      </c>
      <c r="AB579" s="307">
        <v>45310.741935483871</v>
      </c>
      <c r="AC579" s="445">
        <f t="shared" si="199"/>
        <v>4213899</v>
      </c>
      <c r="AD579" s="442"/>
      <c r="AE579" s="443"/>
      <c r="AF579" s="444">
        <f t="shared" si="200"/>
        <v>0</v>
      </c>
      <c r="AG579" s="307"/>
      <c r="AH579" s="307"/>
      <c r="AI579" s="445">
        <f t="shared" si="201"/>
        <v>0</v>
      </c>
      <c r="AJ579" s="446"/>
      <c r="AK579" s="443"/>
      <c r="AL579" s="444">
        <f t="shared" si="202"/>
        <v>0</v>
      </c>
      <c r="AM579" s="307"/>
      <c r="AN579" s="307"/>
      <c r="AO579" s="447">
        <f t="shared" si="203"/>
        <v>0</v>
      </c>
      <c r="AP579" s="448">
        <v>4</v>
      </c>
      <c r="AQ579" s="443">
        <v>77751.75</v>
      </c>
      <c r="AR579" s="444">
        <f t="shared" si="204"/>
        <v>254465.92740000002</v>
      </c>
      <c r="AS579" s="307">
        <v>3</v>
      </c>
      <c r="AT579" s="307">
        <v>84923</v>
      </c>
      <c r="AU579" s="441">
        <f t="shared" si="205"/>
        <v>208451.9958</v>
      </c>
      <c r="AV579" s="442">
        <v>1</v>
      </c>
      <c r="AW579" s="443">
        <v>64323</v>
      </c>
      <c r="AX579" s="444">
        <f t="shared" si="206"/>
        <v>52629.078600000001</v>
      </c>
      <c r="AY579" s="307">
        <v>3</v>
      </c>
      <c r="AZ579" s="307">
        <v>64317</v>
      </c>
      <c r="BA579" s="445">
        <f t="shared" si="207"/>
        <v>157872.50820000001</v>
      </c>
      <c r="BB579" s="442">
        <v>8</v>
      </c>
      <c r="BC579" s="443">
        <v>63081.75</v>
      </c>
      <c r="BD579" s="444">
        <f t="shared" si="208"/>
        <v>412907.90280000004</v>
      </c>
      <c r="BE579" s="307">
        <v>7</v>
      </c>
      <c r="BF579" s="307">
        <v>65784.142857142855</v>
      </c>
      <c r="BG579" s="445">
        <f t="shared" si="209"/>
        <v>376772.09980000003</v>
      </c>
      <c r="BH579" s="442">
        <v>8</v>
      </c>
      <c r="BI579" s="443">
        <v>56043.75</v>
      </c>
      <c r="BJ579" s="444">
        <f t="shared" si="210"/>
        <v>366839.97000000003</v>
      </c>
      <c r="BK579" s="307">
        <v>2</v>
      </c>
      <c r="BL579" s="307">
        <v>49672.5</v>
      </c>
      <c r="BM579" s="445">
        <f t="shared" si="211"/>
        <v>81284.078999999998</v>
      </c>
      <c r="BN579" s="442"/>
      <c r="BO579" s="443"/>
      <c r="BP579" s="444">
        <f t="shared" si="212"/>
        <v>0</v>
      </c>
      <c r="BQ579" s="307"/>
      <c r="BR579" s="307"/>
      <c r="BS579" s="445">
        <f t="shared" si="213"/>
        <v>0</v>
      </c>
      <c r="BT579" s="442"/>
      <c r="BU579" s="443"/>
      <c r="BV579" s="444">
        <f t="shared" si="214"/>
        <v>0</v>
      </c>
      <c r="BW579" s="307"/>
      <c r="BX579" s="307"/>
      <c r="BY579" s="449">
        <f t="shared" si="215"/>
        <v>0</v>
      </c>
    </row>
    <row r="580" spans="1:77" s="308" customFormat="1" ht="12.75" customHeight="1">
      <c r="A580" s="373" t="s">
        <v>309</v>
      </c>
      <c r="B580" s="374" t="s">
        <v>748</v>
      </c>
      <c r="C580" s="374"/>
      <c r="D580" s="375">
        <v>228547</v>
      </c>
      <c r="E580" s="323">
        <v>8</v>
      </c>
      <c r="F580" s="453">
        <v>71</v>
      </c>
      <c r="G580" s="454">
        <v>68004.056338028167</v>
      </c>
      <c r="H580" s="439">
        <f t="shared" si="192"/>
        <v>4828288</v>
      </c>
      <c r="I580" s="311">
        <v>74</v>
      </c>
      <c r="J580" s="311">
        <v>68418.851351351346</v>
      </c>
      <c r="K580" s="441">
        <f t="shared" si="193"/>
        <v>5062995</v>
      </c>
      <c r="L580" s="442">
        <v>142</v>
      </c>
      <c r="M580" s="443">
        <v>61576.063380281688</v>
      </c>
      <c r="N580" s="444">
        <f t="shared" si="194"/>
        <v>8743801</v>
      </c>
      <c r="O580" s="307">
        <v>148</v>
      </c>
      <c r="P580" s="307">
        <v>62588.385135135133</v>
      </c>
      <c r="Q580" s="445">
        <f t="shared" si="195"/>
        <v>9263081</v>
      </c>
      <c r="R580" s="442">
        <v>139</v>
      </c>
      <c r="S580" s="443">
        <v>60928.87769784173</v>
      </c>
      <c r="T580" s="444">
        <f t="shared" si="196"/>
        <v>8469114</v>
      </c>
      <c r="U580" s="307">
        <v>161</v>
      </c>
      <c r="V580" s="307">
        <v>61481.881987577639</v>
      </c>
      <c r="W580" s="441">
        <f t="shared" si="197"/>
        <v>9898583</v>
      </c>
      <c r="X580" s="442">
        <v>290</v>
      </c>
      <c r="Y580" s="443">
        <v>52497.403448275865</v>
      </c>
      <c r="Z580" s="444">
        <f t="shared" si="198"/>
        <v>15224247</v>
      </c>
      <c r="AA580" s="307">
        <v>252</v>
      </c>
      <c r="AB580" s="307">
        <v>53842.920634920636</v>
      </c>
      <c r="AC580" s="445">
        <f t="shared" si="199"/>
        <v>13568416</v>
      </c>
      <c r="AD580" s="442"/>
      <c r="AE580" s="443"/>
      <c r="AF580" s="444">
        <f t="shared" si="200"/>
        <v>0</v>
      </c>
      <c r="AG580" s="307"/>
      <c r="AH580" s="307"/>
      <c r="AI580" s="445">
        <f t="shared" si="201"/>
        <v>0</v>
      </c>
      <c r="AJ580" s="446"/>
      <c r="AK580" s="443"/>
      <c r="AL580" s="444">
        <f t="shared" si="202"/>
        <v>0</v>
      </c>
      <c r="AM580" s="307"/>
      <c r="AN580" s="307"/>
      <c r="AO580" s="447">
        <f t="shared" si="203"/>
        <v>0</v>
      </c>
      <c r="AP580" s="448"/>
      <c r="AQ580" s="443"/>
      <c r="AR580" s="444">
        <f t="shared" si="204"/>
        <v>0</v>
      </c>
      <c r="AS580" s="307"/>
      <c r="AT580" s="307"/>
      <c r="AU580" s="441">
        <f t="shared" si="205"/>
        <v>0</v>
      </c>
      <c r="AV580" s="442">
        <v>9</v>
      </c>
      <c r="AW580" s="443">
        <v>88226</v>
      </c>
      <c r="AX580" s="444">
        <f t="shared" si="206"/>
        <v>649678.61880000005</v>
      </c>
      <c r="AY580" s="307">
        <v>9</v>
      </c>
      <c r="AZ580" s="307">
        <v>90502.888888888891</v>
      </c>
      <c r="BA580" s="445">
        <f t="shared" si="207"/>
        <v>666445.17320000008</v>
      </c>
      <c r="BB580" s="442">
        <v>7</v>
      </c>
      <c r="BC580" s="443">
        <v>69269.857142857145</v>
      </c>
      <c r="BD580" s="444">
        <f t="shared" si="208"/>
        <v>396736.17980000004</v>
      </c>
      <c r="BE580" s="307">
        <v>8</v>
      </c>
      <c r="BF580" s="307">
        <v>51624.5</v>
      </c>
      <c r="BG580" s="445">
        <f t="shared" si="209"/>
        <v>337913.3272</v>
      </c>
      <c r="BH580" s="442">
        <v>2</v>
      </c>
      <c r="BI580" s="443">
        <v>74840</v>
      </c>
      <c r="BJ580" s="444">
        <f t="shared" si="210"/>
        <v>122468.17600000001</v>
      </c>
      <c r="BK580" s="307">
        <v>2</v>
      </c>
      <c r="BL580" s="307">
        <v>67156</v>
      </c>
      <c r="BM580" s="445">
        <f t="shared" si="211"/>
        <v>109894.0784</v>
      </c>
      <c r="BN580" s="442"/>
      <c r="BO580" s="443"/>
      <c r="BP580" s="444">
        <f t="shared" si="212"/>
        <v>0</v>
      </c>
      <c r="BQ580" s="307"/>
      <c r="BR580" s="307"/>
      <c r="BS580" s="445">
        <f t="shared" si="213"/>
        <v>0</v>
      </c>
      <c r="BT580" s="442"/>
      <c r="BU580" s="443"/>
      <c r="BV580" s="444">
        <f t="shared" si="214"/>
        <v>0</v>
      </c>
      <c r="BW580" s="307"/>
      <c r="BX580" s="307"/>
      <c r="BY580" s="449">
        <f t="shared" si="215"/>
        <v>0</v>
      </c>
    </row>
    <row r="581" spans="1:77" s="308" customFormat="1" ht="12.75" customHeight="1">
      <c r="A581" s="373" t="s">
        <v>309</v>
      </c>
      <c r="B581" s="374" t="s">
        <v>95</v>
      </c>
      <c r="C581" s="374"/>
      <c r="D581" s="375">
        <v>229072</v>
      </c>
      <c r="E581" s="323">
        <v>8</v>
      </c>
      <c r="F581" s="453"/>
      <c r="G581" s="454"/>
      <c r="H581" s="439">
        <f t="shared" si="192"/>
        <v>0</v>
      </c>
      <c r="I581" s="311"/>
      <c r="J581" s="311"/>
      <c r="K581" s="441">
        <f t="shared" si="193"/>
        <v>0</v>
      </c>
      <c r="L581" s="442"/>
      <c r="M581" s="443"/>
      <c r="N581" s="444">
        <f t="shared" si="194"/>
        <v>0</v>
      </c>
      <c r="O581" s="307"/>
      <c r="P581" s="307"/>
      <c r="Q581" s="445">
        <f t="shared" si="195"/>
        <v>0</v>
      </c>
      <c r="R581" s="442"/>
      <c r="S581" s="443"/>
      <c r="T581" s="444">
        <f t="shared" si="196"/>
        <v>0</v>
      </c>
      <c r="U581" s="307"/>
      <c r="V581" s="307"/>
      <c r="W581" s="441">
        <f t="shared" si="197"/>
        <v>0</v>
      </c>
      <c r="X581" s="442"/>
      <c r="Y581" s="443"/>
      <c r="Z581" s="444">
        <f t="shared" si="198"/>
        <v>0</v>
      </c>
      <c r="AA581" s="307"/>
      <c r="AB581" s="307"/>
      <c r="AC581" s="445">
        <f t="shared" si="199"/>
        <v>0</v>
      </c>
      <c r="AD581" s="442"/>
      <c r="AE581" s="443"/>
      <c r="AF581" s="444">
        <f t="shared" si="200"/>
        <v>0</v>
      </c>
      <c r="AG581" s="307"/>
      <c r="AH581" s="307"/>
      <c r="AI581" s="445">
        <f t="shared" si="201"/>
        <v>0</v>
      </c>
      <c r="AJ581" s="446"/>
      <c r="AK581" s="443"/>
      <c r="AL581" s="444">
        <f t="shared" si="202"/>
        <v>0</v>
      </c>
      <c r="AM581" s="307"/>
      <c r="AN581" s="307"/>
      <c r="AO581" s="447">
        <f t="shared" si="203"/>
        <v>0</v>
      </c>
      <c r="AP581" s="448"/>
      <c r="AQ581" s="443"/>
      <c r="AR581" s="444">
        <f t="shared" si="204"/>
        <v>0</v>
      </c>
      <c r="AS581" s="307"/>
      <c r="AT581" s="307"/>
      <c r="AU581" s="441">
        <f t="shared" si="205"/>
        <v>0</v>
      </c>
      <c r="AV581" s="442"/>
      <c r="AW581" s="443"/>
      <c r="AX581" s="444">
        <f t="shared" si="206"/>
        <v>0</v>
      </c>
      <c r="AY581" s="307"/>
      <c r="AZ581" s="307"/>
      <c r="BA581" s="445">
        <f t="shared" si="207"/>
        <v>0</v>
      </c>
      <c r="BB581" s="442"/>
      <c r="BC581" s="443"/>
      <c r="BD581" s="444">
        <f t="shared" si="208"/>
        <v>0</v>
      </c>
      <c r="BE581" s="307"/>
      <c r="BF581" s="307"/>
      <c r="BG581" s="445">
        <f t="shared" si="209"/>
        <v>0</v>
      </c>
      <c r="BH581" s="442"/>
      <c r="BI581" s="443"/>
      <c r="BJ581" s="444">
        <f t="shared" si="210"/>
        <v>0</v>
      </c>
      <c r="BK581" s="307"/>
      <c r="BL581" s="307"/>
      <c r="BM581" s="445">
        <f t="shared" si="211"/>
        <v>0</v>
      </c>
      <c r="BN581" s="442"/>
      <c r="BO581" s="443"/>
      <c r="BP581" s="444">
        <f t="shared" si="212"/>
        <v>0</v>
      </c>
      <c r="BQ581" s="307"/>
      <c r="BR581" s="307"/>
      <c r="BS581" s="445">
        <f t="shared" si="213"/>
        <v>0</v>
      </c>
      <c r="BT581" s="442"/>
      <c r="BU581" s="443"/>
      <c r="BV581" s="444">
        <f t="shared" si="214"/>
        <v>0</v>
      </c>
      <c r="BW581" s="307"/>
      <c r="BX581" s="307"/>
      <c r="BY581" s="449">
        <f t="shared" si="215"/>
        <v>0</v>
      </c>
    </row>
    <row r="582" spans="1:77" s="308" customFormat="1" ht="12.75" customHeight="1">
      <c r="A582" s="373" t="s">
        <v>309</v>
      </c>
      <c r="B582" s="374" t="s">
        <v>96</v>
      </c>
      <c r="C582" s="374"/>
      <c r="D582" s="375">
        <v>229355</v>
      </c>
      <c r="E582" s="323">
        <v>8</v>
      </c>
      <c r="F582" s="453"/>
      <c r="G582" s="454"/>
      <c r="H582" s="439">
        <f t="shared" si="192"/>
        <v>0</v>
      </c>
      <c r="I582" s="311"/>
      <c r="J582" s="311"/>
      <c r="K582" s="441">
        <f t="shared" si="193"/>
        <v>0</v>
      </c>
      <c r="L582" s="442"/>
      <c r="M582" s="443"/>
      <c r="N582" s="444">
        <f t="shared" si="194"/>
        <v>0</v>
      </c>
      <c r="O582" s="307"/>
      <c r="P582" s="307"/>
      <c r="Q582" s="445">
        <f t="shared" si="195"/>
        <v>0</v>
      </c>
      <c r="R582" s="442"/>
      <c r="S582" s="443"/>
      <c r="T582" s="444">
        <f t="shared" si="196"/>
        <v>0</v>
      </c>
      <c r="U582" s="307"/>
      <c r="V582" s="307"/>
      <c r="W582" s="441">
        <f t="shared" si="197"/>
        <v>0</v>
      </c>
      <c r="X582" s="442"/>
      <c r="Y582" s="443"/>
      <c r="Z582" s="444">
        <f t="shared" si="198"/>
        <v>0</v>
      </c>
      <c r="AA582" s="307">
        <v>215</v>
      </c>
      <c r="AB582" s="307">
        <v>50170.502325581394</v>
      </c>
      <c r="AC582" s="445">
        <f t="shared" si="199"/>
        <v>10786658</v>
      </c>
      <c r="AD582" s="442"/>
      <c r="AE582" s="443"/>
      <c r="AF582" s="444">
        <f t="shared" si="200"/>
        <v>0</v>
      </c>
      <c r="AG582" s="307"/>
      <c r="AH582" s="307"/>
      <c r="AI582" s="445">
        <f t="shared" si="201"/>
        <v>0</v>
      </c>
      <c r="AJ582" s="446">
        <v>216</v>
      </c>
      <c r="AK582" s="443">
        <v>50882.379629629628</v>
      </c>
      <c r="AL582" s="444">
        <f t="shared" si="202"/>
        <v>10990594</v>
      </c>
      <c r="AM582" s="307"/>
      <c r="AN582" s="307"/>
      <c r="AO582" s="447">
        <f t="shared" si="203"/>
        <v>0</v>
      </c>
      <c r="AP582" s="448"/>
      <c r="AQ582" s="443"/>
      <c r="AR582" s="444">
        <f t="shared" si="204"/>
        <v>0</v>
      </c>
      <c r="AS582" s="307"/>
      <c r="AT582" s="307"/>
      <c r="AU582" s="441">
        <f t="shared" si="205"/>
        <v>0</v>
      </c>
      <c r="AV582" s="442"/>
      <c r="AW582" s="443"/>
      <c r="AX582" s="444">
        <f t="shared" si="206"/>
        <v>0</v>
      </c>
      <c r="AY582" s="307"/>
      <c r="AZ582" s="307"/>
      <c r="BA582" s="445">
        <f t="shared" si="207"/>
        <v>0</v>
      </c>
      <c r="BB582" s="442"/>
      <c r="BC582" s="443"/>
      <c r="BD582" s="444">
        <f t="shared" si="208"/>
        <v>0</v>
      </c>
      <c r="BE582" s="307"/>
      <c r="BF582" s="307"/>
      <c r="BG582" s="445">
        <f t="shared" si="209"/>
        <v>0</v>
      </c>
      <c r="BH582" s="442"/>
      <c r="BI582" s="443"/>
      <c r="BJ582" s="444">
        <f t="shared" si="210"/>
        <v>0</v>
      </c>
      <c r="BK582" s="307">
        <v>59</v>
      </c>
      <c r="BL582" s="307">
        <v>57226.423728813563</v>
      </c>
      <c r="BM582" s="445">
        <f t="shared" si="211"/>
        <v>2762536.9338000002</v>
      </c>
      <c r="BN582" s="442"/>
      <c r="BO582" s="443"/>
      <c r="BP582" s="444">
        <f t="shared" si="212"/>
        <v>0</v>
      </c>
      <c r="BQ582" s="307"/>
      <c r="BR582" s="307"/>
      <c r="BS582" s="445">
        <f t="shared" si="213"/>
        <v>0</v>
      </c>
      <c r="BT582" s="442">
        <v>57</v>
      </c>
      <c r="BU582" s="443">
        <v>56933.964912280702</v>
      </c>
      <c r="BV582" s="444">
        <f t="shared" si="214"/>
        <v>2655252.0952000003</v>
      </c>
      <c r="BW582" s="307"/>
      <c r="BX582" s="307"/>
      <c r="BY582" s="449">
        <f t="shared" si="215"/>
        <v>0</v>
      </c>
    </row>
    <row r="583" spans="1:77" s="308" customFormat="1" ht="12.75" customHeight="1">
      <c r="A583" s="373" t="s">
        <v>309</v>
      </c>
      <c r="B583" s="374" t="s">
        <v>97</v>
      </c>
      <c r="C583" s="374"/>
      <c r="D583" s="375">
        <v>222567</v>
      </c>
      <c r="E583" s="323">
        <v>9</v>
      </c>
      <c r="F583" s="453"/>
      <c r="G583" s="454"/>
      <c r="H583" s="439">
        <f t="shared" si="192"/>
        <v>0</v>
      </c>
      <c r="I583" s="311"/>
      <c r="J583" s="311"/>
      <c r="K583" s="441">
        <f t="shared" si="193"/>
        <v>0</v>
      </c>
      <c r="L583" s="442"/>
      <c r="M583" s="443"/>
      <c r="N583" s="444">
        <f t="shared" si="194"/>
        <v>0</v>
      </c>
      <c r="O583" s="307"/>
      <c r="P583" s="307"/>
      <c r="Q583" s="445">
        <f t="shared" si="195"/>
        <v>0</v>
      </c>
      <c r="R583" s="442"/>
      <c r="S583" s="443"/>
      <c r="T583" s="444">
        <f t="shared" si="196"/>
        <v>0</v>
      </c>
      <c r="U583" s="307"/>
      <c r="V583" s="307"/>
      <c r="W583" s="441">
        <f t="shared" si="197"/>
        <v>0</v>
      </c>
      <c r="X583" s="442"/>
      <c r="Y583" s="443"/>
      <c r="Z583" s="444">
        <f t="shared" si="198"/>
        <v>0</v>
      </c>
      <c r="AA583" s="307"/>
      <c r="AB583" s="307"/>
      <c r="AC583" s="445">
        <f t="shared" si="199"/>
        <v>0</v>
      </c>
      <c r="AD583" s="442"/>
      <c r="AE583" s="443"/>
      <c r="AF583" s="444">
        <f t="shared" si="200"/>
        <v>0</v>
      </c>
      <c r="AG583" s="307"/>
      <c r="AH583" s="307"/>
      <c r="AI583" s="445">
        <f t="shared" si="201"/>
        <v>0</v>
      </c>
      <c r="AJ583" s="446">
        <v>54</v>
      </c>
      <c r="AK583" s="443">
        <v>54289.092592592591</v>
      </c>
      <c r="AL583" s="444">
        <f t="shared" si="202"/>
        <v>2931611</v>
      </c>
      <c r="AM583" s="307">
        <v>54</v>
      </c>
      <c r="AN583" s="307">
        <v>53143.074074074073</v>
      </c>
      <c r="AO583" s="447">
        <f t="shared" si="203"/>
        <v>2869726</v>
      </c>
      <c r="AP583" s="448"/>
      <c r="AQ583" s="443"/>
      <c r="AR583" s="444">
        <f t="shared" si="204"/>
        <v>0</v>
      </c>
      <c r="AS583" s="307"/>
      <c r="AT583" s="307"/>
      <c r="AU583" s="441">
        <f t="shared" si="205"/>
        <v>0</v>
      </c>
      <c r="AV583" s="442"/>
      <c r="AW583" s="443"/>
      <c r="AX583" s="444">
        <f t="shared" si="206"/>
        <v>0</v>
      </c>
      <c r="AY583" s="307"/>
      <c r="AZ583" s="307"/>
      <c r="BA583" s="445">
        <f t="shared" si="207"/>
        <v>0</v>
      </c>
      <c r="BB583" s="442"/>
      <c r="BC583" s="443"/>
      <c r="BD583" s="444">
        <f t="shared" si="208"/>
        <v>0</v>
      </c>
      <c r="BE583" s="307"/>
      <c r="BF583" s="307"/>
      <c r="BG583" s="445">
        <f t="shared" si="209"/>
        <v>0</v>
      </c>
      <c r="BH583" s="442"/>
      <c r="BI583" s="443"/>
      <c r="BJ583" s="444">
        <f t="shared" si="210"/>
        <v>0</v>
      </c>
      <c r="BK583" s="307"/>
      <c r="BL583" s="307"/>
      <c r="BM583" s="445">
        <f t="shared" si="211"/>
        <v>0</v>
      </c>
      <c r="BN583" s="442"/>
      <c r="BO583" s="443"/>
      <c r="BP583" s="444">
        <f t="shared" si="212"/>
        <v>0</v>
      </c>
      <c r="BQ583" s="307"/>
      <c r="BR583" s="307"/>
      <c r="BS583" s="445">
        <f t="shared" si="213"/>
        <v>0</v>
      </c>
      <c r="BT583" s="442">
        <v>54</v>
      </c>
      <c r="BU583" s="443">
        <v>69500.925925925927</v>
      </c>
      <c r="BV583" s="444">
        <f t="shared" si="214"/>
        <v>3070745.5100000002</v>
      </c>
      <c r="BW583" s="307">
        <v>55</v>
      </c>
      <c r="BX583" s="307">
        <v>69922.654545454541</v>
      </c>
      <c r="BY583" s="449">
        <f t="shared" si="215"/>
        <v>3146589.3772</v>
      </c>
    </row>
    <row r="584" spans="1:77" s="308" customFormat="1" ht="12.75" customHeight="1">
      <c r="A584" s="373" t="s">
        <v>309</v>
      </c>
      <c r="B584" s="374" t="s">
        <v>98</v>
      </c>
      <c r="C584" s="374"/>
      <c r="D584" s="375">
        <v>222822</v>
      </c>
      <c r="E584" s="323">
        <v>9</v>
      </c>
      <c r="F584" s="453"/>
      <c r="G584" s="454"/>
      <c r="H584" s="439">
        <f t="shared" si="192"/>
        <v>0</v>
      </c>
      <c r="I584" s="311"/>
      <c r="J584" s="311"/>
      <c r="K584" s="441">
        <f t="shared" si="193"/>
        <v>0</v>
      </c>
      <c r="L584" s="442"/>
      <c r="M584" s="443"/>
      <c r="N584" s="444">
        <f t="shared" si="194"/>
        <v>0</v>
      </c>
      <c r="O584" s="307"/>
      <c r="P584" s="307"/>
      <c r="Q584" s="445">
        <f t="shared" si="195"/>
        <v>0</v>
      </c>
      <c r="R584" s="442"/>
      <c r="S584" s="443"/>
      <c r="T584" s="444">
        <f t="shared" si="196"/>
        <v>0</v>
      </c>
      <c r="U584" s="307"/>
      <c r="V584" s="307"/>
      <c r="W584" s="441">
        <f t="shared" si="197"/>
        <v>0</v>
      </c>
      <c r="X584" s="442"/>
      <c r="Y584" s="443"/>
      <c r="Z584" s="444">
        <f t="shared" si="198"/>
        <v>0</v>
      </c>
      <c r="AA584" s="307">
        <v>101</v>
      </c>
      <c r="AB584" s="307">
        <v>47274.910891089108</v>
      </c>
      <c r="AC584" s="445">
        <f t="shared" si="199"/>
        <v>4774766</v>
      </c>
      <c r="AD584" s="442"/>
      <c r="AE584" s="443"/>
      <c r="AF584" s="444">
        <f t="shared" si="200"/>
        <v>0</v>
      </c>
      <c r="AG584" s="307"/>
      <c r="AH584" s="307"/>
      <c r="AI584" s="445">
        <f t="shared" si="201"/>
        <v>0</v>
      </c>
      <c r="AJ584" s="446">
        <v>92</v>
      </c>
      <c r="AK584" s="443">
        <v>47847.913043478264</v>
      </c>
      <c r="AL584" s="444">
        <f t="shared" si="202"/>
        <v>4402008</v>
      </c>
      <c r="AM584" s="307"/>
      <c r="AN584" s="307"/>
      <c r="AO584" s="447">
        <f t="shared" si="203"/>
        <v>0</v>
      </c>
      <c r="AP584" s="448"/>
      <c r="AQ584" s="443"/>
      <c r="AR584" s="444">
        <f t="shared" si="204"/>
        <v>0</v>
      </c>
      <c r="AS584" s="307"/>
      <c r="AT584" s="307"/>
      <c r="AU584" s="441">
        <f t="shared" si="205"/>
        <v>0</v>
      </c>
      <c r="AV584" s="442"/>
      <c r="AW584" s="443"/>
      <c r="AX584" s="444">
        <f t="shared" si="206"/>
        <v>0</v>
      </c>
      <c r="AY584" s="307"/>
      <c r="AZ584" s="307"/>
      <c r="BA584" s="445">
        <f t="shared" si="207"/>
        <v>0</v>
      </c>
      <c r="BB584" s="442"/>
      <c r="BC584" s="443"/>
      <c r="BD584" s="444">
        <f t="shared" si="208"/>
        <v>0</v>
      </c>
      <c r="BE584" s="307"/>
      <c r="BF584" s="307"/>
      <c r="BG584" s="445">
        <f t="shared" si="209"/>
        <v>0</v>
      </c>
      <c r="BH584" s="442"/>
      <c r="BI584" s="443"/>
      <c r="BJ584" s="444">
        <f t="shared" si="210"/>
        <v>0</v>
      </c>
      <c r="BK584" s="307">
        <v>28</v>
      </c>
      <c r="BL584" s="307">
        <v>51495.857142857145</v>
      </c>
      <c r="BM584" s="445">
        <f t="shared" si="211"/>
        <v>1179749.4888000002</v>
      </c>
      <c r="BN584" s="442"/>
      <c r="BO584" s="443"/>
      <c r="BP584" s="444">
        <f t="shared" si="212"/>
        <v>0</v>
      </c>
      <c r="BQ584" s="307"/>
      <c r="BR584" s="307"/>
      <c r="BS584" s="445">
        <f t="shared" si="213"/>
        <v>0</v>
      </c>
      <c r="BT584" s="442">
        <v>26</v>
      </c>
      <c r="BU584" s="443">
        <v>51898.923076923078</v>
      </c>
      <c r="BV584" s="444">
        <f t="shared" si="214"/>
        <v>1104056.1703999999</v>
      </c>
      <c r="BW584" s="307"/>
      <c r="BX584" s="307"/>
      <c r="BY584" s="449">
        <f t="shared" si="215"/>
        <v>0</v>
      </c>
    </row>
    <row r="585" spans="1:77" s="308" customFormat="1" ht="12.75" customHeight="1">
      <c r="A585" s="373" t="s">
        <v>309</v>
      </c>
      <c r="B585" s="374" t="s">
        <v>749</v>
      </c>
      <c r="C585" s="374"/>
      <c r="D585" s="375">
        <v>223773</v>
      </c>
      <c r="E585" s="323">
        <v>9</v>
      </c>
      <c r="F585" s="453"/>
      <c r="G585" s="454"/>
      <c r="H585" s="439">
        <f t="shared" ref="H585:H648" si="216">F585*G585</f>
        <v>0</v>
      </c>
      <c r="I585" s="311"/>
      <c r="J585" s="311"/>
      <c r="K585" s="441">
        <f t="shared" ref="K585:K648" si="217">I585*J585</f>
        <v>0</v>
      </c>
      <c r="L585" s="442"/>
      <c r="M585" s="443"/>
      <c r="N585" s="444">
        <f t="shared" ref="N585:N648" si="218">L585*M585</f>
        <v>0</v>
      </c>
      <c r="O585" s="307"/>
      <c r="P585" s="307"/>
      <c r="Q585" s="445">
        <f t="shared" ref="Q585:Q648" si="219">O585*P585</f>
        <v>0</v>
      </c>
      <c r="R585" s="442"/>
      <c r="S585" s="443"/>
      <c r="T585" s="444">
        <f t="shared" ref="T585:T648" si="220">R585*S585</f>
        <v>0</v>
      </c>
      <c r="U585" s="307"/>
      <c r="V585" s="307"/>
      <c r="W585" s="441">
        <f t="shared" ref="W585:W648" si="221">U585*V585</f>
        <v>0</v>
      </c>
      <c r="X585" s="442"/>
      <c r="Y585" s="443"/>
      <c r="Z585" s="444">
        <f t="shared" ref="Z585:Z648" si="222">X585*Y585</f>
        <v>0</v>
      </c>
      <c r="AA585" s="307"/>
      <c r="AB585" s="307"/>
      <c r="AC585" s="445">
        <f t="shared" ref="AC585:AC648" si="223">AA585*AB585</f>
        <v>0</v>
      </c>
      <c r="AD585" s="442"/>
      <c r="AE585" s="443"/>
      <c r="AF585" s="444">
        <f t="shared" ref="AF585:AF648" si="224">AD585*AE585</f>
        <v>0</v>
      </c>
      <c r="AG585" s="307"/>
      <c r="AH585" s="307"/>
      <c r="AI585" s="445">
        <f t="shared" ref="AI585:AI648" si="225">AG585*AH585</f>
        <v>0</v>
      </c>
      <c r="AJ585" s="446">
        <v>64</v>
      </c>
      <c r="AK585" s="443">
        <v>56580.5625</v>
      </c>
      <c r="AL585" s="444">
        <f t="shared" ref="AL585:AL648" si="226">AJ585*AK585</f>
        <v>3621156</v>
      </c>
      <c r="AM585" s="307">
        <v>64</v>
      </c>
      <c r="AN585" s="307">
        <v>56599.640625</v>
      </c>
      <c r="AO585" s="447">
        <f t="shared" ref="AO585:AO648" si="227">AM585*AN585</f>
        <v>3622377</v>
      </c>
      <c r="AP585" s="448"/>
      <c r="AQ585" s="443"/>
      <c r="AR585" s="444">
        <f t="shared" ref="AR585:AR648" si="228">(AP585*AQ585)*0.8182</f>
        <v>0</v>
      </c>
      <c r="AS585" s="307"/>
      <c r="AT585" s="307"/>
      <c r="AU585" s="441">
        <f t="shared" ref="AU585:AU648" si="229">(AS585*AT585)*0.8182</f>
        <v>0</v>
      </c>
      <c r="AV585" s="442"/>
      <c r="AW585" s="443"/>
      <c r="AX585" s="444">
        <f t="shared" ref="AX585:AX648" si="230">(AV585*AW585)*0.8182</f>
        <v>0</v>
      </c>
      <c r="AY585" s="307"/>
      <c r="AZ585" s="307"/>
      <c r="BA585" s="445">
        <f t="shared" ref="BA585:BA648" si="231">(AY585*AZ585)*0.8182</f>
        <v>0</v>
      </c>
      <c r="BB585" s="442"/>
      <c r="BC585" s="443"/>
      <c r="BD585" s="444">
        <f t="shared" ref="BD585:BD648" si="232">(BB585*BC585)*0.8182</f>
        <v>0</v>
      </c>
      <c r="BE585" s="307"/>
      <c r="BF585" s="307"/>
      <c r="BG585" s="445">
        <f t="shared" ref="BG585:BG648" si="233">(BE585*BF585)*0.8182</f>
        <v>0</v>
      </c>
      <c r="BH585" s="442"/>
      <c r="BI585" s="443"/>
      <c r="BJ585" s="444">
        <f t="shared" ref="BJ585:BJ648" si="234">(BH585*BI585)*0.8182</f>
        <v>0</v>
      </c>
      <c r="BK585" s="307"/>
      <c r="BL585" s="307"/>
      <c r="BM585" s="445">
        <f t="shared" ref="BM585:BM648" si="235">(BK585*BL585)*0.8182</f>
        <v>0</v>
      </c>
      <c r="BN585" s="442"/>
      <c r="BO585" s="443"/>
      <c r="BP585" s="444">
        <f t="shared" ref="BP585:BP648" si="236">(BN585*BO585)*0.8182</f>
        <v>0</v>
      </c>
      <c r="BQ585" s="307"/>
      <c r="BR585" s="307"/>
      <c r="BS585" s="445">
        <f t="shared" ref="BS585:BS648" si="237">(BQ585*BR585)*0.8182</f>
        <v>0</v>
      </c>
      <c r="BT585" s="442"/>
      <c r="BU585" s="443"/>
      <c r="BV585" s="444">
        <f t="shared" ref="BV585:BV648" si="238">(BT585*BU585)*0.8182</f>
        <v>0</v>
      </c>
      <c r="BW585" s="307"/>
      <c r="BX585" s="307"/>
      <c r="BY585" s="449">
        <f t="shared" ref="BY585:BY648" si="239">(BW585*BX585)*0.8182</f>
        <v>0</v>
      </c>
    </row>
    <row r="586" spans="1:77" s="308" customFormat="1" ht="12.75" customHeight="1">
      <c r="A586" s="373" t="s">
        <v>309</v>
      </c>
      <c r="B586" s="374" t="s">
        <v>100</v>
      </c>
      <c r="C586" s="374"/>
      <c r="D586" s="375">
        <v>223898</v>
      </c>
      <c r="E586" s="323">
        <v>9</v>
      </c>
      <c r="F586" s="453"/>
      <c r="G586" s="454"/>
      <c r="H586" s="439">
        <f t="shared" si="216"/>
        <v>0</v>
      </c>
      <c r="I586" s="311">
        <v>57</v>
      </c>
      <c r="J586" s="311">
        <v>39862.807017543862</v>
      </c>
      <c r="K586" s="441">
        <f t="shared" si="217"/>
        <v>2272180</v>
      </c>
      <c r="L586" s="442"/>
      <c r="M586" s="443"/>
      <c r="N586" s="444">
        <f t="shared" si="218"/>
        <v>0</v>
      </c>
      <c r="O586" s="307"/>
      <c r="P586" s="307"/>
      <c r="Q586" s="445">
        <f t="shared" si="219"/>
        <v>0</v>
      </c>
      <c r="R586" s="442"/>
      <c r="S586" s="443"/>
      <c r="T586" s="444">
        <f t="shared" si="220"/>
        <v>0</v>
      </c>
      <c r="U586" s="307"/>
      <c r="V586" s="307"/>
      <c r="W586" s="441">
        <f t="shared" si="221"/>
        <v>0</v>
      </c>
      <c r="X586" s="442"/>
      <c r="Y586" s="443"/>
      <c r="Z586" s="444">
        <f t="shared" si="222"/>
        <v>0</v>
      </c>
      <c r="AA586" s="307"/>
      <c r="AB586" s="307"/>
      <c r="AC586" s="445">
        <f t="shared" si="223"/>
        <v>0</v>
      </c>
      <c r="AD586" s="442"/>
      <c r="AE586" s="443"/>
      <c r="AF586" s="444">
        <f t="shared" si="224"/>
        <v>0</v>
      </c>
      <c r="AG586" s="307"/>
      <c r="AH586" s="307"/>
      <c r="AI586" s="445">
        <f t="shared" si="225"/>
        <v>0</v>
      </c>
      <c r="AJ586" s="446">
        <v>58</v>
      </c>
      <c r="AK586" s="443">
        <v>41217.448275862072</v>
      </c>
      <c r="AL586" s="444">
        <f t="shared" si="226"/>
        <v>2390612</v>
      </c>
      <c r="AM586" s="307"/>
      <c r="AN586" s="307"/>
      <c r="AO586" s="447">
        <f t="shared" si="227"/>
        <v>0</v>
      </c>
      <c r="AP586" s="448"/>
      <c r="AQ586" s="443"/>
      <c r="AR586" s="444">
        <f t="shared" si="228"/>
        <v>0</v>
      </c>
      <c r="AS586" s="270">
        <v>29</v>
      </c>
      <c r="AT586" s="270">
        <v>48480.586206896551</v>
      </c>
      <c r="AU586" s="441">
        <f t="shared" si="229"/>
        <v>1150337.6534</v>
      </c>
      <c r="AV586" s="442"/>
      <c r="AW586" s="443"/>
      <c r="AX586" s="444">
        <f t="shared" si="230"/>
        <v>0</v>
      </c>
      <c r="AY586" s="307"/>
      <c r="AZ586" s="307"/>
      <c r="BA586" s="445">
        <f t="shared" si="231"/>
        <v>0</v>
      </c>
      <c r="BB586" s="442"/>
      <c r="BC586" s="443"/>
      <c r="BD586" s="444">
        <f t="shared" si="232"/>
        <v>0</v>
      </c>
      <c r="BE586" s="307"/>
      <c r="BF586" s="307"/>
      <c r="BG586" s="445">
        <f t="shared" si="233"/>
        <v>0</v>
      </c>
      <c r="BH586" s="442"/>
      <c r="BI586" s="443"/>
      <c r="BJ586" s="444">
        <f t="shared" si="234"/>
        <v>0</v>
      </c>
      <c r="BK586" s="307"/>
      <c r="BL586" s="307"/>
      <c r="BM586" s="445">
        <f t="shared" si="235"/>
        <v>0</v>
      </c>
      <c r="BN586" s="442"/>
      <c r="BO586" s="443"/>
      <c r="BP586" s="444">
        <f t="shared" si="236"/>
        <v>0</v>
      </c>
      <c r="BQ586" s="307"/>
      <c r="BR586" s="307"/>
      <c r="BS586" s="445">
        <f t="shared" si="237"/>
        <v>0</v>
      </c>
      <c r="BT586" s="442">
        <v>29</v>
      </c>
      <c r="BU586" s="443">
        <v>48522.103448275862</v>
      </c>
      <c r="BV586" s="444">
        <f t="shared" si="238"/>
        <v>1151322.7662</v>
      </c>
      <c r="BW586" s="307"/>
      <c r="BX586" s="307"/>
      <c r="BY586" s="449">
        <f t="shared" si="239"/>
        <v>0</v>
      </c>
    </row>
    <row r="587" spans="1:77" s="308" customFormat="1" ht="12.75" customHeight="1">
      <c r="A587" s="373" t="s">
        <v>309</v>
      </c>
      <c r="B587" s="374" t="s">
        <v>101</v>
      </c>
      <c r="C587" s="374"/>
      <c r="D587" s="375">
        <v>223320</v>
      </c>
      <c r="E587" s="323">
        <v>9</v>
      </c>
      <c r="F587" s="453"/>
      <c r="G587" s="454"/>
      <c r="H587" s="439">
        <f t="shared" si="216"/>
        <v>0</v>
      </c>
      <c r="I587" s="311">
        <v>65</v>
      </c>
      <c r="J587" s="311">
        <v>44628.046153846153</v>
      </c>
      <c r="K587" s="441">
        <f t="shared" si="217"/>
        <v>2900823</v>
      </c>
      <c r="L587" s="442"/>
      <c r="M587" s="443"/>
      <c r="N587" s="444">
        <f t="shared" si="218"/>
        <v>0</v>
      </c>
      <c r="O587" s="307"/>
      <c r="P587" s="307"/>
      <c r="Q587" s="445">
        <f t="shared" si="219"/>
        <v>0</v>
      </c>
      <c r="R587" s="442"/>
      <c r="S587" s="443"/>
      <c r="T587" s="444">
        <f t="shared" si="220"/>
        <v>0</v>
      </c>
      <c r="U587" s="307"/>
      <c r="V587" s="307"/>
      <c r="W587" s="441">
        <f t="shared" si="221"/>
        <v>0</v>
      </c>
      <c r="X587" s="442"/>
      <c r="Y587" s="443"/>
      <c r="Z587" s="444">
        <f t="shared" si="222"/>
        <v>0</v>
      </c>
      <c r="AA587" s="307"/>
      <c r="AB587" s="307"/>
      <c r="AC587" s="445">
        <f t="shared" si="223"/>
        <v>0</v>
      </c>
      <c r="AD587" s="442"/>
      <c r="AE587" s="443"/>
      <c r="AF587" s="444">
        <f t="shared" si="224"/>
        <v>0</v>
      </c>
      <c r="AG587" s="307"/>
      <c r="AH587" s="307"/>
      <c r="AI587" s="445">
        <f t="shared" si="225"/>
        <v>0</v>
      </c>
      <c r="AJ587" s="446">
        <v>62</v>
      </c>
      <c r="AK587" s="443">
        <v>44729.532258064515</v>
      </c>
      <c r="AL587" s="444">
        <f t="shared" si="226"/>
        <v>2773231</v>
      </c>
      <c r="AM587" s="307"/>
      <c r="AN587" s="307"/>
      <c r="AO587" s="447">
        <f t="shared" si="227"/>
        <v>0</v>
      </c>
      <c r="AP587" s="448">
        <v>39</v>
      </c>
      <c r="AQ587" s="443">
        <v>49425.589743589742</v>
      </c>
      <c r="AR587" s="444">
        <f t="shared" si="228"/>
        <v>1577160.6836000001</v>
      </c>
      <c r="AS587" s="307">
        <v>38</v>
      </c>
      <c r="AT587" s="307">
        <v>50119.868421052633</v>
      </c>
      <c r="AU587" s="441">
        <f t="shared" si="229"/>
        <v>1558306.9010000001</v>
      </c>
      <c r="AV587" s="442"/>
      <c r="AW587" s="443"/>
      <c r="AX587" s="444">
        <f t="shared" si="230"/>
        <v>0</v>
      </c>
      <c r="AY587" s="307"/>
      <c r="AZ587" s="307"/>
      <c r="BA587" s="445">
        <f t="shared" si="231"/>
        <v>0</v>
      </c>
      <c r="BB587" s="442"/>
      <c r="BC587" s="443"/>
      <c r="BD587" s="444">
        <f t="shared" si="232"/>
        <v>0</v>
      </c>
      <c r="BE587" s="307"/>
      <c r="BF587" s="307"/>
      <c r="BG587" s="445">
        <f t="shared" si="233"/>
        <v>0</v>
      </c>
      <c r="BH587" s="442"/>
      <c r="BI587" s="443"/>
      <c r="BJ587" s="444">
        <f t="shared" si="234"/>
        <v>0</v>
      </c>
      <c r="BK587" s="307"/>
      <c r="BL587" s="307"/>
      <c r="BM587" s="445">
        <f t="shared" si="235"/>
        <v>0</v>
      </c>
      <c r="BN587" s="442"/>
      <c r="BO587" s="443"/>
      <c r="BP587" s="444">
        <f t="shared" si="236"/>
        <v>0</v>
      </c>
      <c r="BQ587" s="307"/>
      <c r="BR587" s="307"/>
      <c r="BS587" s="445">
        <f t="shared" si="237"/>
        <v>0</v>
      </c>
      <c r="BT587" s="442"/>
      <c r="BU587" s="443"/>
      <c r="BV587" s="444">
        <f t="shared" si="238"/>
        <v>0</v>
      </c>
      <c r="BW587" s="307"/>
      <c r="BX587" s="307"/>
      <c r="BY587" s="449">
        <f t="shared" si="239"/>
        <v>0</v>
      </c>
    </row>
    <row r="588" spans="1:77" s="308" customFormat="1" ht="12.75" customHeight="1">
      <c r="A588" s="373" t="s">
        <v>309</v>
      </c>
      <c r="B588" s="374" t="s">
        <v>103</v>
      </c>
      <c r="C588" s="374"/>
      <c r="D588" s="375">
        <v>226408</v>
      </c>
      <c r="E588" s="323">
        <v>9</v>
      </c>
      <c r="F588" s="453">
        <v>7</v>
      </c>
      <c r="G588" s="454">
        <v>61936.285714285717</v>
      </c>
      <c r="H588" s="439">
        <f t="shared" si="216"/>
        <v>433554</v>
      </c>
      <c r="I588" s="311">
        <v>7</v>
      </c>
      <c r="J588" s="311">
        <v>58589.571428571428</v>
      </c>
      <c r="K588" s="441">
        <f t="shared" si="217"/>
        <v>410127</v>
      </c>
      <c r="L588" s="442">
        <v>9</v>
      </c>
      <c r="M588" s="443">
        <v>51171</v>
      </c>
      <c r="N588" s="444">
        <f t="shared" si="218"/>
        <v>460539</v>
      </c>
      <c r="O588" s="307">
        <v>9</v>
      </c>
      <c r="P588" s="307">
        <v>50283.555555555555</v>
      </c>
      <c r="Q588" s="445">
        <f t="shared" si="219"/>
        <v>452552</v>
      </c>
      <c r="R588" s="442">
        <v>12</v>
      </c>
      <c r="S588" s="443">
        <v>49962.083333333336</v>
      </c>
      <c r="T588" s="444">
        <f t="shared" si="220"/>
        <v>599545</v>
      </c>
      <c r="U588" s="307">
        <v>15</v>
      </c>
      <c r="V588" s="307">
        <v>46703.6</v>
      </c>
      <c r="W588" s="441">
        <f t="shared" si="221"/>
        <v>700554</v>
      </c>
      <c r="X588" s="442"/>
      <c r="Y588" s="443"/>
      <c r="Z588" s="444">
        <f t="shared" si="222"/>
        <v>0</v>
      </c>
      <c r="AA588" s="307"/>
      <c r="AB588" s="307"/>
      <c r="AC588" s="445">
        <f t="shared" si="223"/>
        <v>0</v>
      </c>
      <c r="AD588" s="442"/>
      <c r="AE588" s="443"/>
      <c r="AF588" s="444">
        <f t="shared" si="224"/>
        <v>0</v>
      </c>
      <c r="AG588" s="307"/>
      <c r="AH588" s="307"/>
      <c r="AI588" s="445">
        <f t="shared" si="225"/>
        <v>0</v>
      </c>
      <c r="AJ588" s="446"/>
      <c r="AK588" s="443"/>
      <c r="AL588" s="444">
        <f t="shared" si="226"/>
        <v>0</v>
      </c>
      <c r="AM588" s="307"/>
      <c r="AN588" s="307"/>
      <c r="AO588" s="447">
        <f t="shared" si="227"/>
        <v>0</v>
      </c>
      <c r="AP588" s="448">
        <v>23</v>
      </c>
      <c r="AQ588" s="443">
        <v>74528.304347826081</v>
      </c>
      <c r="AR588" s="444">
        <f t="shared" si="228"/>
        <v>1402518.3481999999</v>
      </c>
      <c r="AS588" s="307">
        <v>25</v>
      </c>
      <c r="AT588" s="307">
        <v>70489.039999999994</v>
      </c>
      <c r="AU588" s="441">
        <f t="shared" si="229"/>
        <v>1441853.3132</v>
      </c>
      <c r="AV588" s="442">
        <v>19</v>
      </c>
      <c r="AW588" s="443">
        <v>66032.263157894733</v>
      </c>
      <c r="AX588" s="444">
        <f t="shared" si="230"/>
        <v>1026524.3566000001</v>
      </c>
      <c r="AY588" s="307">
        <v>19</v>
      </c>
      <c r="AZ588" s="307">
        <v>62242.473684210527</v>
      </c>
      <c r="BA588" s="445">
        <f t="shared" si="231"/>
        <v>967609.04740000004</v>
      </c>
      <c r="BB588" s="442">
        <v>35</v>
      </c>
      <c r="BC588" s="443">
        <v>60276.742857142854</v>
      </c>
      <c r="BD588" s="444">
        <f t="shared" si="232"/>
        <v>1726145.0852000001</v>
      </c>
      <c r="BE588" s="307">
        <v>34</v>
      </c>
      <c r="BF588" s="307">
        <v>59665.294117647056</v>
      </c>
      <c r="BG588" s="445">
        <f t="shared" si="233"/>
        <v>1659816.8840000001</v>
      </c>
      <c r="BH588" s="442"/>
      <c r="BI588" s="443"/>
      <c r="BJ588" s="444">
        <f t="shared" si="234"/>
        <v>0</v>
      </c>
      <c r="BK588" s="307"/>
      <c r="BL588" s="307"/>
      <c r="BM588" s="445">
        <f t="shared" si="235"/>
        <v>0</v>
      </c>
      <c r="BN588" s="442"/>
      <c r="BO588" s="443"/>
      <c r="BP588" s="444">
        <f t="shared" si="236"/>
        <v>0</v>
      </c>
      <c r="BQ588" s="307"/>
      <c r="BR588" s="307"/>
      <c r="BS588" s="445">
        <f t="shared" si="237"/>
        <v>0</v>
      </c>
      <c r="BT588" s="442"/>
      <c r="BU588" s="443"/>
      <c r="BV588" s="444">
        <f t="shared" si="238"/>
        <v>0</v>
      </c>
      <c r="BW588" s="307"/>
      <c r="BX588" s="307"/>
      <c r="BY588" s="449">
        <f t="shared" si="239"/>
        <v>0</v>
      </c>
    </row>
    <row r="589" spans="1:77" s="308" customFormat="1" ht="12.75" customHeight="1">
      <c r="A589" s="373" t="s">
        <v>309</v>
      </c>
      <c r="B589" s="374" t="s">
        <v>105</v>
      </c>
      <c r="C589" s="374"/>
      <c r="D589" s="375">
        <v>225070</v>
      </c>
      <c r="E589" s="323">
        <v>9</v>
      </c>
      <c r="F589" s="453"/>
      <c r="G589" s="454"/>
      <c r="H589" s="439">
        <f t="shared" si="216"/>
        <v>0</v>
      </c>
      <c r="I589" s="311">
        <v>87</v>
      </c>
      <c r="J589" s="311">
        <v>53011.206896551725</v>
      </c>
      <c r="K589" s="441">
        <f t="shared" si="217"/>
        <v>4611975</v>
      </c>
      <c r="L589" s="442"/>
      <c r="M589" s="443"/>
      <c r="N589" s="444">
        <f t="shared" si="218"/>
        <v>0</v>
      </c>
      <c r="O589" s="307"/>
      <c r="P589" s="307"/>
      <c r="Q589" s="445">
        <f t="shared" si="219"/>
        <v>0</v>
      </c>
      <c r="R589" s="442"/>
      <c r="S589" s="443"/>
      <c r="T589" s="444">
        <f t="shared" si="220"/>
        <v>0</v>
      </c>
      <c r="U589" s="307"/>
      <c r="V589" s="307"/>
      <c r="W589" s="441">
        <f t="shared" si="221"/>
        <v>0</v>
      </c>
      <c r="X589" s="442"/>
      <c r="Y589" s="443"/>
      <c r="Z589" s="444">
        <f t="shared" si="222"/>
        <v>0</v>
      </c>
      <c r="AA589" s="307"/>
      <c r="AB589" s="307"/>
      <c r="AC589" s="445">
        <f t="shared" si="223"/>
        <v>0</v>
      </c>
      <c r="AD589" s="442"/>
      <c r="AE589" s="443"/>
      <c r="AF589" s="444">
        <f t="shared" si="224"/>
        <v>0</v>
      </c>
      <c r="AG589" s="307"/>
      <c r="AH589" s="307"/>
      <c r="AI589" s="445">
        <f t="shared" si="225"/>
        <v>0</v>
      </c>
      <c r="AJ589" s="446">
        <v>80</v>
      </c>
      <c r="AK589" s="443">
        <v>53284.487500000003</v>
      </c>
      <c r="AL589" s="444">
        <f t="shared" si="226"/>
        <v>4262759</v>
      </c>
      <c r="AM589" s="307"/>
      <c r="AN589" s="307"/>
      <c r="AO589" s="447">
        <f t="shared" si="227"/>
        <v>0</v>
      </c>
      <c r="AP589" s="448">
        <v>11</v>
      </c>
      <c r="AQ589" s="443">
        <v>58566.727272727272</v>
      </c>
      <c r="AR589" s="444">
        <f t="shared" si="228"/>
        <v>527112.25880000007</v>
      </c>
      <c r="AS589" s="307">
        <v>13</v>
      </c>
      <c r="AT589" s="307">
        <v>58699.692307692305</v>
      </c>
      <c r="AU589" s="441">
        <f t="shared" si="229"/>
        <v>624365.14720000001</v>
      </c>
      <c r="AV589" s="442"/>
      <c r="AW589" s="443"/>
      <c r="AX589" s="444">
        <f t="shared" si="230"/>
        <v>0</v>
      </c>
      <c r="AY589" s="307"/>
      <c r="AZ589" s="307"/>
      <c r="BA589" s="445">
        <f t="shared" si="231"/>
        <v>0</v>
      </c>
      <c r="BB589" s="442"/>
      <c r="BC589" s="443"/>
      <c r="BD589" s="444">
        <f t="shared" si="232"/>
        <v>0</v>
      </c>
      <c r="BE589" s="307"/>
      <c r="BF589" s="307"/>
      <c r="BG589" s="445">
        <f t="shared" si="233"/>
        <v>0</v>
      </c>
      <c r="BH589" s="442"/>
      <c r="BI589" s="443"/>
      <c r="BJ589" s="444">
        <f t="shared" si="234"/>
        <v>0</v>
      </c>
      <c r="BK589" s="307"/>
      <c r="BL589" s="307"/>
      <c r="BM589" s="445">
        <f t="shared" si="235"/>
        <v>0</v>
      </c>
      <c r="BN589" s="442"/>
      <c r="BO589" s="443"/>
      <c r="BP589" s="444">
        <f t="shared" si="236"/>
        <v>0</v>
      </c>
      <c r="BQ589" s="307"/>
      <c r="BR589" s="307"/>
      <c r="BS589" s="445">
        <f t="shared" si="237"/>
        <v>0</v>
      </c>
      <c r="BT589" s="442"/>
      <c r="BU589" s="443"/>
      <c r="BV589" s="444">
        <f t="shared" si="238"/>
        <v>0</v>
      </c>
      <c r="BW589" s="307"/>
      <c r="BX589" s="307"/>
      <c r="BY589" s="449">
        <f t="shared" si="239"/>
        <v>0</v>
      </c>
    </row>
    <row r="590" spans="1:77" s="308" customFormat="1" ht="12.75" customHeight="1">
      <c r="A590" s="373" t="s">
        <v>309</v>
      </c>
      <c r="B590" s="374" t="s">
        <v>106</v>
      </c>
      <c r="C590" s="374"/>
      <c r="D590" s="375">
        <v>225371</v>
      </c>
      <c r="E590" s="323">
        <v>9</v>
      </c>
      <c r="F590" s="453"/>
      <c r="G590" s="454"/>
      <c r="H590" s="439">
        <f t="shared" si="216"/>
        <v>0</v>
      </c>
      <c r="I590" s="311"/>
      <c r="J590" s="311"/>
      <c r="K590" s="441">
        <f t="shared" si="217"/>
        <v>0</v>
      </c>
      <c r="L590" s="442"/>
      <c r="M590" s="443"/>
      <c r="N590" s="444">
        <f t="shared" si="218"/>
        <v>0</v>
      </c>
      <c r="O590" s="307"/>
      <c r="P590" s="307"/>
      <c r="Q590" s="445">
        <f t="shared" si="219"/>
        <v>0</v>
      </c>
      <c r="R590" s="442"/>
      <c r="S590" s="443"/>
      <c r="T590" s="444">
        <f t="shared" si="220"/>
        <v>0</v>
      </c>
      <c r="U590" s="307"/>
      <c r="V590" s="307"/>
      <c r="W590" s="441">
        <f t="shared" si="221"/>
        <v>0</v>
      </c>
      <c r="X590" s="442"/>
      <c r="Y590" s="443"/>
      <c r="Z590" s="444">
        <f t="shared" si="222"/>
        <v>0</v>
      </c>
      <c r="AA590" s="307"/>
      <c r="AB590" s="307"/>
      <c r="AC590" s="445">
        <f t="shared" si="223"/>
        <v>0</v>
      </c>
      <c r="AD590" s="442"/>
      <c r="AE590" s="443"/>
      <c r="AF590" s="444">
        <f t="shared" si="224"/>
        <v>0</v>
      </c>
      <c r="AG590" s="307"/>
      <c r="AH590" s="307"/>
      <c r="AI590" s="445">
        <f t="shared" si="225"/>
        <v>0</v>
      </c>
      <c r="AJ590" s="446">
        <v>66</v>
      </c>
      <c r="AK590" s="443">
        <v>41167.621212121216</v>
      </c>
      <c r="AL590" s="444">
        <f t="shared" si="226"/>
        <v>2717063</v>
      </c>
      <c r="AM590" s="307">
        <v>73</v>
      </c>
      <c r="AN590" s="307">
        <v>42189.424657534248</v>
      </c>
      <c r="AO590" s="447">
        <f t="shared" si="227"/>
        <v>3079828</v>
      </c>
      <c r="AP590" s="448"/>
      <c r="AQ590" s="443"/>
      <c r="AR590" s="444">
        <f t="shared" si="228"/>
        <v>0</v>
      </c>
      <c r="AS590" s="307"/>
      <c r="AT590" s="307"/>
      <c r="AU590" s="441">
        <f t="shared" si="229"/>
        <v>0</v>
      </c>
      <c r="AV590" s="442"/>
      <c r="AW590" s="443"/>
      <c r="AX590" s="444">
        <f t="shared" si="230"/>
        <v>0</v>
      </c>
      <c r="AY590" s="307"/>
      <c r="AZ590" s="307"/>
      <c r="BA590" s="445">
        <f t="shared" si="231"/>
        <v>0</v>
      </c>
      <c r="BB590" s="442"/>
      <c r="BC590" s="443"/>
      <c r="BD590" s="444">
        <f t="shared" si="232"/>
        <v>0</v>
      </c>
      <c r="BE590" s="307"/>
      <c r="BF590" s="307"/>
      <c r="BG590" s="445">
        <f t="shared" si="233"/>
        <v>0</v>
      </c>
      <c r="BH590" s="442"/>
      <c r="BI590" s="443"/>
      <c r="BJ590" s="444">
        <f t="shared" si="234"/>
        <v>0</v>
      </c>
      <c r="BK590" s="307"/>
      <c r="BL590" s="307"/>
      <c r="BM590" s="445">
        <f t="shared" si="235"/>
        <v>0</v>
      </c>
      <c r="BN590" s="442"/>
      <c r="BO590" s="443"/>
      <c r="BP590" s="444">
        <f t="shared" si="236"/>
        <v>0</v>
      </c>
      <c r="BQ590" s="307"/>
      <c r="BR590" s="307"/>
      <c r="BS590" s="445">
        <f t="shared" si="237"/>
        <v>0</v>
      </c>
      <c r="BT590" s="442">
        <v>16</v>
      </c>
      <c r="BU590" s="443">
        <v>51694.5625</v>
      </c>
      <c r="BV590" s="444">
        <f t="shared" si="238"/>
        <v>676743.85660000006</v>
      </c>
      <c r="BW590" s="307">
        <v>18</v>
      </c>
      <c r="BX590" s="307">
        <v>52469</v>
      </c>
      <c r="BY590" s="449">
        <f t="shared" si="239"/>
        <v>772742.44440000004</v>
      </c>
    </row>
    <row r="591" spans="1:77" s="308" customFormat="1" ht="12.75" customHeight="1">
      <c r="A591" s="373" t="s">
        <v>309</v>
      </c>
      <c r="B591" s="374" t="s">
        <v>750</v>
      </c>
      <c r="C591" s="374"/>
      <c r="D591" s="375">
        <v>225520</v>
      </c>
      <c r="E591" s="323">
        <v>9</v>
      </c>
      <c r="F591" s="453">
        <v>6</v>
      </c>
      <c r="G591" s="454">
        <v>54052.333333333336</v>
      </c>
      <c r="H591" s="439">
        <f t="shared" si="216"/>
        <v>324314</v>
      </c>
      <c r="I591" s="311">
        <v>5</v>
      </c>
      <c r="J591" s="311">
        <v>54275</v>
      </c>
      <c r="K591" s="441">
        <f t="shared" si="217"/>
        <v>271375</v>
      </c>
      <c r="L591" s="442">
        <v>18</v>
      </c>
      <c r="M591" s="443">
        <v>45613.5</v>
      </c>
      <c r="N591" s="444">
        <f t="shared" si="218"/>
        <v>821043</v>
      </c>
      <c r="O591" s="307">
        <v>19</v>
      </c>
      <c r="P591" s="307">
        <v>41276.210526315786</v>
      </c>
      <c r="Q591" s="445">
        <f t="shared" si="219"/>
        <v>784248</v>
      </c>
      <c r="R591" s="442">
        <v>25</v>
      </c>
      <c r="S591" s="443">
        <v>38293.120000000003</v>
      </c>
      <c r="T591" s="444">
        <f t="shared" si="220"/>
        <v>957328.00000000012</v>
      </c>
      <c r="U591" s="307">
        <v>28</v>
      </c>
      <c r="V591" s="307">
        <v>42710.964285714283</v>
      </c>
      <c r="W591" s="441">
        <f t="shared" si="221"/>
        <v>1195907</v>
      </c>
      <c r="X591" s="442">
        <v>33</v>
      </c>
      <c r="Y591" s="443">
        <v>39935.666666666664</v>
      </c>
      <c r="Z591" s="444">
        <f t="shared" si="222"/>
        <v>1317877</v>
      </c>
      <c r="AA591" s="307">
        <v>31</v>
      </c>
      <c r="AB591" s="307">
        <v>39946.580645161288</v>
      </c>
      <c r="AC591" s="445">
        <f t="shared" si="223"/>
        <v>1238344</v>
      </c>
      <c r="AD591" s="442"/>
      <c r="AE591" s="443"/>
      <c r="AF591" s="444">
        <f t="shared" si="224"/>
        <v>0</v>
      </c>
      <c r="AG591" s="307"/>
      <c r="AH591" s="307"/>
      <c r="AI591" s="445">
        <f t="shared" si="225"/>
        <v>0</v>
      </c>
      <c r="AJ591" s="446"/>
      <c r="AK591" s="443"/>
      <c r="AL591" s="444">
        <f t="shared" si="226"/>
        <v>0</v>
      </c>
      <c r="AM591" s="307"/>
      <c r="AN591" s="307"/>
      <c r="AO591" s="447">
        <f t="shared" si="227"/>
        <v>0</v>
      </c>
      <c r="AP591" s="448">
        <v>2</v>
      </c>
      <c r="AQ591" s="443">
        <v>67543.5</v>
      </c>
      <c r="AR591" s="444">
        <f t="shared" si="228"/>
        <v>110528.18340000001</v>
      </c>
      <c r="AS591" s="307">
        <v>2</v>
      </c>
      <c r="AT591" s="307">
        <v>66340.5</v>
      </c>
      <c r="AU591" s="441">
        <f t="shared" si="229"/>
        <v>108559.59420000001</v>
      </c>
      <c r="AV591" s="442">
        <v>2</v>
      </c>
      <c r="AW591" s="443">
        <v>59777.5</v>
      </c>
      <c r="AX591" s="444">
        <f t="shared" si="230"/>
        <v>97819.900999999998</v>
      </c>
      <c r="AY591" s="307">
        <v>7</v>
      </c>
      <c r="AZ591" s="307">
        <v>57392.428571428572</v>
      </c>
      <c r="BA591" s="445">
        <f t="shared" si="231"/>
        <v>328709.39540000004</v>
      </c>
      <c r="BB591" s="442">
        <v>14</v>
      </c>
      <c r="BC591" s="443">
        <v>51391.285714285717</v>
      </c>
      <c r="BD591" s="444">
        <f t="shared" si="232"/>
        <v>588676.8996</v>
      </c>
      <c r="BE591" s="307">
        <v>11</v>
      </c>
      <c r="BF591" s="307">
        <v>54532.63636363636</v>
      </c>
      <c r="BG591" s="445">
        <f t="shared" si="233"/>
        <v>490804.63380000001</v>
      </c>
      <c r="BH591" s="442">
        <v>38</v>
      </c>
      <c r="BI591" s="443">
        <v>45300.07894736842</v>
      </c>
      <c r="BJ591" s="444">
        <f t="shared" si="234"/>
        <v>1408451.9346</v>
      </c>
      <c r="BK591" s="307">
        <v>40</v>
      </c>
      <c r="BL591" s="307">
        <v>46662.025000000001</v>
      </c>
      <c r="BM591" s="445">
        <f t="shared" si="235"/>
        <v>1527154.7542000001</v>
      </c>
      <c r="BN591" s="442">
        <v>6</v>
      </c>
      <c r="BO591" s="443">
        <v>26715.166666666668</v>
      </c>
      <c r="BP591" s="444">
        <f t="shared" si="236"/>
        <v>131150.0962</v>
      </c>
      <c r="BQ591" s="307"/>
      <c r="BR591" s="307"/>
      <c r="BS591" s="445">
        <f t="shared" si="237"/>
        <v>0</v>
      </c>
      <c r="BT591" s="442"/>
      <c r="BU591" s="443"/>
      <c r="BV591" s="444">
        <f t="shared" si="238"/>
        <v>0</v>
      </c>
      <c r="BW591" s="307"/>
      <c r="BX591" s="307"/>
      <c r="BY591" s="449">
        <f t="shared" si="239"/>
        <v>0</v>
      </c>
    </row>
    <row r="592" spans="1:77" s="308" customFormat="1" ht="12.75" customHeight="1">
      <c r="A592" s="373" t="s">
        <v>309</v>
      </c>
      <c r="B592" s="383" t="s">
        <v>107</v>
      </c>
      <c r="C592" s="557" t="s">
        <v>1065</v>
      </c>
      <c r="D592" s="375">
        <v>226019</v>
      </c>
      <c r="E592" s="323">
        <v>9</v>
      </c>
      <c r="F592" s="453"/>
      <c r="G592" s="454"/>
      <c r="H592" s="439">
        <f t="shared" si="216"/>
        <v>0</v>
      </c>
      <c r="I592" s="311"/>
      <c r="J592" s="311"/>
      <c r="K592" s="441">
        <f t="shared" si="217"/>
        <v>0</v>
      </c>
      <c r="L592" s="442"/>
      <c r="M592" s="443"/>
      <c r="N592" s="444">
        <f t="shared" si="218"/>
        <v>0</v>
      </c>
      <c r="O592" s="307"/>
      <c r="P592" s="307"/>
      <c r="Q592" s="445">
        <f t="shared" si="219"/>
        <v>0</v>
      </c>
      <c r="R592" s="442"/>
      <c r="S592" s="443"/>
      <c r="T592" s="444">
        <f t="shared" si="220"/>
        <v>0</v>
      </c>
      <c r="U592" s="307"/>
      <c r="V592" s="307"/>
      <c r="W592" s="441">
        <f t="shared" si="221"/>
        <v>0</v>
      </c>
      <c r="X592" s="442"/>
      <c r="Y592" s="443"/>
      <c r="Z592" s="444">
        <f t="shared" si="222"/>
        <v>0</v>
      </c>
      <c r="AA592" s="307"/>
      <c r="AB592" s="307"/>
      <c r="AC592" s="445">
        <f t="shared" si="223"/>
        <v>0</v>
      </c>
      <c r="AD592" s="442"/>
      <c r="AE592" s="443"/>
      <c r="AF592" s="444">
        <f t="shared" si="224"/>
        <v>0</v>
      </c>
      <c r="AG592" s="307"/>
      <c r="AH592" s="307"/>
      <c r="AI592" s="445">
        <f t="shared" si="225"/>
        <v>0</v>
      </c>
      <c r="AJ592" s="446">
        <v>93</v>
      </c>
      <c r="AK592" s="443">
        <v>51749.440860215051</v>
      </c>
      <c r="AL592" s="444">
        <f t="shared" si="226"/>
        <v>4812698</v>
      </c>
      <c r="AM592" s="307">
        <v>100</v>
      </c>
      <c r="AN592" s="307">
        <v>52566.8</v>
      </c>
      <c r="AO592" s="447">
        <f t="shared" si="227"/>
        <v>5256680</v>
      </c>
      <c r="AP592" s="448"/>
      <c r="AQ592" s="443"/>
      <c r="AR592" s="444">
        <f t="shared" si="228"/>
        <v>0</v>
      </c>
      <c r="AS592" s="307"/>
      <c r="AT592" s="307"/>
      <c r="AU592" s="441">
        <f t="shared" si="229"/>
        <v>0</v>
      </c>
      <c r="AV592" s="442"/>
      <c r="AW592" s="443"/>
      <c r="AX592" s="444">
        <f t="shared" si="230"/>
        <v>0</v>
      </c>
      <c r="AY592" s="307"/>
      <c r="AZ592" s="307"/>
      <c r="BA592" s="445">
        <f t="shared" si="231"/>
        <v>0</v>
      </c>
      <c r="BB592" s="442"/>
      <c r="BC592" s="443"/>
      <c r="BD592" s="444">
        <f t="shared" si="232"/>
        <v>0</v>
      </c>
      <c r="BE592" s="307"/>
      <c r="BF592" s="307"/>
      <c r="BG592" s="445">
        <f t="shared" si="233"/>
        <v>0</v>
      </c>
      <c r="BH592" s="442"/>
      <c r="BI592" s="443"/>
      <c r="BJ592" s="444">
        <f t="shared" si="234"/>
        <v>0</v>
      </c>
      <c r="BK592" s="307"/>
      <c r="BL592" s="307"/>
      <c r="BM592" s="445">
        <f t="shared" si="235"/>
        <v>0</v>
      </c>
      <c r="BN592" s="442"/>
      <c r="BO592" s="443"/>
      <c r="BP592" s="444">
        <f t="shared" si="236"/>
        <v>0</v>
      </c>
      <c r="BQ592" s="307"/>
      <c r="BR592" s="307"/>
      <c r="BS592" s="445">
        <f t="shared" si="237"/>
        <v>0</v>
      </c>
      <c r="BT592" s="442">
        <v>62</v>
      </c>
      <c r="BU592" s="443">
        <v>59630.983870967742</v>
      </c>
      <c r="BV592" s="444">
        <f t="shared" si="238"/>
        <v>3024984.4022000004</v>
      </c>
      <c r="BW592" s="307">
        <v>61</v>
      </c>
      <c r="BX592" s="307">
        <v>61125.180327868853</v>
      </c>
      <c r="BY592" s="449">
        <f t="shared" si="239"/>
        <v>3050769.9752000002</v>
      </c>
    </row>
    <row r="593" spans="1:77" s="308" customFormat="1" ht="12.75" customHeight="1">
      <c r="A593" s="378" t="s">
        <v>309</v>
      </c>
      <c r="B593" s="381" t="s">
        <v>108</v>
      </c>
      <c r="C593" s="381"/>
      <c r="D593" s="379">
        <v>441760</v>
      </c>
      <c r="E593" s="380">
        <v>9</v>
      </c>
      <c r="F593" s="453"/>
      <c r="G593" s="454"/>
      <c r="H593" s="439">
        <f t="shared" si="216"/>
        <v>0</v>
      </c>
      <c r="I593" s="311"/>
      <c r="J593" s="311"/>
      <c r="K593" s="441">
        <f t="shared" si="217"/>
        <v>0</v>
      </c>
      <c r="L593" s="442"/>
      <c r="M593" s="443"/>
      <c r="N593" s="444">
        <f t="shared" si="218"/>
        <v>0</v>
      </c>
      <c r="O593" s="307"/>
      <c r="P593" s="307"/>
      <c r="Q593" s="445">
        <f t="shared" si="219"/>
        <v>0</v>
      </c>
      <c r="R593" s="442"/>
      <c r="S593" s="443"/>
      <c r="T593" s="444">
        <f t="shared" si="220"/>
        <v>0</v>
      </c>
      <c r="U593" s="307"/>
      <c r="V593" s="307"/>
      <c r="W593" s="441">
        <f t="shared" si="221"/>
        <v>0</v>
      </c>
      <c r="X593" s="442"/>
      <c r="Y593" s="443"/>
      <c r="Z593" s="444">
        <f t="shared" si="222"/>
        <v>0</v>
      </c>
      <c r="AA593" s="307">
        <v>81</v>
      </c>
      <c r="AB593" s="307">
        <v>41452.765432098764</v>
      </c>
      <c r="AC593" s="445">
        <f t="shared" si="223"/>
        <v>3357674</v>
      </c>
      <c r="AD593" s="442"/>
      <c r="AE593" s="443"/>
      <c r="AF593" s="444">
        <f t="shared" si="224"/>
        <v>0</v>
      </c>
      <c r="AG593" s="307"/>
      <c r="AH593" s="307"/>
      <c r="AI593" s="445">
        <f t="shared" si="225"/>
        <v>0</v>
      </c>
      <c r="AJ593" s="446">
        <v>81</v>
      </c>
      <c r="AK593" s="443">
        <v>49238.432098765436</v>
      </c>
      <c r="AL593" s="444">
        <f t="shared" si="226"/>
        <v>3988313.0000000005</v>
      </c>
      <c r="AM593" s="307"/>
      <c r="AN593" s="307"/>
      <c r="AO593" s="447">
        <f t="shared" si="227"/>
        <v>0</v>
      </c>
      <c r="AP593" s="448"/>
      <c r="AQ593" s="443"/>
      <c r="AR593" s="444">
        <f t="shared" si="228"/>
        <v>0</v>
      </c>
      <c r="AS593" s="307"/>
      <c r="AT593" s="307"/>
      <c r="AU593" s="441">
        <f t="shared" si="229"/>
        <v>0</v>
      </c>
      <c r="AV593" s="442"/>
      <c r="AW593" s="443"/>
      <c r="AX593" s="444">
        <f t="shared" si="230"/>
        <v>0</v>
      </c>
      <c r="AY593" s="307"/>
      <c r="AZ593" s="307"/>
      <c r="BA593" s="445">
        <f t="shared" si="231"/>
        <v>0</v>
      </c>
      <c r="BB593" s="442"/>
      <c r="BC593" s="443"/>
      <c r="BD593" s="444">
        <f t="shared" si="232"/>
        <v>0</v>
      </c>
      <c r="BE593" s="307"/>
      <c r="BF593" s="307"/>
      <c r="BG593" s="445">
        <f t="shared" si="233"/>
        <v>0</v>
      </c>
      <c r="BH593" s="442"/>
      <c r="BI593" s="443"/>
      <c r="BJ593" s="444">
        <f t="shared" si="234"/>
        <v>0</v>
      </c>
      <c r="BK593" s="307"/>
      <c r="BL593" s="307"/>
      <c r="BM593" s="445">
        <f t="shared" si="235"/>
        <v>0</v>
      </c>
      <c r="BN593" s="442"/>
      <c r="BO593" s="443"/>
      <c r="BP593" s="444">
        <f t="shared" si="236"/>
        <v>0</v>
      </c>
      <c r="BQ593" s="307"/>
      <c r="BR593" s="307"/>
      <c r="BS593" s="445">
        <f t="shared" si="237"/>
        <v>0</v>
      </c>
      <c r="BT593" s="442"/>
      <c r="BU593" s="443"/>
      <c r="BV593" s="444">
        <f t="shared" si="238"/>
        <v>0</v>
      </c>
      <c r="BW593" s="307"/>
      <c r="BX593" s="307"/>
      <c r="BY593" s="449">
        <f t="shared" si="239"/>
        <v>0</v>
      </c>
    </row>
    <row r="594" spans="1:77" s="308" customFormat="1" ht="12.75" customHeight="1">
      <c r="A594" s="373" t="s">
        <v>309</v>
      </c>
      <c r="B594" s="374" t="s">
        <v>110</v>
      </c>
      <c r="C594" s="374"/>
      <c r="D594" s="375">
        <v>226204</v>
      </c>
      <c r="E594" s="323">
        <v>9</v>
      </c>
      <c r="F594" s="453"/>
      <c r="G594" s="454"/>
      <c r="H594" s="439">
        <f t="shared" si="216"/>
        <v>0</v>
      </c>
      <c r="I594" s="311"/>
      <c r="J594" s="311"/>
      <c r="K594" s="441">
        <f t="shared" si="217"/>
        <v>0</v>
      </c>
      <c r="L594" s="442"/>
      <c r="M594" s="443"/>
      <c r="N594" s="444">
        <f t="shared" si="218"/>
        <v>0</v>
      </c>
      <c r="O594" s="307"/>
      <c r="P594" s="307"/>
      <c r="Q594" s="445">
        <f t="shared" si="219"/>
        <v>0</v>
      </c>
      <c r="R594" s="442"/>
      <c r="S594" s="443"/>
      <c r="T594" s="444">
        <f t="shared" si="220"/>
        <v>0</v>
      </c>
      <c r="U594" s="307"/>
      <c r="V594" s="307"/>
      <c r="W594" s="441">
        <f t="shared" si="221"/>
        <v>0</v>
      </c>
      <c r="X594" s="442"/>
      <c r="Y594" s="443"/>
      <c r="Z594" s="444">
        <f t="shared" si="222"/>
        <v>0</v>
      </c>
      <c r="AA594" s="307"/>
      <c r="AB594" s="307"/>
      <c r="AC594" s="445">
        <f t="shared" si="223"/>
        <v>0</v>
      </c>
      <c r="AD594" s="442"/>
      <c r="AE594" s="443"/>
      <c r="AF594" s="444">
        <f t="shared" si="224"/>
        <v>0</v>
      </c>
      <c r="AG594" s="307"/>
      <c r="AH594" s="307"/>
      <c r="AI594" s="445">
        <f t="shared" si="225"/>
        <v>0</v>
      </c>
      <c r="AJ594" s="446">
        <v>149</v>
      </c>
      <c r="AK594" s="443">
        <v>51034.812080536911</v>
      </c>
      <c r="AL594" s="444">
        <f t="shared" si="226"/>
        <v>7604187</v>
      </c>
      <c r="AM594" s="307">
        <v>145</v>
      </c>
      <c r="AN594" s="307">
        <v>50695.896551724138</v>
      </c>
      <c r="AO594" s="447">
        <f t="shared" si="227"/>
        <v>7350905</v>
      </c>
      <c r="AP594" s="448"/>
      <c r="AQ594" s="443"/>
      <c r="AR594" s="444">
        <f t="shared" si="228"/>
        <v>0</v>
      </c>
      <c r="AS594" s="307"/>
      <c r="AT594" s="307"/>
      <c r="AU594" s="441">
        <f t="shared" si="229"/>
        <v>0</v>
      </c>
      <c r="AV594" s="442"/>
      <c r="AW594" s="443"/>
      <c r="AX594" s="444">
        <f t="shared" si="230"/>
        <v>0</v>
      </c>
      <c r="AY594" s="307"/>
      <c r="AZ594" s="307"/>
      <c r="BA594" s="445">
        <f t="shared" si="231"/>
        <v>0</v>
      </c>
      <c r="BB594" s="442"/>
      <c r="BC594" s="443"/>
      <c r="BD594" s="444">
        <f t="shared" si="232"/>
        <v>0</v>
      </c>
      <c r="BE594" s="307"/>
      <c r="BF594" s="307"/>
      <c r="BG594" s="445">
        <f t="shared" si="233"/>
        <v>0</v>
      </c>
      <c r="BH594" s="442"/>
      <c r="BI594" s="443"/>
      <c r="BJ594" s="444">
        <f t="shared" si="234"/>
        <v>0</v>
      </c>
      <c r="BK594" s="307"/>
      <c r="BL594" s="307"/>
      <c r="BM594" s="445">
        <f t="shared" si="235"/>
        <v>0</v>
      </c>
      <c r="BN594" s="442"/>
      <c r="BO594" s="443"/>
      <c r="BP594" s="444">
        <f t="shared" si="236"/>
        <v>0</v>
      </c>
      <c r="BQ594" s="307"/>
      <c r="BR594" s="307"/>
      <c r="BS594" s="445">
        <f t="shared" si="237"/>
        <v>0</v>
      </c>
      <c r="BT594" s="442">
        <v>28</v>
      </c>
      <c r="BU594" s="443">
        <v>60496.535714285717</v>
      </c>
      <c r="BV594" s="444">
        <f t="shared" si="238"/>
        <v>1385951.4346</v>
      </c>
      <c r="BW594" s="307">
        <v>16</v>
      </c>
      <c r="BX594" s="307">
        <v>59715.75</v>
      </c>
      <c r="BY594" s="449">
        <f t="shared" si="239"/>
        <v>781750.82640000002</v>
      </c>
    </row>
    <row r="595" spans="1:77" s="308" customFormat="1" ht="12.75" customHeight="1">
      <c r="A595" s="373" t="s">
        <v>309</v>
      </c>
      <c r="B595" s="377" t="s">
        <v>112</v>
      </c>
      <c r="C595" s="558" t="s">
        <v>1067</v>
      </c>
      <c r="D595" s="375">
        <v>226930</v>
      </c>
      <c r="E595" s="323">
        <v>9</v>
      </c>
      <c r="F595" s="453"/>
      <c r="G595" s="454"/>
      <c r="H595" s="439">
        <f t="shared" si="216"/>
        <v>0</v>
      </c>
      <c r="I595" s="311"/>
      <c r="J595" s="311"/>
      <c r="K595" s="441">
        <f t="shared" si="217"/>
        <v>0</v>
      </c>
      <c r="L595" s="442"/>
      <c r="M595" s="443"/>
      <c r="N595" s="444">
        <f t="shared" si="218"/>
        <v>0</v>
      </c>
      <c r="O595" s="307"/>
      <c r="P595" s="307"/>
      <c r="Q595" s="445">
        <f t="shared" si="219"/>
        <v>0</v>
      </c>
      <c r="R595" s="442"/>
      <c r="S595" s="443"/>
      <c r="T595" s="444">
        <f t="shared" si="220"/>
        <v>0</v>
      </c>
      <c r="U595" s="307"/>
      <c r="V595" s="307"/>
      <c r="W595" s="441">
        <f t="shared" si="221"/>
        <v>0</v>
      </c>
      <c r="X595" s="442"/>
      <c r="Y595" s="443"/>
      <c r="Z595" s="444">
        <f t="shared" si="222"/>
        <v>0</v>
      </c>
      <c r="AA595" s="307"/>
      <c r="AB595" s="307"/>
      <c r="AC595" s="445">
        <f t="shared" si="223"/>
        <v>0</v>
      </c>
      <c r="AD595" s="442"/>
      <c r="AE595" s="443"/>
      <c r="AF595" s="444">
        <f t="shared" si="224"/>
        <v>0</v>
      </c>
      <c r="AG595" s="307"/>
      <c r="AH595" s="307"/>
      <c r="AI595" s="445">
        <f t="shared" si="225"/>
        <v>0</v>
      </c>
      <c r="AJ595" s="446">
        <v>74</v>
      </c>
      <c r="AK595" s="443">
        <v>60839.027027027027</v>
      </c>
      <c r="AL595" s="444">
        <f t="shared" si="226"/>
        <v>4502088</v>
      </c>
      <c r="AM595" s="307">
        <v>77</v>
      </c>
      <c r="AN595" s="307">
        <v>60219.805194805194</v>
      </c>
      <c r="AO595" s="447">
        <f t="shared" si="227"/>
        <v>4636925</v>
      </c>
      <c r="AP595" s="448"/>
      <c r="AQ595" s="443"/>
      <c r="AR595" s="444">
        <f t="shared" si="228"/>
        <v>0</v>
      </c>
      <c r="AS595" s="307"/>
      <c r="AT595" s="307"/>
      <c r="AU595" s="441">
        <f t="shared" si="229"/>
        <v>0</v>
      </c>
      <c r="AV595" s="442"/>
      <c r="AW595" s="443"/>
      <c r="AX595" s="444">
        <f t="shared" si="230"/>
        <v>0</v>
      </c>
      <c r="AY595" s="307"/>
      <c r="AZ595" s="307"/>
      <c r="BA595" s="445">
        <f t="shared" si="231"/>
        <v>0</v>
      </c>
      <c r="BB595" s="442"/>
      <c r="BC595" s="443"/>
      <c r="BD595" s="444">
        <f t="shared" si="232"/>
        <v>0</v>
      </c>
      <c r="BE595" s="307"/>
      <c r="BF595" s="307"/>
      <c r="BG595" s="445">
        <f t="shared" si="233"/>
        <v>0</v>
      </c>
      <c r="BH595" s="442"/>
      <c r="BI595" s="443"/>
      <c r="BJ595" s="444">
        <f t="shared" si="234"/>
        <v>0</v>
      </c>
      <c r="BK595" s="307"/>
      <c r="BL595" s="307"/>
      <c r="BM595" s="445">
        <f t="shared" si="235"/>
        <v>0</v>
      </c>
      <c r="BN595" s="442"/>
      <c r="BO595" s="443"/>
      <c r="BP595" s="444">
        <f t="shared" si="236"/>
        <v>0</v>
      </c>
      <c r="BQ595" s="307"/>
      <c r="BR595" s="307"/>
      <c r="BS595" s="445">
        <f t="shared" si="237"/>
        <v>0</v>
      </c>
      <c r="BT595" s="442"/>
      <c r="BU595" s="443"/>
      <c r="BV595" s="444">
        <f t="shared" si="238"/>
        <v>0</v>
      </c>
      <c r="BW595" s="307"/>
      <c r="BX595" s="307"/>
      <c r="BY595" s="449">
        <f t="shared" si="239"/>
        <v>0</v>
      </c>
    </row>
    <row r="596" spans="1:77" s="308" customFormat="1" ht="12.75" customHeight="1">
      <c r="A596" s="373" t="s">
        <v>309</v>
      </c>
      <c r="B596" s="374" t="s">
        <v>115</v>
      </c>
      <c r="C596" s="374"/>
      <c r="D596" s="375">
        <v>227304</v>
      </c>
      <c r="E596" s="323">
        <v>9</v>
      </c>
      <c r="F596" s="453">
        <v>15</v>
      </c>
      <c r="G596" s="454">
        <v>60690</v>
      </c>
      <c r="H596" s="439">
        <f t="shared" si="216"/>
        <v>910350</v>
      </c>
      <c r="I596" s="311">
        <v>15</v>
      </c>
      <c r="J596" s="311">
        <v>60638</v>
      </c>
      <c r="K596" s="441">
        <f t="shared" si="217"/>
        <v>909570</v>
      </c>
      <c r="L596" s="442">
        <v>24</v>
      </c>
      <c r="M596" s="443">
        <v>50014.833333333336</v>
      </c>
      <c r="N596" s="444">
        <f t="shared" si="218"/>
        <v>1200356</v>
      </c>
      <c r="O596" s="307">
        <v>27</v>
      </c>
      <c r="P596" s="307">
        <v>44727.925925925927</v>
      </c>
      <c r="Q596" s="445">
        <f t="shared" si="219"/>
        <v>1207654</v>
      </c>
      <c r="R596" s="442">
        <v>24</v>
      </c>
      <c r="S596" s="443">
        <v>48945.5</v>
      </c>
      <c r="T596" s="444">
        <f t="shared" si="220"/>
        <v>1174692</v>
      </c>
      <c r="U596" s="307">
        <v>24</v>
      </c>
      <c r="V596" s="307">
        <v>52215.5</v>
      </c>
      <c r="W596" s="441">
        <f t="shared" si="221"/>
        <v>1253172</v>
      </c>
      <c r="X596" s="442">
        <v>36</v>
      </c>
      <c r="Y596" s="443">
        <v>45763.777777777781</v>
      </c>
      <c r="Z596" s="444">
        <f t="shared" si="222"/>
        <v>1647496</v>
      </c>
      <c r="AA596" s="307">
        <v>42</v>
      </c>
      <c r="AB596" s="307">
        <v>45795.785714285717</v>
      </c>
      <c r="AC596" s="445">
        <f t="shared" si="223"/>
        <v>1923423.0000000002</v>
      </c>
      <c r="AD596" s="442"/>
      <c r="AE596" s="443"/>
      <c r="AF596" s="444">
        <f t="shared" si="224"/>
        <v>0</v>
      </c>
      <c r="AG596" s="307"/>
      <c r="AH596" s="307"/>
      <c r="AI596" s="445">
        <f t="shared" si="225"/>
        <v>0</v>
      </c>
      <c r="AJ596" s="446"/>
      <c r="AK596" s="443"/>
      <c r="AL596" s="444">
        <f t="shared" si="226"/>
        <v>0</v>
      </c>
      <c r="AM596" s="307"/>
      <c r="AN596" s="307"/>
      <c r="AO596" s="447">
        <f t="shared" si="227"/>
        <v>0</v>
      </c>
      <c r="AP596" s="448">
        <v>1</v>
      </c>
      <c r="AQ596" s="443">
        <v>73911</v>
      </c>
      <c r="AR596" s="444">
        <f t="shared" si="228"/>
        <v>60473.980200000005</v>
      </c>
      <c r="AS596" s="307">
        <v>1</v>
      </c>
      <c r="AT596" s="307">
        <v>75373</v>
      </c>
      <c r="AU596" s="441">
        <f t="shared" si="229"/>
        <v>61670.188600000001</v>
      </c>
      <c r="AV596" s="442">
        <v>8</v>
      </c>
      <c r="AW596" s="443">
        <v>67592.75</v>
      </c>
      <c r="AX596" s="444">
        <f t="shared" si="230"/>
        <v>442435.10440000001</v>
      </c>
      <c r="AY596" s="307">
        <v>7</v>
      </c>
      <c r="AZ596" s="307">
        <v>68973.428571428565</v>
      </c>
      <c r="BA596" s="445">
        <f t="shared" si="231"/>
        <v>395038.41479999997</v>
      </c>
      <c r="BB596" s="442">
        <v>5</v>
      </c>
      <c r="BC596" s="443">
        <v>59936.6</v>
      </c>
      <c r="BD596" s="444">
        <f t="shared" si="232"/>
        <v>245200.6306</v>
      </c>
      <c r="BE596" s="307">
        <v>5</v>
      </c>
      <c r="BF596" s="307">
        <v>62089.4</v>
      </c>
      <c r="BG596" s="445">
        <f t="shared" si="233"/>
        <v>254007.73540000001</v>
      </c>
      <c r="BH596" s="442">
        <v>5</v>
      </c>
      <c r="BI596" s="443">
        <v>54828.2</v>
      </c>
      <c r="BJ596" s="444">
        <f t="shared" si="234"/>
        <v>224302.16620000001</v>
      </c>
      <c r="BK596" s="307">
        <v>5</v>
      </c>
      <c r="BL596" s="307">
        <v>56600</v>
      </c>
      <c r="BM596" s="445">
        <f t="shared" si="235"/>
        <v>231550.6</v>
      </c>
      <c r="BN596" s="442"/>
      <c r="BO596" s="443"/>
      <c r="BP596" s="444">
        <f t="shared" si="236"/>
        <v>0</v>
      </c>
      <c r="BQ596" s="307"/>
      <c r="BR596" s="307"/>
      <c r="BS596" s="445">
        <f t="shared" si="237"/>
        <v>0</v>
      </c>
      <c r="BT596" s="442"/>
      <c r="BU596" s="443"/>
      <c r="BV596" s="444">
        <f t="shared" si="238"/>
        <v>0</v>
      </c>
      <c r="BW596" s="307"/>
      <c r="BX596" s="307"/>
      <c r="BY596" s="449">
        <f t="shared" si="239"/>
        <v>0</v>
      </c>
    </row>
    <row r="597" spans="1:77" s="308" customFormat="1" ht="12.75" customHeight="1">
      <c r="A597" s="373" t="s">
        <v>309</v>
      </c>
      <c r="B597" s="374" t="s">
        <v>116</v>
      </c>
      <c r="C597" s="374"/>
      <c r="D597" s="375">
        <v>227401</v>
      </c>
      <c r="E597" s="323">
        <v>9</v>
      </c>
      <c r="F597" s="453"/>
      <c r="G597" s="454"/>
      <c r="H597" s="439">
        <f t="shared" si="216"/>
        <v>0</v>
      </c>
      <c r="I597" s="311"/>
      <c r="J597" s="311"/>
      <c r="K597" s="441">
        <f t="shared" si="217"/>
        <v>0</v>
      </c>
      <c r="L597" s="442"/>
      <c r="M597" s="443"/>
      <c r="N597" s="444">
        <f t="shared" si="218"/>
        <v>0</v>
      </c>
      <c r="O597" s="307"/>
      <c r="P597" s="307"/>
      <c r="Q597" s="445">
        <f t="shared" si="219"/>
        <v>0</v>
      </c>
      <c r="R597" s="442"/>
      <c r="S597" s="443"/>
      <c r="T597" s="444">
        <f t="shared" si="220"/>
        <v>0</v>
      </c>
      <c r="U597" s="307"/>
      <c r="V597" s="307"/>
      <c r="W597" s="441">
        <f t="shared" si="221"/>
        <v>0</v>
      </c>
      <c r="X597" s="442"/>
      <c r="Y597" s="443"/>
      <c r="Z597" s="444">
        <f t="shared" si="222"/>
        <v>0</v>
      </c>
      <c r="AA597" s="307"/>
      <c r="AB597" s="307"/>
      <c r="AC597" s="445">
        <f t="shared" si="223"/>
        <v>0</v>
      </c>
      <c r="AD597" s="442"/>
      <c r="AE597" s="443"/>
      <c r="AF597" s="444">
        <f t="shared" si="224"/>
        <v>0</v>
      </c>
      <c r="AG597" s="307"/>
      <c r="AH597" s="307"/>
      <c r="AI597" s="445">
        <f t="shared" si="225"/>
        <v>0</v>
      </c>
      <c r="AJ597" s="446">
        <v>73</v>
      </c>
      <c r="AK597" s="443">
        <v>52116.767123287675</v>
      </c>
      <c r="AL597" s="444">
        <f t="shared" si="226"/>
        <v>3804524.0000000005</v>
      </c>
      <c r="AM597" s="307">
        <v>75</v>
      </c>
      <c r="AN597" s="307">
        <v>54048.306666666664</v>
      </c>
      <c r="AO597" s="447">
        <f t="shared" si="227"/>
        <v>4053623</v>
      </c>
      <c r="AP597" s="448"/>
      <c r="AQ597" s="443"/>
      <c r="AR597" s="444">
        <f t="shared" si="228"/>
        <v>0</v>
      </c>
      <c r="AS597" s="307"/>
      <c r="AT597" s="307"/>
      <c r="AU597" s="441">
        <f t="shared" si="229"/>
        <v>0</v>
      </c>
      <c r="AV597" s="442"/>
      <c r="AW597" s="443"/>
      <c r="AX597" s="444">
        <f t="shared" si="230"/>
        <v>0</v>
      </c>
      <c r="AY597" s="307"/>
      <c r="AZ597" s="307"/>
      <c r="BA597" s="445">
        <f t="shared" si="231"/>
        <v>0</v>
      </c>
      <c r="BB597" s="442"/>
      <c r="BC597" s="443"/>
      <c r="BD597" s="444">
        <f t="shared" si="232"/>
        <v>0</v>
      </c>
      <c r="BE597" s="307"/>
      <c r="BF597" s="307"/>
      <c r="BG597" s="445">
        <f t="shared" si="233"/>
        <v>0</v>
      </c>
      <c r="BH597" s="442"/>
      <c r="BI597" s="443"/>
      <c r="BJ597" s="444">
        <f t="shared" si="234"/>
        <v>0</v>
      </c>
      <c r="BK597" s="307"/>
      <c r="BL597" s="307"/>
      <c r="BM597" s="445">
        <f t="shared" si="235"/>
        <v>0</v>
      </c>
      <c r="BN597" s="442"/>
      <c r="BO597" s="443"/>
      <c r="BP597" s="444">
        <f t="shared" si="236"/>
        <v>0</v>
      </c>
      <c r="BQ597" s="307"/>
      <c r="BR597" s="307"/>
      <c r="BS597" s="445">
        <f t="shared" si="237"/>
        <v>0</v>
      </c>
      <c r="BT597" s="442">
        <v>26</v>
      </c>
      <c r="BU597" s="443">
        <v>66365.461538461532</v>
      </c>
      <c r="BV597" s="444">
        <f t="shared" si="238"/>
        <v>1411805.7363999998</v>
      </c>
      <c r="BW597" s="307">
        <v>24</v>
      </c>
      <c r="BX597" s="307">
        <v>74928.041666666672</v>
      </c>
      <c r="BY597" s="449">
        <f t="shared" si="239"/>
        <v>1471346.9686</v>
      </c>
    </row>
    <row r="598" spans="1:77" s="308" customFormat="1" ht="12.75" customHeight="1">
      <c r="A598" s="373" t="s">
        <v>309</v>
      </c>
      <c r="B598" s="374" t="s">
        <v>117</v>
      </c>
      <c r="C598" s="374"/>
      <c r="D598" s="375">
        <v>228316</v>
      </c>
      <c r="E598" s="323">
        <v>9</v>
      </c>
      <c r="F598" s="453"/>
      <c r="G598" s="454"/>
      <c r="H598" s="439">
        <f t="shared" si="216"/>
        <v>0</v>
      </c>
      <c r="I598" s="311"/>
      <c r="J598" s="311"/>
      <c r="K598" s="441">
        <f t="shared" si="217"/>
        <v>0</v>
      </c>
      <c r="L598" s="442"/>
      <c r="M598" s="443"/>
      <c r="N598" s="444">
        <f t="shared" si="218"/>
        <v>0</v>
      </c>
      <c r="O598" s="307"/>
      <c r="P598" s="307"/>
      <c r="Q598" s="445">
        <f t="shared" si="219"/>
        <v>0</v>
      </c>
      <c r="R598" s="442"/>
      <c r="S598" s="443"/>
      <c r="T598" s="444">
        <f t="shared" si="220"/>
        <v>0</v>
      </c>
      <c r="U598" s="307"/>
      <c r="V598" s="307"/>
      <c r="W598" s="441">
        <f t="shared" si="221"/>
        <v>0</v>
      </c>
      <c r="X598" s="442"/>
      <c r="Y598" s="443"/>
      <c r="Z598" s="444">
        <f t="shared" si="222"/>
        <v>0</v>
      </c>
      <c r="AA598" s="307">
        <v>105</v>
      </c>
      <c r="AB598" s="307">
        <v>48019.304761904765</v>
      </c>
      <c r="AC598" s="445">
        <f t="shared" si="223"/>
        <v>5042027</v>
      </c>
      <c r="AD598" s="442"/>
      <c r="AE598" s="443"/>
      <c r="AF598" s="444">
        <f t="shared" si="224"/>
        <v>0</v>
      </c>
      <c r="AG598" s="307"/>
      <c r="AH598" s="307"/>
      <c r="AI598" s="445">
        <f t="shared" si="225"/>
        <v>0</v>
      </c>
      <c r="AJ598" s="446">
        <v>104</v>
      </c>
      <c r="AK598" s="443">
        <v>46872.567307692305</v>
      </c>
      <c r="AL598" s="444">
        <f t="shared" si="226"/>
        <v>4874747</v>
      </c>
      <c r="AM598" s="307"/>
      <c r="AN598" s="307"/>
      <c r="AO598" s="447">
        <f t="shared" si="227"/>
        <v>0</v>
      </c>
      <c r="AP598" s="448"/>
      <c r="AQ598" s="443"/>
      <c r="AR598" s="444">
        <f t="shared" si="228"/>
        <v>0</v>
      </c>
      <c r="AS598" s="307"/>
      <c r="AT598" s="307"/>
      <c r="AU598" s="441">
        <f t="shared" si="229"/>
        <v>0</v>
      </c>
      <c r="AV598" s="442"/>
      <c r="AW598" s="443"/>
      <c r="AX598" s="444">
        <f t="shared" si="230"/>
        <v>0</v>
      </c>
      <c r="AY598" s="307"/>
      <c r="AZ598" s="307"/>
      <c r="BA598" s="445">
        <f t="shared" si="231"/>
        <v>0</v>
      </c>
      <c r="BB598" s="442"/>
      <c r="BC598" s="443"/>
      <c r="BD598" s="444">
        <f t="shared" si="232"/>
        <v>0</v>
      </c>
      <c r="BE598" s="307"/>
      <c r="BF598" s="307"/>
      <c r="BG598" s="445">
        <f t="shared" si="233"/>
        <v>0</v>
      </c>
      <c r="BH598" s="442"/>
      <c r="BI598" s="443"/>
      <c r="BJ598" s="444">
        <f t="shared" si="234"/>
        <v>0</v>
      </c>
      <c r="BK598" s="307">
        <v>10</v>
      </c>
      <c r="BL598" s="307">
        <v>66873.8</v>
      </c>
      <c r="BM598" s="445">
        <f t="shared" si="235"/>
        <v>547161.43160000001</v>
      </c>
      <c r="BN598" s="442"/>
      <c r="BO598" s="443"/>
      <c r="BP598" s="444">
        <f t="shared" si="236"/>
        <v>0</v>
      </c>
      <c r="BQ598" s="307"/>
      <c r="BR598" s="307"/>
      <c r="BS598" s="445">
        <f t="shared" si="237"/>
        <v>0</v>
      </c>
      <c r="BT598" s="442">
        <v>8</v>
      </c>
      <c r="BU598" s="443">
        <v>63433.75</v>
      </c>
      <c r="BV598" s="444">
        <f t="shared" si="238"/>
        <v>415211.95400000003</v>
      </c>
      <c r="BW598" s="307"/>
      <c r="BX598" s="307"/>
      <c r="BY598" s="449">
        <f t="shared" si="239"/>
        <v>0</v>
      </c>
    </row>
    <row r="599" spans="1:77" s="308" customFormat="1" ht="12.75" customHeight="1">
      <c r="A599" s="373" t="s">
        <v>309</v>
      </c>
      <c r="B599" s="374" t="s">
        <v>118</v>
      </c>
      <c r="C599" s="374"/>
      <c r="D599" s="375">
        <v>228608</v>
      </c>
      <c r="E599" s="323">
        <v>9</v>
      </c>
      <c r="F599" s="453"/>
      <c r="G599" s="454"/>
      <c r="H599" s="439">
        <f t="shared" si="216"/>
        <v>0</v>
      </c>
      <c r="I599" s="311"/>
      <c r="J599" s="311"/>
      <c r="K599" s="441">
        <f t="shared" si="217"/>
        <v>0</v>
      </c>
      <c r="L599" s="442"/>
      <c r="M599" s="443"/>
      <c r="N599" s="444">
        <f t="shared" si="218"/>
        <v>0</v>
      </c>
      <c r="O599" s="307"/>
      <c r="P599" s="307"/>
      <c r="Q599" s="445">
        <f t="shared" si="219"/>
        <v>0</v>
      </c>
      <c r="R599" s="442"/>
      <c r="S599" s="443"/>
      <c r="T599" s="444">
        <f t="shared" si="220"/>
        <v>0</v>
      </c>
      <c r="U599" s="307"/>
      <c r="V599" s="307"/>
      <c r="W599" s="441">
        <f t="shared" si="221"/>
        <v>0</v>
      </c>
      <c r="X599" s="442"/>
      <c r="Y599" s="443"/>
      <c r="Z599" s="444">
        <f t="shared" si="222"/>
        <v>0</v>
      </c>
      <c r="AA599" s="307">
        <v>80</v>
      </c>
      <c r="AB599" s="307">
        <v>59986.037499999999</v>
      </c>
      <c r="AC599" s="445">
        <f t="shared" si="223"/>
        <v>4798883</v>
      </c>
      <c r="AD599" s="442"/>
      <c r="AE599" s="443"/>
      <c r="AF599" s="444">
        <f t="shared" si="224"/>
        <v>0</v>
      </c>
      <c r="AG599" s="307"/>
      <c r="AH599" s="307"/>
      <c r="AI599" s="445">
        <f t="shared" si="225"/>
        <v>0</v>
      </c>
      <c r="AJ599" s="446">
        <v>78</v>
      </c>
      <c r="AK599" s="443">
        <v>59170.166666666664</v>
      </c>
      <c r="AL599" s="444">
        <f t="shared" si="226"/>
        <v>4615273</v>
      </c>
      <c r="AM599" s="307"/>
      <c r="AN599" s="307"/>
      <c r="AO599" s="447">
        <f t="shared" si="227"/>
        <v>0</v>
      </c>
      <c r="AP599" s="448"/>
      <c r="AQ599" s="443"/>
      <c r="AR599" s="444">
        <f t="shared" si="228"/>
        <v>0</v>
      </c>
      <c r="AS599" s="307"/>
      <c r="AT599" s="307"/>
      <c r="AU599" s="441">
        <f t="shared" si="229"/>
        <v>0</v>
      </c>
      <c r="AV599" s="442"/>
      <c r="AW599" s="443"/>
      <c r="AX599" s="444">
        <f t="shared" si="230"/>
        <v>0</v>
      </c>
      <c r="AY599" s="307"/>
      <c r="AZ599" s="307"/>
      <c r="BA599" s="445">
        <f t="shared" si="231"/>
        <v>0</v>
      </c>
      <c r="BB599" s="442"/>
      <c r="BC599" s="443"/>
      <c r="BD599" s="444">
        <f t="shared" si="232"/>
        <v>0</v>
      </c>
      <c r="BE599" s="307"/>
      <c r="BF599" s="307"/>
      <c r="BG599" s="445">
        <f t="shared" si="233"/>
        <v>0</v>
      </c>
      <c r="BH599" s="442"/>
      <c r="BI599" s="443"/>
      <c r="BJ599" s="444">
        <f t="shared" si="234"/>
        <v>0</v>
      </c>
      <c r="BK599" s="307">
        <v>37</v>
      </c>
      <c r="BL599" s="307">
        <v>61953.648648648646</v>
      </c>
      <c r="BM599" s="445">
        <f t="shared" si="235"/>
        <v>1875547.5870000001</v>
      </c>
      <c r="BN599" s="442"/>
      <c r="BO599" s="443"/>
      <c r="BP599" s="444">
        <f t="shared" si="236"/>
        <v>0</v>
      </c>
      <c r="BQ599" s="307"/>
      <c r="BR599" s="307"/>
      <c r="BS599" s="445">
        <f t="shared" si="237"/>
        <v>0</v>
      </c>
      <c r="BT599" s="442">
        <v>35</v>
      </c>
      <c r="BU599" s="443">
        <v>62169.171428571426</v>
      </c>
      <c r="BV599" s="444">
        <f t="shared" si="238"/>
        <v>1780338.5622</v>
      </c>
      <c r="BW599" s="307"/>
      <c r="BX599" s="307"/>
      <c r="BY599" s="449">
        <f t="shared" si="239"/>
        <v>0</v>
      </c>
    </row>
    <row r="600" spans="1:77" s="308" customFormat="1" ht="12.75" customHeight="1">
      <c r="A600" s="373" t="s">
        <v>309</v>
      </c>
      <c r="B600" s="374" t="s">
        <v>119</v>
      </c>
      <c r="C600" s="374"/>
      <c r="D600" s="375">
        <v>228699</v>
      </c>
      <c r="E600" s="323">
        <v>9</v>
      </c>
      <c r="F600" s="453">
        <v>28</v>
      </c>
      <c r="G600" s="454">
        <v>61674.785714285717</v>
      </c>
      <c r="H600" s="439">
        <f t="shared" si="216"/>
        <v>1726894</v>
      </c>
      <c r="I600" s="311">
        <v>27</v>
      </c>
      <c r="J600" s="311">
        <v>61153.592592592591</v>
      </c>
      <c r="K600" s="441">
        <f t="shared" si="217"/>
        <v>1651147</v>
      </c>
      <c r="L600" s="442">
        <v>23</v>
      </c>
      <c r="M600" s="443">
        <v>52787.869565217392</v>
      </c>
      <c r="N600" s="444">
        <f t="shared" si="218"/>
        <v>1214121</v>
      </c>
      <c r="O600" s="307">
        <v>27</v>
      </c>
      <c r="P600" s="307">
        <v>52626.185185185182</v>
      </c>
      <c r="Q600" s="445">
        <f t="shared" si="219"/>
        <v>1420907</v>
      </c>
      <c r="R600" s="442">
        <v>13</v>
      </c>
      <c r="S600" s="443">
        <v>48114.846153846156</v>
      </c>
      <c r="T600" s="444">
        <f t="shared" si="220"/>
        <v>625493</v>
      </c>
      <c r="U600" s="307">
        <v>8</v>
      </c>
      <c r="V600" s="307">
        <v>47379.125</v>
      </c>
      <c r="W600" s="441">
        <f t="shared" si="221"/>
        <v>379033</v>
      </c>
      <c r="X600" s="442">
        <v>6</v>
      </c>
      <c r="Y600" s="443">
        <v>46322</v>
      </c>
      <c r="Z600" s="444">
        <f t="shared" si="222"/>
        <v>277932</v>
      </c>
      <c r="AA600" s="307">
        <v>5</v>
      </c>
      <c r="AB600" s="307">
        <v>47412.2</v>
      </c>
      <c r="AC600" s="445">
        <f t="shared" si="223"/>
        <v>237061</v>
      </c>
      <c r="AD600" s="442"/>
      <c r="AE600" s="443"/>
      <c r="AF600" s="444">
        <f t="shared" si="224"/>
        <v>0</v>
      </c>
      <c r="AG600" s="307"/>
      <c r="AH600" s="307"/>
      <c r="AI600" s="445">
        <f t="shared" si="225"/>
        <v>0</v>
      </c>
      <c r="AJ600" s="446"/>
      <c r="AK600" s="443"/>
      <c r="AL600" s="444">
        <f t="shared" si="226"/>
        <v>0</v>
      </c>
      <c r="AM600" s="307"/>
      <c r="AN600" s="307"/>
      <c r="AO600" s="447">
        <f t="shared" si="227"/>
        <v>0</v>
      </c>
      <c r="AP600" s="448">
        <v>4</v>
      </c>
      <c r="AQ600" s="443">
        <v>82727.25</v>
      </c>
      <c r="AR600" s="444">
        <f t="shared" si="228"/>
        <v>270749.7438</v>
      </c>
      <c r="AS600" s="307">
        <v>5</v>
      </c>
      <c r="AT600" s="307">
        <v>82267</v>
      </c>
      <c r="AU600" s="441">
        <f t="shared" si="229"/>
        <v>336554.29700000002</v>
      </c>
      <c r="AV600" s="442">
        <v>4</v>
      </c>
      <c r="AW600" s="443">
        <v>69299.5</v>
      </c>
      <c r="AX600" s="444">
        <f t="shared" si="230"/>
        <v>226803.40360000002</v>
      </c>
      <c r="AY600" s="307">
        <v>4</v>
      </c>
      <c r="AZ600" s="307">
        <v>71050</v>
      </c>
      <c r="BA600" s="445">
        <f t="shared" si="231"/>
        <v>232532.44</v>
      </c>
      <c r="BB600" s="442">
        <v>3</v>
      </c>
      <c r="BC600" s="443">
        <v>62419.666666666664</v>
      </c>
      <c r="BD600" s="444">
        <f t="shared" si="232"/>
        <v>153215.3138</v>
      </c>
      <c r="BE600" s="307">
        <v>4</v>
      </c>
      <c r="BF600" s="307">
        <v>61683.25</v>
      </c>
      <c r="BG600" s="445">
        <f t="shared" si="233"/>
        <v>201876.9406</v>
      </c>
      <c r="BH600" s="442">
        <v>27</v>
      </c>
      <c r="BI600" s="443">
        <v>61968.407407407409</v>
      </c>
      <c r="BJ600" s="444">
        <f t="shared" si="234"/>
        <v>1368968.8754</v>
      </c>
      <c r="BK600" s="307">
        <v>22</v>
      </c>
      <c r="BL600" s="307">
        <v>60763.63636363636</v>
      </c>
      <c r="BM600" s="445">
        <f t="shared" si="235"/>
        <v>1093769.76</v>
      </c>
      <c r="BN600" s="442"/>
      <c r="BO600" s="443"/>
      <c r="BP600" s="444">
        <f t="shared" si="236"/>
        <v>0</v>
      </c>
      <c r="BQ600" s="307"/>
      <c r="BR600" s="307"/>
      <c r="BS600" s="445">
        <f t="shared" si="237"/>
        <v>0</v>
      </c>
      <c r="BT600" s="442"/>
      <c r="BU600" s="443"/>
      <c r="BV600" s="444">
        <f t="shared" si="238"/>
        <v>0</v>
      </c>
      <c r="BW600" s="307"/>
      <c r="BX600" s="307"/>
      <c r="BY600" s="449">
        <f t="shared" si="239"/>
        <v>0</v>
      </c>
    </row>
    <row r="601" spans="1:77" s="308" customFormat="1" ht="12.75" customHeight="1">
      <c r="A601" s="373" t="s">
        <v>309</v>
      </c>
      <c r="B601" s="374" t="s">
        <v>120</v>
      </c>
      <c r="C601" s="374"/>
      <c r="D601" s="375">
        <v>229319</v>
      </c>
      <c r="E601" s="323">
        <v>9</v>
      </c>
      <c r="F601" s="453"/>
      <c r="G601" s="454"/>
      <c r="H601" s="439">
        <f t="shared" si="216"/>
        <v>0</v>
      </c>
      <c r="I601" s="311"/>
      <c r="J601" s="311"/>
      <c r="K601" s="441">
        <f t="shared" si="217"/>
        <v>0</v>
      </c>
      <c r="L601" s="442">
        <v>4</v>
      </c>
      <c r="M601" s="443">
        <v>51759</v>
      </c>
      <c r="N601" s="444">
        <f t="shared" si="218"/>
        <v>207036</v>
      </c>
      <c r="O601" s="307">
        <v>1</v>
      </c>
      <c r="P601" s="307">
        <v>64020</v>
      </c>
      <c r="Q601" s="445">
        <f t="shared" si="219"/>
        <v>64020</v>
      </c>
      <c r="R601" s="442"/>
      <c r="S601" s="443"/>
      <c r="T601" s="444">
        <f t="shared" si="220"/>
        <v>0</v>
      </c>
      <c r="U601" s="307"/>
      <c r="V601" s="307"/>
      <c r="W601" s="441">
        <f t="shared" si="221"/>
        <v>0</v>
      </c>
      <c r="X601" s="442">
        <v>30</v>
      </c>
      <c r="Y601" s="443">
        <v>39614.800000000003</v>
      </c>
      <c r="Z601" s="444">
        <f t="shared" si="222"/>
        <v>1188444</v>
      </c>
      <c r="AA601" s="307">
        <v>31</v>
      </c>
      <c r="AB601" s="307">
        <v>38832.387096774197</v>
      </c>
      <c r="AC601" s="445">
        <f t="shared" si="223"/>
        <v>1203804</v>
      </c>
      <c r="AD601" s="442"/>
      <c r="AE601" s="443"/>
      <c r="AF601" s="444">
        <f t="shared" si="224"/>
        <v>0</v>
      </c>
      <c r="AG601" s="307"/>
      <c r="AH601" s="307"/>
      <c r="AI601" s="445">
        <f t="shared" si="225"/>
        <v>0</v>
      </c>
      <c r="AJ601" s="446"/>
      <c r="AK601" s="443"/>
      <c r="AL601" s="444">
        <f t="shared" si="226"/>
        <v>0</v>
      </c>
      <c r="AM601" s="307"/>
      <c r="AN601" s="307"/>
      <c r="AO601" s="447">
        <f t="shared" si="227"/>
        <v>0</v>
      </c>
      <c r="AP601" s="448">
        <v>7</v>
      </c>
      <c r="AQ601" s="443">
        <v>57584.571428571428</v>
      </c>
      <c r="AR601" s="444">
        <f t="shared" si="228"/>
        <v>329809.87440000003</v>
      </c>
      <c r="AS601" s="307">
        <v>8</v>
      </c>
      <c r="AT601" s="307">
        <v>64216.5</v>
      </c>
      <c r="AU601" s="441">
        <f t="shared" si="229"/>
        <v>420335.52240000002</v>
      </c>
      <c r="AV601" s="442">
        <v>12</v>
      </c>
      <c r="AW601" s="443">
        <v>51734</v>
      </c>
      <c r="AX601" s="444">
        <f t="shared" si="230"/>
        <v>507945.10560000001</v>
      </c>
      <c r="AY601" s="307">
        <v>17</v>
      </c>
      <c r="AZ601" s="307">
        <v>52280.470588235294</v>
      </c>
      <c r="BA601" s="445">
        <f t="shared" si="231"/>
        <v>727189.97759999998</v>
      </c>
      <c r="BB601" s="442"/>
      <c r="BC601" s="443"/>
      <c r="BD601" s="444">
        <f t="shared" si="232"/>
        <v>0</v>
      </c>
      <c r="BE601" s="307"/>
      <c r="BF601" s="307"/>
      <c r="BG601" s="445">
        <f t="shared" si="233"/>
        <v>0</v>
      </c>
      <c r="BH601" s="442">
        <v>102</v>
      </c>
      <c r="BI601" s="443">
        <v>47462.078431372553</v>
      </c>
      <c r="BJ601" s="444">
        <f t="shared" si="234"/>
        <v>3961014.2024000003</v>
      </c>
      <c r="BK601" s="307">
        <v>100</v>
      </c>
      <c r="BL601" s="307">
        <v>46221.65</v>
      </c>
      <c r="BM601" s="445">
        <f t="shared" si="235"/>
        <v>3781855.4030000004</v>
      </c>
      <c r="BN601" s="442"/>
      <c r="BO601" s="443"/>
      <c r="BP601" s="444">
        <f t="shared" si="236"/>
        <v>0</v>
      </c>
      <c r="BQ601" s="307"/>
      <c r="BR601" s="307"/>
      <c r="BS601" s="445">
        <f t="shared" si="237"/>
        <v>0</v>
      </c>
      <c r="BT601" s="442"/>
      <c r="BU601" s="443"/>
      <c r="BV601" s="444">
        <f t="shared" si="238"/>
        <v>0</v>
      </c>
      <c r="BW601" s="307"/>
      <c r="BX601" s="307"/>
      <c r="BY601" s="449">
        <f t="shared" si="239"/>
        <v>0</v>
      </c>
    </row>
    <row r="602" spans="1:77" s="308" customFormat="1" ht="12.75" customHeight="1">
      <c r="A602" s="373" t="s">
        <v>309</v>
      </c>
      <c r="B602" s="383" t="s">
        <v>121</v>
      </c>
      <c r="C602" s="557" t="s">
        <v>1065</v>
      </c>
      <c r="D602" s="375">
        <v>228680</v>
      </c>
      <c r="E602" s="323">
        <v>9</v>
      </c>
      <c r="F602" s="453"/>
      <c r="G602" s="454"/>
      <c r="H602" s="439">
        <f t="shared" si="216"/>
        <v>0</v>
      </c>
      <c r="I602" s="311"/>
      <c r="J602" s="311"/>
      <c r="K602" s="441">
        <f t="shared" si="217"/>
        <v>0</v>
      </c>
      <c r="L602" s="442">
        <v>4</v>
      </c>
      <c r="M602" s="443">
        <v>46980</v>
      </c>
      <c r="N602" s="444">
        <f t="shared" si="218"/>
        <v>187920</v>
      </c>
      <c r="O602" s="307">
        <v>3</v>
      </c>
      <c r="P602" s="307">
        <v>46684</v>
      </c>
      <c r="Q602" s="445">
        <f t="shared" si="219"/>
        <v>140052</v>
      </c>
      <c r="R602" s="442"/>
      <c r="S602" s="443"/>
      <c r="T602" s="444">
        <f t="shared" si="220"/>
        <v>0</v>
      </c>
      <c r="U602" s="307"/>
      <c r="V602" s="307"/>
      <c r="W602" s="441">
        <f t="shared" si="221"/>
        <v>0</v>
      </c>
      <c r="X602" s="442">
        <v>24</v>
      </c>
      <c r="Y602" s="443">
        <v>41514.166666666664</v>
      </c>
      <c r="Z602" s="444">
        <f t="shared" si="222"/>
        <v>996340</v>
      </c>
      <c r="AA602" s="307">
        <v>21</v>
      </c>
      <c r="AB602" s="307">
        <v>41557.238095238092</v>
      </c>
      <c r="AC602" s="445">
        <f t="shared" si="223"/>
        <v>872701.99999999988</v>
      </c>
      <c r="AD602" s="442"/>
      <c r="AE602" s="443"/>
      <c r="AF602" s="444">
        <f t="shared" si="224"/>
        <v>0</v>
      </c>
      <c r="AG602" s="307"/>
      <c r="AH602" s="307"/>
      <c r="AI602" s="445">
        <f t="shared" si="225"/>
        <v>0</v>
      </c>
      <c r="AJ602" s="446"/>
      <c r="AK602" s="443"/>
      <c r="AL602" s="444">
        <f t="shared" si="226"/>
        <v>0</v>
      </c>
      <c r="AM602" s="307"/>
      <c r="AN602" s="307"/>
      <c r="AO602" s="447">
        <f t="shared" si="227"/>
        <v>0</v>
      </c>
      <c r="AP602" s="448">
        <v>5</v>
      </c>
      <c r="AQ602" s="443">
        <v>66895.199999999997</v>
      </c>
      <c r="AR602" s="444">
        <f t="shared" si="228"/>
        <v>273668.26319999999</v>
      </c>
      <c r="AS602" s="307">
        <v>5</v>
      </c>
      <c r="AT602" s="307">
        <v>66897.600000000006</v>
      </c>
      <c r="AU602" s="441">
        <f t="shared" si="229"/>
        <v>273678.08160000003</v>
      </c>
      <c r="AV602" s="442">
        <v>18</v>
      </c>
      <c r="AW602" s="443">
        <v>54376.666666666664</v>
      </c>
      <c r="AX602" s="444">
        <f t="shared" si="230"/>
        <v>800837.79600000009</v>
      </c>
      <c r="AY602" s="307">
        <v>21</v>
      </c>
      <c r="AZ602" s="307">
        <v>52652.571428571428</v>
      </c>
      <c r="BA602" s="445">
        <f t="shared" si="231"/>
        <v>904687.01280000003</v>
      </c>
      <c r="BB602" s="442"/>
      <c r="BC602" s="443"/>
      <c r="BD602" s="444">
        <f t="shared" si="232"/>
        <v>0</v>
      </c>
      <c r="BE602" s="307"/>
      <c r="BF602" s="307"/>
      <c r="BG602" s="445">
        <f t="shared" si="233"/>
        <v>0</v>
      </c>
      <c r="BH602" s="442">
        <v>199</v>
      </c>
      <c r="BI602" s="443">
        <v>46861.708542713568</v>
      </c>
      <c r="BJ602" s="444">
        <f t="shared" si="234"/>
        <v>7630107.7360000005</v>
      </c>
      <c r="BK602" s="307">
        <v>202</v>
      </c>
      <c r="BL602" s="307">
        <v>46693.267326732675</v>
      </c>
      <c r="BM602" s="445">
        <f t="shared" si="235"/>
        <v>7717295.1280000005</v>
      </c>
      <c r="BN602" s="442"/>
      <c r="BO602" s="443"/>
      <c r="BP602" s="444">
        <f t="shared" si="236"/>
        <v>0</v>
      </c>
      <c r="BQ602" s="307"/>
      <c r="BR602" s="307"/>
      <c r="BS602" s="445">
        <f t="shared" si="237"/>
        <v>0</v>
      </c>
      <c r="BT602" s="442"/>
      <c r="BU602" s="443"/>
      <c r="BV602" s="444">
        <f t="shared" si="238"/>
        <v>0</v>
      </c>
      <c r="BW602" s="307"/>
      <c r="BX602" s="307"/>
      <c r="BY602" s="449">
        <f t="shared" si="239"/>
        <v>0</v>
      </c>
    </row>
    <row r="603" spans="1:77" s="308" customFormat="1" ht="12.75" customHeight="1">
      <c r="A603" s="373" t="s">
        <v>309</v>
      </c>
      <c r="B603" s="383" t="s">
        <v>122</v>
      </c>
      <c r="C603" s="557" t="s">
        <v>1065</v>
      </c>
      <c r="D603" s="375">
        <v>225308</v>
      </c>
      <c r="E603" s="323">
        <v>9</v>
      </c>
      <c r="F603" s="453"/>
      <c r="G603" s="454"/>
      <c r="H603" s="439">
        <f t="shared" si="216"/>
        <v>0</v>
      </c>
      <c r="I603" s="311">
        <v>120</v>
      </c>
      <c r="J603" s="311">
        <v>51808.26666666667</v>
      </c>
      <c r="K603" s="441">
        <f t="shared" si="217"/>
        <v>6216992</v>
      </c>
      <c r="L603" s="442"/>
      <c r="M603" s="443"/>
      <c r="N603" s="444">
        <f t="shared" si="218"/>
        <v>0</v>
      </c>
      <c r="O603" s="307"/>
      <c r="P603" s="307"/>
      <c r="Q603" s="445">
        <f t="shared" si="219"/>
        <v>0</v>
      </c>
      <c r="R603" s="442"/>
      <c r="S603" s="443"/>
      <c r="T603" s="444">
        <f t="shared" si="220"/>
        <v>0</v>
      </c>
      <c r="U603" s="307"/>
      <c r="V603" s="307"/>
      <c r="W603" s="441">
        <f t="shared" si="221"/>
        <v>0</v>
      </c>
      <c r="X603" s="442"/>
      <c r="Y603" s="443"/>
      <c r="Z603" s="444">
        <f t="shared" si="222"/>
        <v>0</v>
      </c>
      <c r="AA603" s="307"/>
      <c r="AB603" s="307"/>
      <c r="AC603" s="445">
        <f t="shared" si="223"/>
        <v>0</v>
      </c>
      <c r="AD603" s="442"/>
      <c r="AE603" s="443"/>
      <c r="AF603" s="444">
        <f t="shared" si="224"/>
        <v>0</v>
      </c>
      <c r="AG603" s="307"/>
      <c r="AH603" s="307"/>
      <c r="AI603" s="445">
        <f t="shared" si="225"/>
        <v>0</v>
      </c>
      <c r="AJ603" s="446">
        <v>108</v>
      </c>
      <c r="AK603" s="443">
        <v>50071.5</v>
      </c>
      <c r="AL603" s="444">
        <f t="shared" si="226"/>
        <v>5407722</v>
      </c>
      <c r="AM603" s="307"/>
      <c r="AN603" s="307"/>
      <c r="AO603" s="447">
        <f t="shared" si="227"/>
        <v>0</v>
      </c>
      <c r="AP603" s="448">
        <v>30</v>
      </c>
      <c r="AQ603" s="443">
        <v>63151</v>
      </c>
      <c r="AR603" s="444">
        <f t="shared" si="228"/>
        <v>1550104.446</v>
      </c>
      <c r="AS603" s="307">
        <v>34</v>
      </c>
      <c r="AT603" s="307">
        <v>64816.058823529413</v>
      </c>
      <c r="AU603" s="441">
        <f t="shared" si="229"/>
        <v>1803104.9772000001</v>
      </c>
      <c r="AV603" s="442"/>
      <c r="AW603" s="443"/>
      <c r="AX603" s="444">
        <f t="shared" si="230"/>
        <v>0</v>
      </c>
      <c r="AY603" s="307"/>
      <c r="AZ603" s="307"/>
      <c r="BA603" s="445">
        <f t="shared" si="231"/>
        <v>0</v>
      </c>
      <c r="BB603" s="442"/>
      <c r="BC603" s="443"/>
      <c r="BD603" s="444">
        <f t="shared" si="232"/>
        <v>0</v>
      </c>
      <c r="BE603" s="307"/>
      <c r="BF603" s="307"/>
      <c r="BG603" s="445">
        <f t="shared" si="233"/>
        <v>0</v>
      </c>
      <c r="BH603" s="442"/>
      <c r="BI603" s="443"/>
      <c r="BJ603" s="444">
        <f t="shared" si="234"/>
        <v>0</v>
      </c>
      <c r="BK603" s="307"/>
      <c r="BL603" s="307"/>
      <c r="BM603" s="445">
        <f t="shared" si="235"/>
        <v>0</v>
      </c>
      <c r="BN603" s="442"/>
      <c r="BO603" s="443"/>
      <c r="BP603" s="444">
        <f t="shared" si="236"/>
        <v>0</v>
      </c>
      <c r="BQ603" s="307"/>
      <c r="BR603" s="307"/>
      <c r="BS603" s="445">
        <f t="shared" si="237"/>
        <v>0</v>
      </c>
      <c r="BT603" s="442"/>
      <c r="BU603" s="443"/>
      <c r="BV603" s="444">
        <f t="shared" si="238"/>
        <v>0</v>
      </c>
      <c r="BW603" s="307"/>
      <c r="BX603" s="307"/>
      <c r="BY603" s="449">
        <f t="shared" si="239"/>
        <v>0</v>
      </c>
    </row>
    <row r="604" spans="1:77" s="308" customFormat="1" ht="12.75" customHeight="1">
      <c r="A604" s="378" t="s">
        <v>309</v>
      </c>
      <c r="B604" s="381" t="s">
        <v>123</v>
      </c>
      <c r="C604" s="381"/>
      <c r="D604" s="379">
        <v>229504</v>
      </c>
      <c r="E604" s="380">
        <v>9</v>
      </c>
      <c r="F604" s="453"/>
      <c r="G604" s="454"/>
      <c r="H604" s="439">
        <f t="shared" si="216"/>
        <v>0</v>
      </c>
      <c r="I604" s="311"/>
      <c r="J604" s="311"/>
      <c r="K604" s="441">
        <f t="shared" si="217"/>
        <v>0</v>
      </c>
      <c r="L604" s="442"/>
      <c r="M604" s="443"/>
      <c r="N604" s="444">
        <f t="shared" si="218"/>
        <v>0</v>
      </c>
      <c r="O604" s="307"/>
      <c r="P604" s="307"/>
      <c r="Q604" s="445">
        <f t="shared" si="219"/>
        <v>0</v>
      </c>
      <c r="R604" s="442"/>
      <c r="S604" s="443"/>
      <c r="T604" s="444">
        <f t="shared" si="220"/>
        <v>0</v>
      </c>
      <c r="U604" s="307"/>
      <c r="V604" s="307"/>
      <c r="W604" s="441">
        <f t="shared" si="221"/>
        <v>0</v>
      </c>
      <c r="X604" s="442"/>
      <c r="Y604" s="443"/>
      <c r="Z604" s="444">
        <f t="shared" si="222"/>
        <v>0</v>
      </c>
      <c r="AA604" s="307">
        <v>51</v>
      </c>
      <c r="AB604" s="307">
        <v>43230.627450980392</v>
      </c>
      <c r="AC604" s="445">
        <f t="shared" si="223"/>
        <v>2204762</v>
      </c>
      <c r="AD604" s="442"/>
      <c r="AE604" s="443"/>
      <c r="AF604" s="444">
        <f t="shared" si="224"/>
        <v>0</v>
      </c>
      <c r="AG604" s="307"/>
      <c r="AH604" s="307"/>
      <c r="AI604" s="445">
        <f t="shared" si="225"/>
        <v>0</v>
      </c>
      <c r="AJ604" s="446">
        <v>46</v>
      </c>
      <c r="AK604" s="443">
        <v>41878.913043478264</v>
      </c>
      <c r="AL604" s="444">
        <f t="shared" si="226"/>
        <v>1926430.0000000002</v>
      </c>
      <c r="AM604" s="307"/>
      <c r="AN604" s="307"/>
      <c r="AO604" s="447">
        <f t="shared" si="227"/>
        <v>0</v>
      </c>
      <c r="AP604" s="448"/>
      <c r="AQ604" s="443"/>
      <c r="AR604" s="444">
        <f t="shared" si="228"/>
        <v>0</v>
      </c>
      <c r="AS604" s="307"/>
      <c r="AT604" s="307"/>
      <c r="AU604" s="441">
        <f t="shared" si="229"/>
        <v>0</v>
      </c>
      <c r="AV604" s="442"/>
      <c r="AW604" s="443"/>
      <c r="AX604" s="444">
        <f t="shared" si="230"/>
        <v>0</v>
      </c>
      <c r="AY604" s="307"/>
      <c r="AZ604" s="307"/>
      <c r="BA604" s="445">
        <f t="shared" si="231"/>
        <v>0</v>
      </c>
      <c r="BB604" s="442"/>
      <c r="BC604" s="443"/>
      <c r="BD604" s="444">
        <f t="shared" si="232"/>
        <v>0</v>
      </c>
      <c r="BE604" s="307"/>
      <c r="BF604" s="307"/>
      <c r="BG604" s="445">
        <f t="shared" si="233"/>
        <v>0</v>
      </c>
      <c r="BH604" s="442"/>
      <c r="BI604" s="443"/>
      <c r="BJ604" s="444">
        <f t="shared" si="234"/>
        <v>0</v>
      </c>
      <c r="BK604" s="307">
        <v>30</v>
      </c>
      <c r="BL604" s="307">
        <v>53004</v>
      </c>
      <c r="BM604" s="445">
        <f t="shared" si="235"/>
        <v>1301036.1840000001</v>
      </c>
      <c r="BN604" s="442"/>
      <c r="BO604" s="443"/>
      <c r="BP604" s="444">
        <f t="shared" si="236"/>
        <v>0</v>
      </c>
      <c r="BQ604" s="307"/>
      <c r="BR604" s="307"/>
      <c r="BS604" s="445">
        <f t="shared" si="237"/>
        <v>0</v>
      </c>
      <c r="BT604" s="442">
        <v>31</v>
      </c>
      <c r="BU604" s="443">
        <v>52650.93548387097</v>
      </c>
      <c r="BV604" s="444">
        <f t="shared" si="238"/>
        <v>1335448.8578000001</v>
      </c>
      <c r="BW604" s="307"/>
      <c r="BX604" s="307"/>
      <c r="BY604" s="449">
        <f t="shared" si="239"/>
        <v>0</v>
      </c>
    </row>
    <row r="605" spans="1:77" s="308" customFormat="1" ht="12.75" customHeight="1">
      <c r="A605" s="373" t="s">
        <v>309</v>
      </c>
      <c r="B605" s="374" t="s">
        <v>124</v>
      </c>
      <c r="C605" s="374"/>
      <c r="D605" s="375">
        <v>229540</v>
      </c>
      <c r="E605" s="323">
        <v>9</v>
      </c>
      <c r="F605" s="453"/>
      <c r="G605" s="454"/>
      <c r="H605" s="439">
        <f t="shared" si="216"/>
        <v>0</v>
      </c>
      <c r="I605" s="311">
        <v>76</v>
      </c>
      <c r="J605" s="311">
        <v>51981.815789473687</v>
      </c>
      <c r="K605" s="441">
        <f t="shared" si="217"/>
        <v>3950618</v>
      </c>
      <c r="L605" s="442"/>
      <c r="M605" s="443"/>
      <c r="N605" s="444">
        <f t="shared" si="218"/>
        <v>0</v>
      </c>
      <c r="O605" s="307"/>
      <c r="P605" s="307"/>
      <c r="Q605" s="445">
        <f t="shared" si="219"/>
        <v>0</v>
      </c>
      <c r="R605" s="442"/>
      <c r="S605" s="443"/>
      <c r="T605" s="444">
        <f t="shared" si="220"/>
        <v>0</v>
      </c>
      <c r="U605" s="307"/>
      <c r="V605" s="307"/>
      <c r="W605" s="441">
        <f t="shared" si="221"/>
        <v>0</v>
      </c>
      <c r="X605" s="442"/>
      <c r="Y605" s="443"/>
      <c r="Z605" s="444">
        <f t="shared" si="222"/>
        <v>0</v>
      </c>
      <c r="AA605" s="307"/>
      <c r="AB605" s="307"/>
      <c r="AC605" s="445">
        <f t="shared" si="223"/>
        <v>0</v>
      </c>
      <c r="AD605" s="442"/>
      <c r="AE605" s="443"/>
      <c r="AF605" s="444">
        <f t="shared" si="224"/>
        <v>0</v>
      </c>
      <c r="AG605" s="307"/>
      <c r="AH605" s="307"/>
      <c r="AI605" s="445">
        <f t="shared" si="225"/>
        <v>0</v>
      </c>
      <c r="AJ605" s="446">
        <v>71</v>
      </c>
      <c r="AK605" s="443">
        <v>52944.295774647886</v>
      </c>
      <c r="AL605" s="444">
        <f t="shared" si="226"/>
        <v>3759045</v>
      </c>
      <c r="AM605" s="307"/>
      <c r="AN605" s="307"/>
      <c r="AO605" s="447">
        <f t="shared" si="227"/>
        <v>0</v>
      </c>
      <c r="AP605" s="448">
        <v>27</v>
      </c>
      <c r="AQ605" s="443">
        <v>64532.555555555555</v>
      </c>
      <c r="AR605" s="444">
        <f t="shared" si="228"/>
        <v>1425614.4978</v>
      </c>
      <c r="AS605" s="307">
        <v>29</v>
      </c>
      <c r="AT605" s="307">
        <v>63838.172413793101</v>
      </c>
      <c r="AU605" s="441">
        <f t="shared" si="229"/>
        <v>1514739.3874000001</v>
      </c>
      <c r="AV605" s="442"/>
      <c r="AW605" s="443"/>
      <c r="AX605" s="444">
        <f t="shared" si="230"/>
        <v>0</v>
      </c>
      <c r="AY605" s="307"/>
      <c r="AZ605" s="307"/>
      <c r="BA605" s="445">
        <f t="shared" si="231"/>
        <v>0</v>
      </c>
      <c r="BB605" s="442"/>
      <c r="BC605" s="443"/>
      <c r="BD605" s="444">
        <f t="shared" si="232"/>
        <v>0</v>
      </c>
      <c r="BE605" s="307"/>
      <c r="BF605" s="307"/>
      <c r="BG605" s="445">
        <f t="shared" si="233"/>
        <v>0</v>
      </c>
      <c r="BH605" s="442"/>
      <c r="BI605" s="443"/>
      <c r="BJ605" s="444">
        <f t="shared" si="234"/>
        <v>0</v>
      </c>
      <c r="BK605" s="307"/>
      <c r="BL605" s="307"/>
      <c r="BM605" s="445">
        <f t="shared" si="235"/>
        <v>0</v>
      </c>
      <c r="BN605" s="442"/>
      <c r="BO605" s="443"/>
      <c r="BP605" s="444">
        <f t="shared" si="236"/>
        <v>0</v>
      </c>
      <c r="BQ605" s="307"/>
      <c r="BR605" s="307"/>
      <c r="BS605" s="445">
        <f t="shared" si="237"/>
        <v>0</v>
      </c>
      <c r="BT605" s="442"/>
      <c r="BU605" s="443"/>
      <c r="BV605" s="444">
        <f t="shared" si="238"/>
        <v>0</v>
      </c>
      <c r="BW605" s="307"/>
      <c r="BX605" s="307"/>
      <c r="BY605" s="449">
        <f t="shared" si="239"/>
        <v>0</v>
      </c>
    </row>
    <row r="606" spans="1:77" s="308" customFormat="1" ht="12.75" customHeight="1">
      <c r="A606" s="373" t="s">
        <v>309</v>
      </c>
      <c r="B606" s="374" t="s">
        <v>125</v>
      </c>
      <c r="C606" s="374"/>
      <c r="D606" s="375">
        <v>229799</v>
      </c>
      <c r="E606" s="323">
        <v>9</v>
      </c>
      <c r="F606" s="453"/>
      <c r="G606" s="454"/>
      <c r="H606" s="439">
        <f t="shared" si="216"/>
        <v>0</v>
      </c>
      <c r="I606" s="311"/>
      <c r="J606" s="311"/>
      <c r="K606" s="441">
        <f t="shared" si="217"/>
        <v>0</v>
      </c>
      <c r="L606" s="442"/>
      <c r="M606" s="443"/>
      <c r="N606" s="444">
        <f t="shared" si="218"/>
        <v>0</v>
      </c>
      <c r="O606" s="307"/>
      <c r="P606" s="307"/>
      <c r="Q606" s="445">
        <f t="shared" si="219"/>
        <v>0</v>
      </c>
      <c r="R606" s="442"/>
      <c r="S606" s="443"/>
      <c r="T606" s="444">
        <f t="shared" si="220"/>
        <v>0</v>
      </c>
      <c r="U606" s="307"/>
      <c r="V606" s="307"/>
      <c r="W606" s="441">
        <f t="shared" si="221"/>
        <v>0</v>
      </c>
      <c r="X606" s="442"/>
      <c r="Y606" s="443"/>
      <c r="Z606" s="444">
        <f t="shared" si="222"/>
        <v>0</v>
      </c>
      <c r="AA606" s="307">
        <v>92</v>
      </c>
      <c r="AB606" s="307">
        <v>50978.82608695652</v>
      </c>
      <c r="AC606" s="445">
        <f t="shared" si="223"/>
        <v>4690052</v>
      </c>
      <c r="AD606" s="442"/>
      <c r="AE606" s="443"/>
      <c r="AF606" s="444">
        <f t="shared" si="224"/>
        <v>0</v>
      </c>
      <c r="AG606" s="307"/>
      <c r="AH606" s="307"/>
      <c r="AI606" s="445">
        <f t="shared" si="225"/>
        <v>0</v>
      </c>
      <c r="AJ606" s="446">
        <v>84</v>
      </c>
      <c r="AK606" s="443">
        <v>50618.904761904763</v>
      </c>
      <c r="AL606" s="444">
        <f t="shared" si="226"/>
        <v>4251988</v>
      </c>
      <c r="AM606" s="307"/>
      <c r="AN606" s="307"/>
      <c r="AO606" s="447">
        <f t="shared" si="227"/>
        <v>0</v>
      </c>
      <c r="AP606" s="448"/>
      <c r="AQ606" s="443"/>
      <c r="AR606" s="444">
        <f t="shared" si="228"/>
        <v>0</v>
      </c>
      <c r="AS606" s="307"/>
      <c r="AT606" s="307"/>
      <c r="AU606" s="441">
        <f t="shared" si="229"/>
        <v>0</v>
      </c>
      <c r="AV606" s="442"/>
      <c r="AW606" s="443"/>
      <c r="AX606" s="444">
        <f t="shared" si="230"/>
        <v>0</v>
      </c>
      <c r="AY606" s="307"/>
      <c r="AZ606" s="307"/>
      <c r="BA606" s="445">
        <f t="shared" si="231"/>
        <v>0</v>
      </c>
      <c r="BB606" s="442"/>
      <c r="BC606" s="443"/>
      <c r="BD606" s="444">
        <f t="shared" si="232"/>
        <v>0</v>
      </c>
      <c r="BE606" s="307"/>
      <c r="BF606" s="307"/>
      <c r="BG606" s="445">
        <f t="shared" si="233"/>
        <v>0</v>
      </c>
      <c r="BH606" s="442"/>
      <c r="BI606" s="443"/>
      <c r="BJ606" s="444">
        <f t="shared" si="234"/>
        <v>0</v>
      </c>
      <c r="BK606" s="307">
        <v>38</v>
      </c>
      <c r="BL606" s="307">
        <v>58437.73684210526</v>
      </c>
      <c r="BM606" s="445">
        <f t="shared" si="235"/>
        <v>1816922.7388000002</v>
      </c>
      <c r="BN606" s="442"/>
      <c r="BO606" s="443"/>
      <c r="BP606" s="444">
        <f t="shared" si="236"/>
        <v>0</v>
      </c>
      <c r="BQ606" s="307"/>
      <c r="BR606" s="307"/>
      <c r="BS606" s="445">
        <f t="shared" si="237"/>
        <v>0</v>
      </c>
      <c r="BT606" s="442">
        <v>36</v>
      </c>
      <c r="BU606" s="443">
        <v>57430.583333333336</v>
      </c>
      <c r="BV606" s="444">
        <f t="shared" si="238"/>
        <v>1691629.3182000001</v>
      </c>
      <c r="BW606" s="307"/>
      <c r="BX606" s="307"/>
      <c r="BY606" s="449">
        <f t="shared" si="239"/>
        <v>0</v>
      </c>
    </row>
    <row r="607" spans="1:77" s="308" customFormat="1" ht="12.75" customHeight="1">
      <c r="A607" s="373" t="s">
        <v>309</v>
      </c>
      <c r="B607" s="374" t="s">
        <v>126</v>
      </c>
      <c r="C607" s="374"/>
      <c r="D607" s="375">
        <v>229841</v>
      </c>
      <c r="E607" s="323">
        <v>9</v>
      </c>
      <c r="F607" s="453"/>
      <c r="G607" s="454"/>
      <c r="H607" s="439">
        <f t="shared" si="216"/>
        <v>0</v>
      </c>
      <c r="I607" s="311"/>
      <c r="J607" s="311"/>
      <c r="K607" s="441">
        <f t="shared" si="217"/>
        <v>0</v>
      </c>
      <c r="L607" s="442"/>
      <c r="M607" s="443"/>
      <c r="N607" s="444">
        <f t="shared" si="218"/>
        <v>0</v>
      </c>
      <c r="O607" s="307"/>
      <c r="P607" s="307"/>
      <c r="Q607" s="445">
        <f t="shared" si="219"/>
        <v>0</v>
      </c>
      <c r="R607" s="442"/>
      <c r="S607" s="443"/>
      <c r="T607" s="444">
        <f t="shared" si="220"/>
        <v>0</v>
      </c>
      <c r="U607" s="307"/>
      <c r="V607" s="307"/>
      <c r="W607" s="441">
        <f t="shared" si="221"/>
        <v>0</v>
      </c>
      <c r="X607" s="442"/>
      <c r="Y607" s="443"/>
      <c r="Z607" s="444">
        <f t="shared" si="222"/>
        <v>0</v>
      </c>
      <c r="AA607" s="307"/>
      <c r="AB607" s="307"/>
      <c r="AC607" s="445">
        <f t="shared" si="223"/>
        <v>0</v>
      </c>
      <c r="AD607" s="442"/>
      <c r="AE607" s="443"/>
      <c r="AF607" s="444">
        <f t="shared" si="224"/>
        <v>0</v>
      </c>
      <c r="AG607" s="307"/>
      <c r="AH607" s="307"/>
      <c r="AI607" s="445">
        <f t="shared" si="225"/>
        <v>0</v>
      </c>
      <c r="AJ607" s="446">
        <v>101</v>
      </c>
      <c r="AK607" s="443">
        <v>49162.871287128713</v>
      </c>
      <c r="AL607" s="444">
        <f t="shared" si="226"/>
        <v>4965450</v>
      </c>
      <c r="AM607" s="307">
        <v>108</v>
      </c>
      <c r="AN607" s="307">
        <v>50298.518518518518</v>
      </c>
      <c r="AO607" s="447">
        <f t="shared" si="227"/>
        <v>5432240</v>
      </c>
      <c r="AP607" s="448"/>
      <c r="AQ607" s="443"/>
      <c r="AR607" s="444">
        <f t="shared" si="228"/>
        <v>0</v>
      </c>
      <c r="AS607" s="307"/>
      <c r="AT607" s="307"/>
      <c r="AU607" s="441">
        <f t="shared" si="229"/>
        <v>0</v>
      </c>
      <c r="AV607" s="442"/>
      <c r="AW607" s="443"/>
      <c r="AX607" s="444">
        <f t="shared" si="230"/>
        <v>0</v>
      </c>
      <c r="AY607" s="307"/>
      <c r="AZ607" s="307"/>
      <c r="BA607" s="445">
        <f t="shared" si="231"/>
        <v>0</v>
      </c>
      <c r="BB607" s="442"/>
      <c r="BC607" s="443"/>
      <c r="BD607" s="444">
        <f t="shared" si="232"/>
        <v>0</v>
      </c>
      <c r="BE607" s="307"/>
      <c r="BF607" s="307"/>
      <c r="BG607" s="445">
        <f t="shared" si="233"/>
        <v>0</v>
      </c>
      <c r="BH607" s="442"/>
      <c r="BI607" s="443"/>
      <c r="BJ607" s="444">
        <f t="shared" si="234"/>
        <v>0</v>
      </c>
      <c r="BK607" s="307"/>
      <c r="BL607" s="307"/>
      <c r="BM607" s="445">
        <f t="shared" si="235"/>
        <v>0</v>
      </c>
      <c r="BN607" s="442"/>
      <c r="BO607" s="443"/>
      <c r="BP607" s="444">
        <f t="shared" si="236"/>
        <v>0</v>
      </c>
      <c r="BQ607" s="307"/>
      <c r="BR607" s="307"/>
      <c r="BS607" s="445">
        <f t="shared" si="237"/>
        <v>0</v>
      </c>
      <c r="BT607" s="442">
        <v>54</v>
      </c>
      <c r="BU607" s="443">
        <v>60856.462962962964</v>
      </c>
      <c r="BV607" s="444">
        <f t="shared" si="238"/>
        <v>2688808.9317999999</v>
      </c>
      <c r="BW607" s="307">
        <v>54</v>
      </c>
      <c r="BX607" s="307">
        <v>61683.407407407409</v>
      </c>
      <c r="BY607" s="449">
        <f t="shared" si="239"/>
        <v>2725345.6528000003</v>
      </c>
    </row>
    <row r="608" spans="1:77" s="308" customFormat="1" ht="12.75" customHeight="1">
      <c r="A608" s="373" t="s">
        <v>309</v>
      </c>
      <c r="B608" s="374" t="s">
        <v>127</v>
      </c>
      <c r="C608" s="374"/>
      <c r="D608" s="375">
        <v>223922</v>
      </c>
      <c r="E608" s="323">
        <v>10</v>
      </c>
      <c r="F608" s="453">
        <v>3</v>
      </c>
      <c r="G608" s="454">
        <v>45708.666666666664</v>
      </c>
      <c r="H608" s="439">
        <f t="shared" si="216"/>
        <v>137126</v>
      </c>
      <c r="I608" s="311">
        <v>3</v>
      </c>
      <c r="J608" s="311">
        <v>46055</v>
      </c>
      <c r="K608" s="441">
        <f t="shared" si="217"/>
        <v>138165</v>
      </c>
      <c r="L608" s="442">
        <v>7</v>
      </c>
      <c r="M608" s="443">
        <v>42380</v>
      </c>
      <c r="N608" s="444">
        <f t="shared" si="218"/>
        <v>296660</v>
      </c>
      <c r="O608" s="307">
        <v>6</v>
      </c>
      <c r="P608" s="307">
        <v>41229.666666666664</v>
      </c>
      <c r="Q608" s="445">
        <f t="shared" si="219"/>
        <v>247378</v>
      </c>
      <c r="R608" s="442">
        <v>8</v>
      </c>
      <c r="S608" s="443">
        <v>40488.875</v>
      </c>
      <c r="T608" s="444">
        <f t="shared" si="220"/>
        <v>323911</v>
      </c>
      <c r="U608" s="307">
        <v>8</v>
      </c>
      <c r="V608" s="307">
        <v>39525.625</v>
      </c>
      <c r="W608" s="441">
        <f t="shared" si="221"/>
        <v>316205</v>
      </c>
      <c r="X608" s="442">
        <v>9</v>
      </c>
      <c r="Y608" s="443">
        <v>36036.555555555555</v>
      </c>
      <c r="Z608" s="444">
        <f t="shared" si="222"/>
        <v>324329</v>
      </c>
      <c r="AA608" s="307">
        <v>11</v>
      </c>
      <c r="AB608" s="307">
        <v>35815</v>
      </c>
      <c r="AC608" s="445">
        <f t="shared" si="223"/>
        <v>393965</v>
      </c>
      <c r="AD608" s="442"/>
      <c r="AE608" s="443"/>
      <c r="AF608" s="444">
        <f t="shared" si="224"/>
        <v>0</v>
      </c>
      <c r="AG608" s="307"/>
      <c r="AH608" s="307"/>
      <c r="AI608" s="445">
        <f t="shared" si="225"/>
        <v>0</v>
      </c>
      <c r="AJ608" s="446"/>
      <c r="AK608" s="443"/>
      <c r="AL608" s="444">
        <f t="shared" si="226"/>
        <v>0</v>
      </c>
      <c r="AM608" s="307"/>
      <c r="AN608" s="307"/>
      <c r="AO608" s="447">
        <f t="shared" si="227"/>
        <v>0</v>
      </c>
      <c r="AP608" s="448"/>
      <c r="AQ608" s="443"/>
      <c r="AR608" s="444">
        <f t="shared" si="228"/>
        <v>0</v>
      </c>
      <c r="AS608" s="307"/>
      <c r="AT608" s="307"/>
      <c r="AU608" s="441">
        <f t="shared" si="229"/>
        <v>0</v>
      </c>
      <c r="AV608" s="442">
        <v>1</v>
      </c>
      <c r="AW608" s="443">
        <v>56222</v>
      </c>
      <c r="AX608" s="444">
        <f t="shared" si="230"/>
        <v>46000.840400000001</v>
      </c>
      <c r="AY608" s="307"/>
      <c r="AZ608" s="307"/>
      <c r="BA608" s="445">
        <f t="shared" si="231"/>
        <v>0</v>
      </c>
      <c r="BB608" s="442">
        <v>1</v>
      </c>
      <c r="BC608" s="443">
        <v>46906</v>
      </c>
      <c r="BD608" s="444">
        <f t="shared" si="232"/>
        <v>38378.489200000004</v>
      </c>
      <c r="BE608" s="307">
        <v>1</v>
      </c>
      <c r="BF608" s="307">
        <v>47269</v>
      </c>
      <c r="BG608" s="445">
        <f t="shared" si="233"/>
        <v>38675.495800000004</v>
      </c>
      <c r="BH608" s="442">
        <v>4</v>
      </c>
      <c r="BI608" s="443">
        <v>53360.25</v>
      </c>
      <c r="BJ608" s="444">
        <f t="shared" si="234"/>
        <v>174637.42620000002</v>
      </c>
      <c r="BK608" s="307">
        <v>8</v>
      </c>
      <c r="BL608" s="307">
        <v>49239.25</v>
      </c>
      <c r="BM608" s="445">
        <f t="shared" si="235"/>
        <v>322300.43479999999</v>
      </c>
      <c r="BN608" s="442"/>
      <c r="BO608" s="443"/>
      <c r="BP608" s="444">
        <f t="shared" si="236"/>
        <v>0</v>
      </c>
      <c r="BQ608" s="307"/>
      <c r="BR608" s="307"/>
      <c r="BS608" s="445">
        <f t="shared" si="237"/>
        <v>0</v>
      </c>
      <c r="BT608" s="442"/>
      <c r="BU608" s="443"/>
      <c r="BV608" s="444">
        <f t="shared" si="238"/>
        <v>0</v>
      </c>
      <c r="BW608" s="307"/>
      <c r="BX608" s="307"/>
      <c r="BY608" s="449">
        <f t="shared" si="239"/>
        <v>0</v>
      </c>
    </row>
    <row r="609" spans="1:77" s="308" customFormat="1" ht="12.75" customHeight="1">
      <c r="A609" s="373" t="s">
        <v>309</v>
      </c>
      <c r="B609" s="374" t="s">
        <v>128</v>
      </c>
      <c r="C609" s="374"/>
      <c r="D609" s="375">
        <v>224891</v>
      </c>
      <c r="E609" s="323">
        <v>10</v>
      </c>
      <c r="F609" s="453"/>
      <c r="G609" s="454"/>
      <c r="H609" s="439">
        <f t="shared" si="216"/>
        <v>0</v>
      </c>
      <c r="I609" s="311"/>
      <c r="J609" s="311"/>
      <c r="K609" s="441">
        <f t="shared" si="217"/>
        <v>0</v>
      </c>
      <c r="L609" s="442"/>
      <c r="M609" s="443"/>
      <c r="N609" s="444">
        <f t="shared" si="218"/>
        <v>0</v>
      </c>
      <c r="O609" s="307"/>
      <c r="P609" s="307"/>
      <c r="Q609" s="445">
        <f t="shared" si="219"/>
        <v>0</v>
      </c>
      <c r="R609" s="442"/>
      <c r="S609" s="443"/>
      <c r="T609" s="444">
        <f t="shared" si="220"/>
        <v>0</v>
      </c>
      <c r="U609" s="307"/>
      <c r="V609" s="307"/>
      <c r="W609" s="441">
        <f t="shared" si="221"/>
        <v>0</v>
      </c>
      <c r="X609" s="442"/>
      <c r="Y609" s="443"/>
      <c r="Z609" s="444">
        <f t="shared" si="222"/>
        <v>0</v>
      </c>
      <c r="AA609" s="307">
        <v>25</v>
      </c>
      <c r="AB609" s="307">
        <v>36380.76</v>
      </c>
      <c r="AC609" s="445">
        <f t="shared" si="223"/>
        <v>909519</v>
      </c>
      <c r="AD609" s="442"/>
      <c r="AE609" s="443"/>
      <c r="AF609" s="444">
        <f t="shared" si="224"/>
        <v>0</v>
      </c>
      <c r="AG609" s="307"/>
      <c r="AH609" s="307"/>
      <c r="AI609" s="445">
        <f t="shared" si="225"/>
        <v>0</v>
      </c>
      <c r="AJ609" s="446">
        <v>23</v>
      </c>
      <c r="AK609" s="443">
        <v>36859.17391304348</v>
      </c>
      <c r="AL609" s="444">
        <f t="shared" si="226"/>
        <v>847761</v>
      </c>
      <c r="AM609" s="307"/>
      <c r="AN609" s="307"/>
      <c r="AO609" s="447">
        <f t="shared" si="227"/>
        <v>0</v>
      </c>
      <c r="AP609" s="448"/>
      <c r="AQ609" s="443"/>
      <c r="AR609" s="444">
        <f t="shared" si="228"/>
        <v>0</v>
      </c>
      <c r="AS609" s="307"/>
      <c r="AT609" s="307"/>
      <c r="AU609" s="441">
        <f t="shared" si="229"/>
        <v>0</v>
      </c>
      <c r="AV609" s="442"/>
      <c r="AW609" s="443"/>
      <c r="AX609" s="444">
        <f t="shared" si="230"/>
        <v>0</v>
      </c>
      <c r="AY609" s="307"/>
      <c r="AZ609" s="307"/>
      <c r="BA609" s="445">
        <f t="shared" si="231"/>
        <v>0</v>
      </c>
      <c r="BB609" s="442"/>
      <c r="BC609" s="443"/>
      <c r="BD609" s="444">
        <f t="shared" si="232"/>
        <v>0</v>
      </c>
      <c r="BE609" s="307"/>
      <c r="BF609" s="307"/>
      <c r="BG609" s="445">
        <f t="shared" si="233"/>
        <v>0</v>
      </c>
      <c r="BH609" s="442"/>
      <c r="BI609" s="443"/>
      <c r="BJ609" s="444">
        <f t="shared" si="234"/>
        <v>0</v>
      </c>
      <c r="BK609" s="307">
        <v>6</v>
      </c>
      <c r="BL609" s="307">
        <v>37406.666666666664</v>
      </c>
      <c r="BM609" s="445">
        <f t="shared" si="235"/>
        <v>183636.80800000002</v>
      </c>
      <c r="BN609" s="442"/>
      <c r="BO609" s="443"/>
      <c r="BP609" s="444">
        <f t="shared" si="236"/>
        <v>0</v>
      </c>
      <c r="BQ609" s="307"/>
      <c r="BR609" s="307"/>
      <c r="BS609" s="445">
        <f t="shared" si="237"/>
        <v>0</v>
      </c>
      <c r="BT609" s="442">
        <v>5</v>
      </c>
      <c r="BU609" s="443">
        <v>41621.599999999999</v>
      </c>
      <c r="BV609" s="444">
        <f t="shared" si="238"/>
        <v>170273.9656</v>
      </c>
      <c r="BW609" s="307"/>
      <c r="BX609" s="307"/>
      <c r="BY609" s="449">
        <f t="shared" si="239"/>
        <v>0</v>
      </c>
    </row>
    <row r="610" spans="1:77" s="308" customFormat="1" ht="12.75" customHeight="1">
      <c r="A610" s="373" t="s">
        <v>309</v>
      </c>
      <c r="B610" s="374" t="s">
        <v>129</v>
      </c>
      <c r="C610" s="374"/>
      <c r="D610" s="375">
        <v>224961</v>
      </c>
      <c r="E610" s="323">
        <v>10</v>
      </c>
      <c r="F610" s="453">
        <v>5</v>
      </c>
      <c r="G610" s="454">
        <v>73344</v>
      </c>
      <c r="H610" s="439">
        <f t="shared" si="216"/>
        <v>366720</v>
      </c>
      <c r="I610" s="311">
        <v>6</v>
      </c>
      <c r="J610" s="311">
        <v>77226.833333333328</v>
      </c>
      <c r="K610" s="441">
        <f t="shared" si="217"/>
        <v>463361</v>
      </c>
      <c r="L610" s="442">
        <v>5</v>
      </c>
      <c r="M610" s="443">
        <v>68649.399999999994</v>
      </c>
      <c r="N610" s="444">
        <f t="shared" si="218"/>
        <v>343247</v>
      </c>
      <c r="O610" s="307">
        <v>4</v>
      </c>
      <c r="P610" s="307">
        <v>72009.25</v>
      </c>
      <c r="Q610" s="445">
        <f t="shared" si="219"/>
        <v>288037</v>
      </c>
      <c r="R610" s="442">
        <v>7</v>
      </c>
      <c r="S610" s="443">
        <v>64892</v>
      </c>
      <c r="T610" s="444">
        <f t="shared" si="220"/>
        <v>454244</v>
      </c>
      <c r="U610" s="307">
        <v>6</v>
      </c>
      <c r="V610" s="307">
        <v>66662.166666666672</v>
      </c>
      <c r="W610" s="441">
        <f t="shared" si="221"/>
        <v>399973</v>
      </c>
      <c r="X610" s="442">
        <v>26</v>
      </c>
      <c r="Y610" s="443">
        <v>59459.884615384617</v>
      </c>
      <c r="Z610" s="444">
        <f t="shared" si="222"/>
        <v>1545957</v>
      </c>
      <c r="AA610" s="307">
        <v>28</v>
      </c>
      <c r="AB610" s="307">
        <v>59305.535714285717</v>
      </c>
      <c r="AC610" s="445">
        <f t="shared" si="223"/>
        <v>1660555</v>
      </c>
      <c r="AD610" s="442"/>
      <c r="AE610" s="443"/>
      <c r="AF610" s="444">
        <f t="shared" si="224"/>
        <v>0</v>
      </c>
      <c r="AG610" s="307"/>
      <c r="AH610" s="307"/>
      <c r="AI610" s="445">
        <f t="shared" si="225"/>
        <v>0</v>
      </c>
      <c r="AJ610" s="446"/>
      <c r="AK610" s="443"/>
      <c r="AL610" s="444">
        <f t="shared" si="226"/>
        <v>0</v>
      </c>
      <c r="AM610" s="307"/>
      <c r="AN610" s="307"/>
      <c r="AO610" s="447">
        <f t="shared" si="227"/>
        <v>0</v>
      </c>
      <c r="AP610" s="448"/>
      <c r="AQ610" s="443"/>
      <c r="AR610" s="444">
        <f t="shared" si="228"/>
        <v>0</v>
      </c>
      <c r="AS610" s="307"/>
      <c r="AT610" s="307"/>
      <c r="AU610" s="441">
        <f t="shared" si="229"/>
        <v>0</v>
      </c>
      <c r="AV610" s="442"/>
      <c r="AW610" s="443"/>
      <c r="AX610" s="444">
        <f t="shared" si="230"/>
        <v>0</v>
      </c>
      <c r="AY610" s="307"/>
      <c r="AZ610" s="307"/>
      <c r="BA610" s="445">
        <f t="shared" si="231"/>
        <v>0</v>
      </c>
      <c r="BB610" s="442"/>
      <c r="BC610" s="443"/>
      <c r="BD610" s="444">
        <f t="shared" si="232"/>
        <v>0</v>
      </c>
      <c r="BE610" s="307"/>
      <c r="BF610" s="307"/>
      <c r="BG610" s="445">
        <f t="shared" si="233"/>
        <v>0</v>
      </c>
      <c r="BH610" s="442">
        <v>6</v>
      </c>
      <c r="BI610" s="443">
        <v>73963.833333333328</v>
      </c>
      <c r="BJ610" s="444">
        <f t="shared" si="234"/>
        <v>363103.25060000003</v>
      </c>
      <c r="BK610" s="307">
        <v>9</v>
      </c>
      <c r="BL610" s="307">
        <v>74983.111111111109</v>
      </c>
      <c r="BM610" s="445">
        <f t="shared" si="235"/>
        <v>552160.63360000006</v>
      </c>
      <c r="BN610" s="442"/>
      <c r="BO610" s="443"/>
      <c r="BP610" s="444">
        <f t="shared" si="236"/>
        <v>0</v>
      </c>
      <c r="BQ610" s="307"/>
      <c r="BR610" s="307"/>
      <c r="BS610" s="445">
        <f t="shared" si="237"/>
        <v>0</v>
      </c>
      <c r="BT610" s="442"/>
      <c r="BU610" s="443"/>
      <c r="BV610" s="444">
        <f t="shared" si="238"/>
        <v>0</v>
      </c>
      <c r="BW610" s="307"/>
      <c r="BX610" s="307"/>
      <c r="BY610" s="449">
        <f t="shared" si="239"/>
        <v>0</v>
      </c>
    </row>
    <row r="611" spans="1:77" s="308" customFormat="1" ht="12.75" customHeight="1">
      <c r="A611" s="378" t="s">
        <v>309</v>
      </c>
      <c r="B611" s="381" t="s">
        <v>137</v>
      </c>
      <c r="C611" s="381"/>
      <c r="D611" s="379">
        <v>226107</v>
      </c>
      <c r="E611" s="380">
        <v>10</v>
      </c>
      <c r="F611" s="453">
        <v>2</v>
      </c>
      <c r="G611" s="454">
        <v>50994.5</v>
      </c>
      <c r="H611" s="439">
        <f t="shared" si="216"/>
        <v>101989</v>
      </c>
      <c r="I611" s="311">
        <v>2</v>
      </c>
      <c r="J611" s="311">
        <v>52524</v>
      </c>
      <c r="K611" s="441">
        <f t="shared" si="217"/>
        <v>105048</v>
      </c>
      <c r="L611" s="442">
        <v>2</v>
      </c>
      <c r="M611" s="443">
        <v>47634.5</v>
      </c>
      <c r="N611" s="444">
        <f t="shared" si="218"/>
        <v>95269</v>
      </c>
      <c r="O611" s="307">
        <v>2</v>
      </c>
      <c r="P611" s="307">
        <v>49063.5</v>
      </c>
      <c r="Q611" s="445">
        <f t="shared" si="219"/>
        <v>98127</v>
      </c>
      <c r="R611" s="442">
        <v>7</v>
      </c>
      <c r="S611" s="443">
        <v>51561.714285714283</v>
      </c>
      <c r="T611" s="444">
        <f t="shared" si="220"/>
        <v>360932</v>
      </c>
      <c r="U611" s="307">
        <v>7</v>
      </c>
      <c r="V611" s="307">
        <v>52944.285714285717</v>
      </c>
      <c r="W611" s="441">
        <f t="shared" si="221"/>
        <v>370610</v>
      </c>
      <c r="X611" s="442">
        <v>30</v>
      </c>
      <c r="Y611" s="443">
        <v>39256.366666666669</v>
      </c>
      <c r="Z611" s="444">
        <f t="shared" si="222"/>
        <v>1177691</v>
      </c>
      <c r="AA611" s="307">
        <v>32</v>
      </c>
      <c r="AB611" s="307">
        <v>39990.09375</v>
      </c>
      <c r="AC611" s="445">
        <f t="shared" si="223"/>
        <v>1279683</v>
      </c>
      <c r="AD611" s="442">
        <v>1</v>
      </c>
      <c r="AE611" s="443">
        <v>33518</v>
      </c>
      <c r="AF611" s="444">
        <f t="shared" si="224"/>
        <v>33518</v>
      </c>
      <c r="AG611" s="307"/>
      <c r="AH611" s="307"/>
      <c r="AI611" s="445">
        <f t="shared" si="225"/>
        <v>0</v>
      </c>
      <c r="AJ611" s="446"/>
      <c r="AK611" s="443"/>
      <c r="AL611" s="444">
        <f t="shared" si="226"/>
        <v>0</v>
      </c>
      <c r="AM611" s="307"/>
      <c r="AN611" s="307"/>
      <c r="AO611" s="447">
        <f t="shared" si="227"/>
        <v>0</v>
      </c>
      <c r="AP611" s="448"/>
      <c r="AQ611" s="443"/>
      <c r="AR611" s="444">
        <f t="shared" si="228"/>
        <v>0</v>
      </c>
      <c r="AS611" s="307"/>
      <c r="AT611" s="307"/>
      <c r="AU611" s="441">
        <f t="shared" si="229"/>
        <v>0</v>
      </c>
      <c r="AV611" s="442"/>
      <c r="AW611" s="443"/>
      <c r="AX611" s="444">
        <f t="shared" si="230"/>
        <v>0</v>
      </c>
      <c r="AY611" s="307"/>
      <c r="AZ611" s="307"/>
      <c r="BA611" s="445">
        <f t="shared" si="231"/>
        <v>0</v>
      </c>
      <c r="BB611" s="442">
        <v>1</v>
      </c>
      <c r="BC611" s="443">
        <v>54996</v>
      </c>
      <c r="BD611" s="444">
        <f t="shared" si="232"/>
        <v>44997.727200000001</v>
      </c>
      <c r="BE611" s="307">
        <v>1</v>
      </c>
      <c r="BF611" s="307">
        <v>56646</v>
      </c>
      <c r="BG611" s="445">
        <f t="shared" si="233"/>
        <v>46347.7572</v>
      </c>
      <c r="BH611" s="442">
        <v>6</v>
      </c>
      <c r="BI611" s="443">
        <v>42894.333333333336</v>
      </c>
      <c r="BJ611" s="444">
        <f t="shared" si="234"/>
        <v>210576.86120000001</v>
      </c>
      <c r="BK611" s="307">
        <v>7</v>
      </c>
      <c r="BL611" s="307">
        <v>41455.285714285717</v>
      </c>
      <c r="BM611" s="445">
        <f t="shared" si="235"/>
        <v>237431.00340000002</v>
      </c>
      <c r="BN611" s="442">
        <v>1</v>
      </c>
      <c r="BO611" s="443">
        <v>25570</v>
      </c>
      <c r="BP611" s="444">
        <f t="shared" si="236"/>
        <v>20921.374</v>
      </c>
      <c r="BQ611" s="307"/>
      <c r="BR611" s="307"/>
      <c r="BS611" s="445">
        <f t="shared" si="237"/>
        <v>0</v>
      </c>
      <c r="BT611" s="442"/>
      <c r="BU611" s="443"/>
      <c r="BV611" s="444">
        <f t="shared" si="238"/>
        <v>0</v>
      </c>
      <c r="BW611" s="307"/>
      <c r="BX611" s="307"/>
      <c r="BY611" s="449">
        <f t="shared" si="239"/>
        <v>0</v>
      </c>
    </row>
    <row r="612" spans="1:77" s="308" customFormat="1" ht="12.75" customHeight="1">
      <c r="A612" s="378" t="s">
        <v>309</v>
      </c>
      <c r="B612" s="381" t="s">
        <v>109</v>
      </c>
      <c r="C612" s="559" t="s">
        <v>1069</v>
      </c>
      <c r="D612" s="379">
        <v>226116</v>
      </c>
      <c r="E612" s="380">
        <v>10</v>
      </c>
      <c r="F612" s="453">
        <v>1</v>
      </c>
      <c r="G612" s="454">
        <v>54018</v>
      </c>
      <c r="H612" s="439">
        <f t="shared" si="216"/>
        <v>54018</v>
      </c>
      <c r="I612" s="311">
        <v>1</v>
      </c>
      <c r="J612" s="311">
        <v>54875</v>
      </c>
      <c r="K612" s="441">
        <f t="shared" si="217"/>
        <v>54875</v>
      </c>
      <c r="L612" s="442">
        <v>3</v>
      </c>
      <c r="M612" s="443">
        <v>48557</v>
      </c>
      <c r="N612" s="444">
        <f t="shared" si="218"/>
        <v>145671</v>
      </c>
      <c r="O612" s="307">
        <v>3</v>
      </c>
      <c r="P612" s="307">
        <v>49630.666666666664</v>
      </c>
      <c r="Q612" s="445">
        <f t="shared" si="219"/>
        <v>148892</v>
      </c>
      <c r="R612" s="442">
        <v>5</v>
      </c>
      <c r="S612" s="443">
        <v>44531</v>
      </c>
      <c r="T612" s="444">
        <f t="shared" si="220"/>
        <v>222655</v>
      </c>
      <c r="U612" s="307">
        <v>5</v>
      </c>
      <c r="V612" s="307">
        <v>45598</v>
      </c>
      <c r="W612" s="441">
        <f t="shared" si="221"/>
        <v>227990</v>
      </c>
      <c r="X612" s="442">
        <v>35</v>
      </c>
      <c r="Y612" s="443">
        <v>41499.142857142855</v>
      </c>
      <c r="Z612" s="444">
        <f t="shared" si="222"/>
        <v>1452470</v>
      </c>
      <c r="AA612" s="307">
        <v>32</v>
      </c>
      <c r="AB612" s="307">
        <v>41089.0625</v>
      </c>
      <c r="AC612" s="445">
        <f t="shared" si="223"/>
        <v>1314850</v>
      </c>
      <c r="AD612" s="442"/>
      <c r="AE612" s="443"/>
      <c r="AF612" s="444">
        <f t="shared" si="224"/>
        <v>0</v>
      </c>
      <c r="AG612" s="307"/>
      <c r="AH612" s="307"/>
      <c r="AI612" s="445">
        <f t="shared" si="225"/>
        <v>0</v>
      </c>
      <c r="AJ612" s="446"/>
      <c r="AK612" s="443"/>
      <c r="AL612" s="444">
        <f t="shared" si="226"/>
        <v>0</v>
      </c>
      <c r="AM612" s="307"/>
      <c r="AN612" s="307"/>
      <c r="AO612" s="447">
        <f t="shared" si="227"/>
        <v>0</v>
      </c>
      <c r="AP612" s="448"/>
      <c r="AQ612" s="443"/>
      <c r="AR612" s="444">
        <f t="shared" si="228"/>
        <v>0</v>
      </c>
      <c r="AS612" s="307"/>
      <c r="AT612" s="307"/>
      <c r="AU612" s="441">
        <f t="shared" si="229"/>
        <v>0</v>
      </c>
      <c r="AV612" s="442"/>
      <c r="AW612" s="443"/>
      <c r="AX612" s="444">
        <f t="shared" si="230"/>
        <v>0</v>
      </c>
      <c r="AY612" s="307"/>
      <c r="AZ612" s="307"/>
      <c r="BA612" s="445">
        <f t="shared" si="231"/>
        <v>0</v>
      </c>
      <c r="BB612" s="442">
        <v>1</v>
      </c>
      <c r="BC612" s="443">
        <v>70849</v>
      </c>
      <c r="BD612" s="444">
        <f t="shared" si="232"/>
        <v>57968.6518</v>
      </c>
      <c r="BE612" s="307">
        <v>1</v>
      </c>
      <c r="BF612" s="307">
        <v>73449</v>
      </c>
      <c r="BG612" s="445">
        <f t="shared" si="233"/>
        <v>60095.971799999999</v>
      </c>
      <c r="BH612" s="442">
        <v>18</v>
      </c>
      <c r="BI612" s="443">
        <v>51348.444444444445</v>
      </c>
      <c r="BJ612" s="444">
        <f t="shared" si="234"/>
        <v>756239.3504</v>
      </c>
      <c r="BK612" s="307">
        <v>33</v>
      </c>
      <c r="BL612" s="307">
        <v>45374.242424242424</v>
      </c>
      <c r="BM612" s="445">
        <f t="shared" si="235"/>
        <v>1225131.77</v>
      </c>
      <c r="BN612" s="442"/>
      <c r="BO612" s="443"/>
      <c r="BP612" s="444">
        <f t="shared" si="236"/>
        <v>0</v>
      </c>
      <c r="BQ612" s="307"/>
      <c r="BR612" s="307"/>
      <c r="BS612" s="445">
        <f t="shared" si="237"/>
        <v>0</v>
      </c>
      <c r="BT612" s="442">
        <v>10</v>
      </c>
      <c r="BU612" s="443">
        <v>43384</v>
      </c>
      <c r="BV612" s="444">
        <f t="shared" si="238"/>
        <v>354967.88800000004</v>
      </c>
      <c r="BW612" s="307"/>
      <c r="BX612" s="307"/>
      <c r="BY612" s="449">
        <f t="shared" si="239"/>
        <v>0</v>
      </c>
    </row>
    <row r="613" spans="1:77" s="308" customFormat="1" ht="12.75" customHeight="1">
      <c r="A613" s="378" t="s">
        <v>309</v>
      </c>
      <c r="B613" s="381" t="s">
        <v>133</v>
      </c>
      <c r="C613" s="381"/>
      <c r="D613" s="412">
        <v>222992</v>
      </c>
      <c r="E613" s="380">
        <v>10</v>
      </c>
      <c r="F613" s="453"/>
      <c r="G613" s="454"/>
      <c r="H613" s="439">
        <f t="shared" si="216"/>
        <v>0</v>
      </c>
      <c r="I613" s="311"/>
      <c r="J613" s="311"/>
      <c r="K613" s="441">
        <f t="shared" si="217"/>
        <v>0</v>
      </c>
      <c r="L613" s="442"/>
      <c r="M613" s="443"/>
      <c r="N613" s="444">
        <f t="shared" si="218"/>
        <v>0</v>
      </c>
      <c r="O613" s="307"/>
      <c r="P613" s="307"/>
      <c r="Q613" s="445">
        <f t="shared" si="219"/>
        <v>0</v>
      </c>
      <c r="R613" s="442"/>
      <c r="S613" s="443"/>
      <c r="T613" s="444">
        <f t="shared" si="220"/>
        <v>0</v>
      </c>
      <c r="U613" s="307"/>
      <c r="V613" s="307"/>
      <c r="W613" s="441">
        <f t="shared" si="221"/>
        <v>0</v>
      </c>
      <c r="X613" s="442"/>
      <c r="Y613" s="443"/>
      <c r="Z613" s="444">
        <f t="shared" si="222"/>
        <v>0</v>
      </c>
      <c r="AA613" s="307"/>
      <c r="AB613" s="307"/>
      <c r="AC613" s="445">
        <f t="shared" si="223"/>
        <v>0</v>
      </c>
      <c r="AD613" s="442"/>
      <c r="AE613" s="443"/>
      <c r="AF613" s="444">
        <f t="shared" si="224"/>
        <v>0</v>
      </c>
      <c r="AG613" s="307"/>
      <c r="AH613" s="307"/>
      <c r="AI613" s="445">
        <f t="shared" si="225"/>
        <v>0</v>
      </c>
      <c r="AJ613" s="446"/>
      <c r="AK613" s="443"/>
      <c r="AL613" s="444">
        <f t="shared" si="226"/>
        <v>0</v>
      </c>
      <c r="AM613" s="307"/>
      <c r="AN613" s="307"/>
      <c r="AO613" s="447">
        <f t="shared" si="227"/>
        <v>0</v>
      </c>
      <c r="AP613" s="448"/>
      <c r="AQ613" s="443"/>
      <c r="AR613" s="444">
        <f t="shared" si="228"/>
        <v>0</v>
      </c>
      <c r="AS613" s="307"/>
      <c r="AT613" s="307"/>
      <c r="AU613" s="441">
        <f t="shared" si="229"/>
        <v>0</v>
      </c>
      <c r="AV613" s="442"/>
      <c r="AW613" s="443"/>
      <c r="AX613" s="444">
        <f t="shared" si="230"/>
        <v>0</v>
      </c>
      <c r="AY613" s="307"/>
      <c r="AZ613" s="307"/>
      <c r="BA613" s="445">
        <f t="shared" si="231"/>
        <v>0</v>
      </c>
      <c r="BB613" s="442"/>
      <c r="BC613" s="443"/>
      <c r="BD613" s="444">
        <f t="shared" si="232"/>
        <v>0</v>
      </c>
      <c r="BE613" s="307"/>
      <c r="BF613" s="307"/>
      <c r="BG613" s="445">
        <f t="shared" si="233"/>
        <v>0</v>
      </c>
      <c r="BH613" s="442"/>
      <c r="BI613" s="443"/>
      <c r="BJ613" s="444">
        <f t="shared" si="234"/>
        <v>0</v>
      </c>
      <c r="BK613" s="307"/>
      <c r="BL613" s="307"/>
      <c r="BM613" s="445">
        <f t="shared" si="235"/>
        <v>0</v>
      </c>
      <c r="BN613" s="442"/>
      <c r="BO613" s="443"/>
      <c r="BP613" s="444">
        <f t="shared" si="236"/>
        <v>0</v>
      </c>
      <c r="BQ613" s="307"/>
      <c r="BR613" s="307"/>
      <c r="BS613" s="445">
        <f t="shared" si="237"/>
        <v>0</v>
      </c>
      <c r="BT613" s="442"/>
      <c r="BU613" s="443"/>
      <c r="BV613" s="444">
        <f t="shared" si="238"/>
        <v>0</v>
      </c>
      <c r="BW613" s="307"/>
      <c r="BX613" s="307"/>
      <c r="BY613" s="449">
        <f t="shared" si="239"/>
        <v>0</v>
      </c>
    </row>
    <row r="614" spans="1:77" s="308" customFormat="1" ht="12.75" customHeight="1">
      <c r="A614" s="373" t="s">
        <v>309</v>
      </c>
      <c r="B614" s="383" t="s">
        <v>138</v>
      </c>
      <c r="C614" s="557" t="s">
        <v>1068</v>
      </c>
      <c r="D614" s="375">
        <v>227225</v>
      </c>
      <c r="E614" s="323">
        <v>10</v>
      </c>
      <c r="F614" s="453">
        <v>26</v>
      </c>
      <c r="G614" s="454">
        <v>55429.615384615383</v>
      </c>
      <c r="H614" s="439">
        <f t="shared" si="216"/>
        <v>1441170</v>
      </c>
      <c r="I614" s="311">
        <v>25</v>
      </c>
      <c r="J614" s="311">
        <v>58900.28</v>
      </c>
      <c r="K614" s="441">
        <f t="shared" si="217"/>
        <v>1472507</v>
      </c>
      <c r="L614" s="442">
        <v>2</v>
      </c>
      <c r="M614" s="443">
        <v>51249</v>
      </c>
      <c r="N614" s="444">
        <f t="shared" si="218"/>
        <v>102498</v>
      </c>
      <c r="O614" s="307">
        <v>10</v>
      </c>
      <c r="P614" s="307">
        <v>50140.7</v>
      </c>
      <c r="Q614" s="445">
        <f t="shared" si="219"/>
        <v>501407</v>
      </c>
      <c r="R614" s="442">
        <v>6</v>
      </c>
      <c r="S614" s="443">
        <v>38383.166666666664</v>
      </c>
      <c r="T614" s="444">
        <f t="shared" si="220"/>
        <v>230299</v>
      </c>
      <c r="U614" s="307">
        <v>8</v>
      </c>
      <c r="V614" s="307">
        <v>45871.75</v>
      </c>
      <c r="W614" s="441">
        <f t="shared" si="221"/>
        <v>366974</v>
      </c>
      <c r="X614" s="442">
        <v>14</v>
      </c>
      <c r="Y614" s="443">
        <v>41660.285714285717</v>
      </c>
      <c r="Z614" s="444">
        <f t="shared" si="222"/>
        <v>583244</v>
      </c>
      <c r="AA614" s="307">
        <v>8</v>
      </c>
      <c r="AB614" s="307">
        <v>41739.375</v>
      </c>
      <c r="AC614" s="445">
        <f t="shared" si="223"/>
        <v>333915</v>
      </c>
      <c r="AD614" s="442"/>
      <c r="AE614" s="443"/>
      <c r="AF614" s="444">
        <f t="shared" si="224"/>
        <v>0</v>
      </c>
      <c r="AG614" s="307"/>
      <c r="AH614" s="307"/>
      <c r="AI614" s="445">
        <f t="shared" si="225"/>
        <v>0</v>
      </c>
      <c r="AJ614" s="446"/>
      <c r="AK614" s="443"/>
      <c r="AL614" s="444">
        <f t="shared" si="226"/>
        <v>0</v>
      </c>
      <c r="AM614" s="307"/>
      <c r="AN614" s="307"/>
      <c r="AO614" s="447">
        <f t="shared" si="227"/>
        <v>0</v>
      </c>
      <c r="AP614" s="448">
        <v>3</v>
      </c>
      <c r="AQ614" s="443">
        <v>67765.666666666672</v>
      </c>
      <c r="AR614" s="444">
        <f t="shared" si="228"/>
        <v>166337.6054</v>
      </c>
      <c r="AS614" s="307">
        <v>6</v>
      </c>
      <c r="AT614" s="307">
        <v>68531.833333333328</v>
      </c>
      <c r="AU614" s="441">
        <f t="shared" si="229"/>
        <v>336436.47620000003</v>
      </c>
      <c r="AV614" s="442">
        <v>2</v>
      </c>
      <c r="AW614" s="443">
        <v>60633.5</v>
      </c>
      <c r="AX614" s="444">
        <f t="shared" si="230"/>
        <v>99220.659400000004</v>
      </c>
      <c r="AY614" s="307">
        <v>4</v>
      </c>
      <c r="AZ614" s="307">
        <v>63325.25</v>
      </c>
      <c r="BA614" s="445">
        <f t="shared" si="231"/>
        <v>207250.87820000001</v>
      </c>
      <c r="BB614" s="442">
        <v>4</v>
      </c>
      <c r="BC614" s="443">
        <v>45275.75</v>
      </c>
      <c r="BD614" s="444">
        <f t="shared" si="232"/>
        <v>148178.47460000002</v>
      </c>
      <c r="BE614" s="307">
        <v>3</v>
      </c>
      <c r="BF614" s="307">
        <v>54953.666666666664</v>
      </c>
      <c r="BG614" s="445">
        <f t="shared" si="233"/>
        <v>134889.2702</v>
      </c>
      <c r="BH614" s="442">
        <v>10</v>
      </c>
      <c r="BI614" s="443">
        <v>56036</v>
      </c>
      <c r="BJ614" s="444">
        <f t="shared" si="234"/>
        <v>458486.55200000003</v>
      </c>
      <c r="BK614" s="307">
        <v>8</v>
      </c>
      <c r="BL614" s="307">
        <v>54836.375</v>
      </c>
      <c r="BM614" s="445">
        <f t="shared" si="235"/>
        <v>358936.97620000003</v>
      </c>
      <c r="BN614" s="442"/>
      <c r="BO614" s="443"/>
      <c r="BP614" s="444">
        <f t="shared" si="236"/>
        <v>0</v>
      </c>
      <c r="BQ614" s="307"/>
      <c r="BR614" s="307"/>
      <c r="BS614" s="445">
        <f t="shared" si="237"/>
        <v>0</v>
      </c>
      <c r="BT614" s="442"/>
      <c r="BU614" s="443"/>
      <c r="BV614" s="444">
        <f t="shared" si="238"/>
        <v>0</v>
      </c>
      <c r="BW614" s="307"/>
      <c r="BX614" s="307"/>
      <c r="BY614" s="449">
        <f t="shared" si="239"/>
        <v>0</v>
      </c>
    </row>
    <row r="615" spans="1:77" s="308" customFormat="1" ht="12.75" customHeight="1">
      <c r="A615" s="373" t="s">
        <v>309</v>
      </c>
      <c r="B615" s="374" t="s">
        <v>139</v>
      </c>
      <c r="C615" s="374"/>
      <c r="D615" s="375">
        <v>227386</v>
      </c>
      <c r="E615" s="323">
        <v>10</v>
      </c>
      <c r="F615" s="453"/>
      <c r="G615" s="454"/>
      <c r="H615" s="439">
        <f t="shared" si="216"/>
        <v>0</v>
      </c>
      <c r="I615" s="311">
        <v>38</v>
      </c>
      <c r="J615" s="311">
        <v>51694.526315789473</v>
      </c>
      <c r="K615" s="441">
        <f t="shared" si="217"/>
        <v>1964392</v>
      </c>
      <c r="L615" s="442"/>
      <c r="M615" s="443"/>
      <c r="N615" s="444">
        <f t="shared" si="218"/>
        <v>0</v>
      </c>
      <c r="O615" s="307"/>
      <c r="P615" s="307"/>
      <c r="Q615" s="445">
        <f t="shared" si="219"/>
        <v>0</v>
      </c>
      <c r="R615" s="442"/>
      <c r="S615" s="443"/>
      <c r="T615" s="444">
        <f t="shared" si="220"/>
        <v>0</v>
      </c>
      <c r="U615" s="307"/>
      <c r="V615" s="307"/>
      <c r="W615" s="441">
        <f t="shared" si="221"/>
        <v>0</v>
      </c>
      <c r="X615" s="442"/>
      <c r="Y615" s="443"/>
      <c r="Z615" s="444">
        <f t="shared" si="222"/>
        <v>0</v>
      </c>
      <c r="AA615" s="307">
        <v>11</v>
      </c>
      <c r="AB615" s="307">
        <v>42630.181818181816</v>
      </c>
      <c r="AC615" s="445">
        <f t="shared" si="223"/>
        <v>468932</v>
      </c>
      <c r="AD615" s="442"/>
      <c r="AE615" s="443"/>
      <c r="AF615" s="444">
        <f t="shared" si="224"/>
        <v>0</v>
      </c>
      <c r="AG615" s="307"/>
      <c r="AH615" s="307"/>
      <c r="AI615" s="445">
        <f t="shared" si="225"/>
        <v>0</v>
      </c>
      <c r="AJ615" s="446">
        <v>52</v>
      </c>
      <c r="AK615" s="443">
        <v>48599.769230769234</v>
      </c>
      <c r="AL615" s="444">
        <f t="shared" si="226"/>
        <v>2527188</v>
      </c>
      <c r="AM615" s="270"/>
      <c r="AN615" s="270"/>
      <c r="AO615" s="447">
        <f t="shared" si="227"/>
        <v>0</v>
      </c>
      <c r="AP615" s="448"/>
      <c r="AQ615" s="443"/>
      <c r="AR615" s="444">
        <f t="shared" si="228"/>
        <v>0</v>
      </c>
      <c r="AS615" s="270">
        <v>5</v>
      </c>
      <c r="AT615" s="270">
        <v>61327</v>
      </c>
      <c r="AU615" s="441">
        <f t="shared" si="229"/>
        <v>250888.75700000001</v>
      </c>
      <c r="AV615" s="442"/>
      <c r="AW615" s="443"/>
      <c r="AX615" s="444">
        <f t="shared" si="230"/>
        <v>0</v>
      </c>
      <c r="AY615" s="307"/>
      <c r="AZ615" s="307"/>
      <c r="BA615" s="445">
        <f t="shared" si="231"/>
        <v>0</v>
      </c>
      <c r="BB615" s="442"/>
      <c r="BC615" s="443"/>
      <c r="BD615" s="444">
        <f t="shared" si="232"/>
        <v>0</v>
      </c>
      <c r="BE615" s="307"/>
      <c r="BF615" s="307"/>
      <c r="BG615" s="445">
        <f t="shared" si="233"/>
        <v>0</v>
      </c>
      <c r="BH615" s="442"/>
      <c r="BI615" s="443"/>
      <c r="BJ615" s="444">
        <f t="shared" si="234"/>
        <v>0</v>
      </c>
      <c r="BK615" s="307">
        <v>8</v>
      </c>
      <c r="BL615" s="307">
        <v>54177.75</v>
      </c>
      <c r="BM615" s="445">
        <f t="shared" si="235"/>
        <v>354625.88040000002</v>
      </c>
      <c r="BN615" s="442"/>
      <c r="BO615" s="443"/>
      <c r="BP615" s="444">
        <f t="shared" si="236"/>
        <v>0</v>
      </c>
      <c r="BQ615" s="307"/>
      <c r="BR615" s="307"/>
      <c r="BS615" s="445">
        <f t="shared" si="237"/>
        <v>0</v>
      </c>
      <c r="BT615" s="442">
        <v>13</v>
      </c>
      <c r="BU615" s="443">
        <v>57105</v>
      </c>
      <c r="BV615" s="444">
        <f t="shared" si="238"/>
        <v>607403.04300000006</v>
      </c>
      <c r="BW615" s="307"/>
      <c r="BX615" s="307"/>
      <c r="BY615" s="449">
        <f t="shared" si="239"/>
        <v>0</v>
      </c>
    </row>
    <row r="616" spans="1:77" s="308" customFormat="1" ht="12.75" customHeight="1">
      <c r="A616" s="373" t="s">
        <v>309</v>
      </c>
      <c r="B616" s="374" t="s">
        <v>140</v>
      </c>
      <c r="C616" s="374"/>
      <c r="D616" s="375">
        <v>227687</v>
      </c>
      <c r="E616" s="323">
        <v>10</v>
      </c>
      <c r="F616" s="453">
        <v>1</v>
      </c>
      <c r="G616" s="454">
        <v>45381</v>
      </c>
      <c r="H616" s="439">
        <f t="shared" si="216"/>
        <v>45381</v>
      </c>
      <c r="I616" s="311">
        <v>2</v>
      </c>
      <c r="J616" s="311">
        <v>41731</v>
      </c>
      <c r="K616" s="441">
        <f t="shared" si="217"/>
        <v>83462</v>
      </c>
      <c r="L616" s="442">
        <v>5</v>
      </c>
      <c r="M616" s="443">
        <v>36087.4</v>
      </c>
      <c r="N616" s="444">
        <f t="shared" si="218"/>
        <v>180437</v>
      </c>
      <c r="O616" s="307">
        <v>4</v>
      </c>
      <c r="P616" s="307">
        <v>35065</v>
      </c>
      <c r="Q616" s="445">
        <f t="shared" si="219"/>
        <v>140260</v>
      </c>
      <c r="R616" s="442">
        <v>9</v>
      </c>
      <c r="S616" s="443">
        <v>27255.333333333332</v>
      </c>
      <c r="T616" s="444">
        <f t="shared" si="220"/>
        <v>245298</v>
      </c>
      <c r="U616" s="307">
        <v>3</v>
      </c>
      <c r="V616" s="307">
        <v>29203</v>
      </c>
      <c r="W616" s="441">
        <f t="shared" si="221"/>
        <v>87609</v>
      </c>
      <c r="X616" s="442">
        <v>4</v>
      </c>
      <c r="Y616" s="443">
        <v>31046.5</v>
      </c>
      <c r="Z616" s="444">
        <f t="shared" si="222"/>
        <v>124186</v>
      </c>
      <c r="AA616" s="307">
        <v>6</v>
      </c>
      <c r="AB616" s="307">
        <v>19443.5</v>
      </c>
      <c r="AC616" s="445">
        <f t="shared" si="223"/>
        <v>116661</v>
      </c>
      <c r="AD616" s="442"/>
      <c r="AE616" s="443"/>
      <c r="AF616" s="444">
        <f t="shared" si="224"/>
        <v>0</v>
      </c>
      <c r="AG616" s="307"/>
      <c r="AH616" s="307"/>
      <c r="AI616" s="445">
        <f t="shared" si="225"/>
        <v>0</v>
      </c>
      <c r="AJ616" s="446"/>
      <c r="AK616" s="443"/>
      <c r="AL616" s="444">
        <f t="shared" si="226"/>
        <v>0</v>
      </c>
      <c r="AM616" s="307"/>
      <c r="AN616" s="307"/>
      <c r="AO616" s="447">
        <f t="shared" si="227"/>
        <v>0</v>
      </c>
      <c r="AP616" s="448"/>
      <c r="AQ616" s="443"/>
      <c r="AR616" s="444">
        <f t="shared" si="228"/>
        <v>0</v>
      </c>
      <c r="AS616" s="307"/>
      <c r="AT616" s="307"/>
      <c r="AU616" s="441">
        <f t="shared" si="229"/>
        <v>0</v>
      </c>
      <c r="AV616" s="442"/>
      <c r="AW616" s="443"/>
      <c r="AX616" s="444">
        <f t="shared" si="230"/>
        <v>0</v>
      </c>
      <c r="AY616" s="307"/>
      <c r="AZ616" s="307"/>
      <c r="BA616" s="445">
        <f t="shared" si="231"/>
        <v>0</v>
      </c>
      <c r="BB616" s="442">
        <v>4</v>
      </c>
      <c r="BC616" s="443">
        <v>26750</v>
      </c>
      <c r="BD616" s="444">
        <f t="shared" si="232"/>
        <v>87547.400000000009</v>
      </c>
      <c r="BE616" s="307">
        <v>5</v>
      </c>
      <c r="BF616" s="307">
        <v>34240</v>
      </c>
      <c r="BG616" s="445">
        <f t="shared" si="233"/>
        <v>140075.84</v>
      </c>
      <c r="BH616" s="442">
        <v>10</v>
      </c>
      <c r="BI616" s="443">
        <v>33700</v>
      </c>
      <c r="BJ616" s="444">
        <f t="shared" si="234"/>
        <v>275733.40000000002</v>
      </c>
      <c r="BK616" s="307">
        <v>15</v>
      </c>
      <c r="BL616" s="307">
        <v>37586.666666666664</v>
      </c>
      <c r="BM616" s="445">
        <f t="shared" si="235"/>
        <v>461301.16000000003</v>
      </c>
      <c r="BN616" s="442"/>
      <c r="BO616" s="443"/>
      <c r="BP616" s="444">
        <f t="shared" si="236"/>
        <v>0</v>
      </c>
      <c r="BQ616" s="307"/>
      <c r="BR616" s="307"/>
      <c r="BS616" s="445">
        <f t="shared" si="237"/>
        <v>0</v>
      </c>
      <c r="BT616" s="442"/>
      <c r="BU616" s="443"/>
      <c r="BV616" s="444">
        <f t="shared" si="238"/>
        <v>0</v>
      </c>
      <c r="BW616" s="307"/>
      <c r="BX616" s="307"/>
      <c r="BY616" s="449">
        <f t="shared" si="239"/>
        <v>0</v>
      </c>
    </row>
    <row r="617" spans="1:77" s="308" customFormat="1" ht="12.75" customHeight="1">
      <c r="A617" s="373" t="s">
        <v>309</v>
      </c>
      <c r="B617" s="374" t="s">
        <v>751</v>
      </c>
      <c r="C617" s="374"/>
      <c r="D617" s="375">
        <v>382911</v>
      </c>
      <c r="E617" s="323">
        <v>10</v>
      </c>
      <c r="F617" s="453"/>
      <c r="G617" s="454"/>
      <c r="H617" s="439">
        <f t="shared" si="216"/>
        <v>0</v>
      </c>
      <c r="I617" s="311"/>
      <c r="J617" s="311"/>
      <c r="K617" s="441">
        <f t="shared" si="217"/>
        <v>0</v>
      </c>
      <c r="L617" s="442"/>
      <c r="M617" s="443"/>
      <c r="N617" s="444">
        <f t="shared" si="218"/>
        <v>0</v>
      </c>
      <c r="O617" s="307"/>
      <c r="P617" s="307"/>
      <c r="Q617" s="445">
        <f t="shared" si="219"/>
        <v>0</v>
      </c>
      <c r="R617" s="442"/>
      <c r="S617" s="443"/>
      <c r="T617" s="444">
        <f t="shared" si="220"/>
        <v>0</v>
      </c>
      <c r="U617" s="307"/>
      <c r="V617" s="307"/>
      <c r="W617" s="441">
        <f t="shared" si="221"/>
        <v>0</v>
      </c>
      <c r="X617" s="442"/>
      <c r="Y617" s="443"/>
      <c r="Z617" s="444">
        <f t="shared" si="222"/>
        <v>0</v>
      </c>
      <c r="AA617" s="307"/>
      <c r="AB617" s="307"/>
      <c r="AC617" s="445">
        <f t="shared" si="223"/>
        <v>0</v>
      </c>
      <c r="AD617" s="442"/>
      <c r="AE617" s="443"/>
      <c r="AF617" s="444">
        <f t="shared" si="224"/>
        <v>0</v>
      </c>
      <c r="AG617" s="307"/>
      <c r="AH617" s="307"/>
      <c r="AI617" s="445">
        <f t="shared" si="225"/>
        <v>0</v>
      </c>
      <c r="AJ617" s="446"/>
      <c r="AK617" s="443"/>
      <c r="AL617" s="444">
        <f t="shared" si="226"/>
        <v>0</v>
      </c>
      <c r="AM617" s="307"/>
      <c r="AN617" s="307"/>
      <c r="AO617" s="447">
        <f t="shared" si="227"/>
        <v>0</v>
      </c>
      <c r="AP617" s="448"/>
      <c r="AQ617" s="443"/>
      <c r="AR617" s="444">
        <f t="shared" si="228"/>
        <v>0</v>
      </c>
      <c r="AS617" s="307"/>
      <c r="AT617" s="307"/>
      <c r="AU617" s="441">
        <f t="shared" si="229"/>
        <v>0</v>
      </c>
      <c r="AV617" s="442"/>
      <c r="AW617" s="443"/>
      <c r="AX617" s="444">
        <f t="shared" si="230"/>
        <v>0</v>
      </c>
      <c r="AY617" s="307"/>
      <c r="AZ617" s="307"/>
      <c r="BA617" s="445">
        <f t="shared" si="231"/>
        <v>0</v>
      </c>
      <c r="BB617" s="442"/>
      <c r="BC617" s="443"/>
      <c r="BD617" s="444">
        <f t="shared" si="232"/>
        <v>0</v>
      </c>
      <c r="BE617" s="307"/>
      <c r="BF617" s="307"/>
      <c r="BG617" s="445">
        <f t="shared" si="233"/>
        <v>0</v>
      </c>
      <c r="BH617" s="442"/>
      <c r="BI617" s="443"/>
      <c r="BJ617" s="444">
        <f t="shared" si="234"/>
        <v>0</v>
      </c>
      <c r="BK617" s="307"/>
      <c r="BL617" s="307"/>
      <c r="BM617" s="445">
        <f t="shared" si="235"/>
        <v>0</v>
      </c>
      <c r="BN617" s="442"/>
      <c r="BO617" s="443"/>
      <c r="BP617" s="444">
        <f t="shared" si="236"/>
        <v>0</v>
      </c>
      <c r="BQ617" s="307"/>
      <c r="BR617" s="307"/>
      <c r="BS617" s="445">
        <f t="shared" si="237"/>
        <v>0</v>
      </c>
      <c r="BT617" s="442"/>
      <c r="BU617" s="443"/>
      <c r="BV617" s="444">
        <f t="shared" si="238"/>
        <v>0</v>
      </c>
      <c r="BW617" s="307"/>
      <c r="BX617" s="307"/>
      <c r="BY617" s="449">
        <f t="shared" si="239"/>
        <v>0</v>
      </c>
    </row>
    <row r="618" spans="1:77" s="308" customFormat="1" ht="12.75" customHeight="1">
      <c r="A618" s="373" t="s">
        <v>309</v>
      </c>
      <c r="B618" s="374" t="s">
        <v>141</v>
      </c>
      <c r="C618" s="374"/>
      <c r="D618" s="375">
        <v>408394</v>
      </c>
      <c r="E618" s="323">
        <v>10</v>
      </c>
      <c r="F618" s="453"/>
      <c r="G618" s="454"/>
      <c r="H618" s="439">
        <f t="shared" si="216"/>
        <v>0</v>
      </c>
      <c r="I618" s="311"/>
      <c r="J618" s="311"/>
      <c r="K618" s="441">
        <f t="shared" si="217"/>
        <v>0</v>
      </c>
      <c r="L618" s="442"/>
      <c r="M618" s="443"/>
      <c r="N618" s="444">
        <f t="shared" si="218"/>
        <v>0</v>
      </c>
      <c r="O618" s="307"/>
      <c r="P618" s="307"/>
      <c r="Q618" s="445">
        <f t="shared" si="219"/>
        <v>0</v>
      </c>
      <c r="R618" s="442"/>
      <c r="S618" s="443"/>
      <c r="T618" s="444">
        <f t="shared" si="220"/>
        <v>0</v>
      </c>
      <c r="U618" s="307"/>
      <c r="V618" s="307"/>
      <c r="W618" s="441">
        <f t="shared" si="221"/>
        <v>0</v>
      </c>
      <c r="X618" s="442"/>
      <c r="Y618" s="443"/>
      <c r="Z618" s="444">
        <f t="shared" si="222"/>
        <v>0</v>
      </c>
      <c r="AA618" s="307"/>
      <c r="AB618" s="307"/>
      <c r="AC618" s="445">
        <f t="shared" si="223"/>
        <v>0</v>
      </c>
      <c r="AD618" s="442"/>
      <c r="AE618" s="443"/>
      <c r="AF618" s="444">
        <f t="shared" si="224"/>
        <v>0</v>
      </c>
      <c r="AG618" s="307"/>
      <c r="AH618" s="307"/>
      <c r="AI618" s="445">
        <f t="shared" si="225"/>
        <v>0</v>
      </c>
      <c r="AJ618" s="446"/>
      <c r="AK618" s="443"/>
      <c r="AL618" s="444">
        <f t="shared" si="226"/>
        <v>0</v>
      </c>
      <c r="AM618" s="307"/>
      <c r="AN618" s="307"/>
      <c r="AO618" s="447">
        <f t="shared" si="227"/>
        <v>0</v>
      </c>
      <c r="AP618" s="448"/>
      <c r="AQ618" s="443"/>
      <c r="AR618" s="444">
        <f t="shared" si="228"/>
        <v>0</v>
      </c>
      <c r="AS618" s="307"/>
      <c r="AT618" s="307"/>
      <c r="AU618" s="441">
        <f t="shared" si="229"/>
        <v>0</v>
      </c>
      <c r="AV618" s="442">
        <v>1</v>
      </c>
      <c r="AW618" s="443">
        <v>55464</v>
      </c>
      <c r="AX618" s="444">
        <f t="shared" si="230"/>
        <v>45380.644800000002</v>
      </c>
      <c r="AY618" s="307">
        <v>1</v>
      </c>
      <c r="AZ618" s="307">
        <v>55464</v>
      </c>
      <c r="BA618" s="445">
        <f t="shared" si="231"/>
        <v>45380.644800000002</v>
      </c>
      <c r="BB618" s="442"/>
      <c r="BC618" s="443"/>
      <c r="BD618" s="444">
        <f t="shared" si="232"/>
        <v>0</v>
      </c>
      <c r="BE618" s="307"/>
      <c r="BF618" s="307"/>
      <c r="BG618" s="445">
        <f t="shared" si="233"/>
        <v>0</v>
      </c>
      <c r="BH618" s="442">
        <v>36</v>
      </c>
      <c r="BI618" s="443">
        <v>45517</v>
      </c>
      <c r="BJ618" s="444">
        <f t="shared" si="234"/>
        <v>1340712.3384</v>
      </c>
      <c r="BK618" s="307">
        <v>39</v>
      </c>
      <c r="BL618" s="307">
        <v>44653.538461538461</v>
      </c>
      <c r="BM618" s="445">
        <f t="shared" si="235"/>
        <v>1424885.4816000001</v>
      </c>
      <c r="BN618" s="442"/>
      <c r="BO618" s="443"/>
      <c r="BP618" s="444">
        <f t="shared" si="236"/>
        <v>0</v>
      </c>
      <c r="BQ618" s="307"/>
      <c r="BR618" s="307"/>
      <c r="BS618" s="445">
        <f t="shared" si="237"/>
        <v>0</v>
      </c>
      <c r="BT618" s="442"/>
      <c r="BU618" s="443"/>
      <c r="BV618" s="444">
        <f t="shared" si="238"/>
        <v>0</v>
      </c>
      <c r="BW618" s="307"/>
      <c r="BX618" s="307"/>
      <c r="BY618" s="449">
        <f t="shared" si="239"/>
        <v>0</v>
      </c>
    </row>
    <row r="619" spans="1:77" s="308" customFormat="1" ht="12.75" customHeight="1">
      <c r="A619" s="378" t="s">
        <v>309</v>
      </c>
      <c r="B619" s="381" t="s">
        <v>142</v>
      </c>
      <c r="C619" s="381"/>
      <c r="D619" s="379">
        <v>229328</v>
      </c>
      <c r="E619" s="380">
        <v>10</v>
      </c>
      <c r="F619" s="453"/>
      <c r="G619" s="454"/>
      <c r="H619" s="439">
        <f t="shared" si="216"/>
        <v>0</v>
      </c>
      <c r="I619" s="311"/>
      <c r="J619" s="311"/>
      <c r="K619" s="441">
        <f t="shared" si="217"/>
        <v>0</v>
      </c>
      <c r="L619" s="442"/>
      <c r="M619" s="443"/>
      <c r="N619" s="444">
        <f t="shared" si="218"/>
        <v>0</v>
      </c>
      <c r="O619" s="307"/>
      <c r="P619" s="307"/>
      <c r="Q619" s="445">
        <f t="shared" si="219"/>
        <v>0</v>
      </c>
      <c r="R619" s="442"/>
      <c r="S619" s="443"/>
      <c r="T619" s="444">
        <f t="shared" si="220"/>
        <v>0</v>
      </c>
      <c r="U619" s="307"/>
      <c r="V619" s="307"/>
      <c r="W619" s="441">
        <f t="shared" si="221"/>
        <v>0</v>
      </c>
      <c r="X619" s="442"/>
      <c r="Y619" s="443"/>
      <c r="Z619" s="444">
        <f t="shared" si="222"/>
        <v>0</v>
      </c>
      <c r="AA619" s="307"/>
      <c r="AB619" s="307"/>
      <c r="AC619" s="445">
        <f t="shared" si="223"/>
        <v>0</v>
      </c>
      <c r="AD619" s="442"/>
      <c r="AE619" s="443"/>
      <c r="AF619" s="444">
        <f t="shared" si="224"/>
        <v>0</v>
      </c>
      <c r="AG619" s="307"/>
      <c r="AH619" s="307"/>
      <c r="AI619" s="445">
        <f t="shared" si="225"/>
        <v>0</v>
      </c>
      <c r="AJ619" s="446"/>
      <c r="AK619" s="443"/>
      <c r="AL619" s="444">
        <f t="shared" si="226"/>
        <v>0</v>
      </c>
      <c r="AM619" s="307"/>
      <c r="AN619" s="307"/>
      <c r="AO619" s="447">
        <f t="shared" si="227"/>
        <v>0</v>
      </c>
      <c r="AP619" s="448"/>
      <c r="AQ619" s="443"/>
      <c r="AR619" s="444">
        <f t="shared" si="228"/>
        <v>0</v>
      </c>
      <c r="AS619" s="307"/>
      <c r="AT619" s="307"/>
      <c r="AU619" s="441">
        <f t="shared" si="229"/>
        <v>0</v>
      </c>
      <c r="AV619" s="442">
        <v>2</v>
      </c>
      <c r="AW619" s="443">
        <v>53778</v>
      </c>
      <c r="AX619" s="444">
        <f t="shared" si="230"/>
        <v>88002.319199999998</v>
      </c>
      <c r="AY619" s="307">
        <v>2</v>
      </c>
      <c r="AZ619" s="307">
        <v>50328</v>
      </c>
      <c r="BA619" s="445">
        <f t="shared" si="231"/>
        <v>82356.739200000011</v>
      </c>
      <c r="BB619" s="442"/>
      <c r="BC619" s="443"/>
      <c r="BD619" s="444">
        <f t="shared" si="232"/>
        <v>0</v>
      </c>
      <c r="BE619" s="307"/>
      <c r="BF619" s="307"/>
      <c r="BG619" s="445">
        <f t="shared" si="233"/>
        <v>0</v>
      </c>
      <c r="BH619" s="442">
        <v>87</v>
      </c>
      <c r="BI619" s="443">
        <v>45049.264367816089</v>
      </c>
      <c r="BJ619" s="444">
        <f t="shared" si="234"/>
        <v>3206759.8052000003</v>
      </c>
      <c r="BK619" s="307">
        <v>86</v>
      </c>
      <c r="BL619" s="307">
        <v>43418.255813953489</v>
      </c>
      <c r="BM619" s="445">
        <f t="shared" si="235"/>
        <v>3055134.2540000002</v>
      </c>
      <c r="BN619" s="442"/>
      <c r="BO619" s="443"/>
      <c r="BP619" s="444">
        <f t="shared" si="236"/>
        <v>0</v>
      </c>
      <c r="BQ619" s="307"/>
      <c r="BR619" s="307"/>
      <c r="BS619" s="445">
        <f t="shared" si="237"/>
        <v>0</v>
      </c>
      <c r="BT619" s="442"/>
      <c r="BU619" s="443"/>
      <c r="BV619" s="444">
        <f t="shared" si="238"/>
        <v>0</v>
      </c>
      <c r="BW619" s="307"/>
      <c r="BX619" s="307"/>
      <c r="BY619" s="449">
        <f t="shared" si="239"/>
        <v>0</v>
      </c>
    </row>
    <row r="620" spans="1:77" s="308" customFormat="1" ht="12.75" customHeight="1">
      <c r="A620" s="373" t="s">
        <v>309</v>
      </c>
      <c r="B620" s="374" t="s">
        <v>143</v>
      </c>
      <c r="C620" s="374"/>
      <c r="D620" s="375">
        <v>229832</v>
      </c>
      <c r="E620" s="323">
        <v>10</v>
      </c>
      <c r="F620" s="453">
        <v>1</v>
      </c>
      <c r="G620" s="454">
        <v>65832</v>
      </c>
      <c r="H620" s="439">
        <f t="shared" si="216"/>
        <v>65832</v>
      </c>
      <c r="I620" s="311">
        <v>1</v>
      </c>
      <c r="J620" s="311">
        <v>66729</v>
      </c>
      <c r="K620" s="441">
        <f t="shared" si="217"/>
        <v>66729</v>
      </c>
      <c r="L620" s="442">
        <v>2</v>
      </c>
      <c r="M620" s="443">
        <v>58761.5</v>
      </c>
      <c r="N620" s="444">
        <f t="shared" si="218"/>
        <v>117523</v>
      </c>
      <c r="O620" s="307">
        <v>1</v>
      </c>
      <c r="P620" s="307">
        <v>61832</v>
      </c>
      <c r="Q620" s="445">
        <f t="shared" si="219"/>
        <v>61832</v>
      </c>
      <c r="R620" s="442">
        <v>9</v>
      </c>
      <c r="S620" s="443">
        <v>50271.555555555555</v>
      </c>
      <c r="T620" s="444">
        <f t="shared" si="220"/>
        <v>452444</v>
      </c>
      <c r="U620" s="307">
        <v>10</v>
      </c>
      <c r="V620" s="307">
        <v>51646.3</v>
      </c>
      <c r="W620" s="441">
        <f t="shared" si="221"/>
        <v>516463</v>
      </c>
      <c r="X620" s="442">
        <v>21</v>
      </c>
      <c r="Y620" s="443">
        <v>43258.619047619046</v>
      </c>
      <c r="Z620" s="444">
        <f t="shared" si="222"/>
        <v>908431</v>
      </c>
      <c r="AA620" s="307">
        <v>20</v>
      </c>
      <c r="AB620" s="307">
        <v>44891.85</v>
      </c>
      <c r="AC620" s="445">
        <f t="shared" si="223"/>
        <v>897837</v>
      </c>
      <c r="AD620" s="442"/>
      <c r="AE620" s="443"/>
      <c r="AF620" s="444">
        <f t="shared" si="224"/>
        <v>0</v>
      </c>
      <c r="AG620" s="307"/>
      <c r="AH620" s="307"/>
      <c r="AI620" s="445">
        <f t="shared" si="225"/>
        <v>0</v>
      </c>
      <c r="AJ620" s="446"/>
      <c r="AK620" s="443"/>
      <c r="AL620" s="444">
        <f t="shared" si="226"/>
        <v>0</v>
      </c>
      <c r="AM620" s="307"/>
      <c r="AN620" s="307"/>
      <c r="AO620" s="447">
        <f t="shared" si="227"/>
        <v>0</v>
      </c>
      <c r="AP620" s="448"/>
      <c r="AQ620" s="443"/>
      <c r="AR620" s="444">
        <f t="shared" si="228"/>
        <v>0</v>
      </c>
      <c r="AS620" s="307"/>
      <c r="AT620" s="307"/>
      <c r="AU620" s="441">
        <f t="shared" si="229"/>
        <v>0</v>
      </c>
      <c r="AV620" s="442">
        <v>2</v>
      </c>
      <c r="AW620" s="443">
        <v>67880.5</v>
      </c>
      <c r="AX620" s="444">
        <f t="shared" si="230"/>
        <v>111079.6502</v>
      </c>
      <c r="AY620" s="307">
        <v>1</v>
      </c>
      <c r="AZ620" s="307">
        <v>67771</v>
      </c>
      <c r="BA620" s="445">
        <f t="shared" si="231"/>
        <v>55450.232200000006</v>
      </c>
      <c r="BB620" s="442">
        <v>1</v>
      </c>
      <c r="BC620" s="443">
        <v>61936</v>
      </c>
      <c r="BD620" s="444">
        <f t="shared" si="232"/>
        <v>50676.035200000006</v>
      </c>
      <c r="BE620" s="307">
        <v>2</v>
      </c>
      <c r="BF620" s="307">
        <v>66400.5</v>
      </c>
      <c r="BG620" s="445">
        <f t="shared" si="233"/>
        <v>108657.7782</v>
      </c>
      <c r="BH620" s="442">
        <v>9</v>
      </c>
      <c r="BI620" s="443">
        <v>56382.777777777781</v>
      </c>
      <c r="BJ620" s="444">
        <f t="shared" si="234"/>
        <v>415191.49900000001</v>
      </c>
      <c r="BK620" s="307">
        <v>11</v>
      </c>
      <c r="BL620" s="307">
        <v>55211.272727272728</v>
      </c>
      <c r="BM620" s="445">
        <f t="shared" si="235"/>
        <v>496912.49680000002</v>
      </c>
      <c r="BN620" s="442"/>
      <c r="BO620" s="443"/>
      <c r="BP620" s="444">
        <f t="shared" si="236"/>
        <v>0</v>
      </c>
      <c r="BQ620" s="307"/>
      <c r="BR620" s="307"/>
      <c r="BS620" s="445">
        <f t="shared" si="237"/>
        <v>0</v>
      </c>
      <c r="BT620" s="442"/>
      <c r="BU620" s="443"/>
      <c r="BV620" s="444">
        <f t="shared" si="238"/>
        <v>0</v>
      </c>
      <c r="BW620" s="307"/>
      <c r="BX620" s="307"/>
      <c r="BY620" s="449">
        <f t="shared" si="239"/>
        <v>0</v>
      </c>
    </row>
    <row r="621" spans="1:77" s="309" customFormat="1" ht="13.5">
      <c r="A621" s="382" t="s">
        <v>309</v>
      </c>
      <c r="B621" s="383" t="s">
        <v>911</v>
      </c>
      <c r="C621" s="555" t="s">
        <v>1135</v>
      </c>
      <c r="D621" s="384"/>
      <c r="E621" s="323">
        <v>99</v>
      </c>
      <c r="F621" s="453"/>
      <c r="G621" s="454"/>
      <c r="H621" s="439">
        <f t="shared" si="216"/>
        <v>0</v>
      </c>
      <c r="I621" s="311"/>
      <c r="J621" s="311"/>
      <c r="K621" s="441">
        <f t="shared" si="217"/>
        <v>0</v>
      </c>
      <c r="L621" s="442"/>
      <c r="M621" s="443"/>
      <c r="N621" s="444">
        <f t="shared" si="218"/>
        <v>0</v>
      </c>
      <c r="O621" s="307"/>
      <c r="P621" s="307"/>
      <c r="Q621" s="445">
        <f t="shared" si="219"/>
        <v>0</v>
      </c>
      <c r="R621" s="442"/>
      <c r="S621" s="443"/>
      <c r="T621" s="444">
        <f t="shared" si="220"/>
        <v>0</v>
      </c>
      <c r="U621" s="307"/>
      <c r="V621" s="307"/>
      <c r="W621" s="441">
        <f t="shared" si="221"/>
        <v>0</v>
      </c>
      <c r="X621" s="442"/>
      <c r="Y621" s="443"/>
      <c r="Z621" s="444">
        <f t="shared" si="222"/>
        <v>0</v>
      </c>
      <c r="AA621" s="307"/>
      <c r="AB621" s="307"/>
      <c r="AC621" s="445">
        <f t="shared" si="223"/>
        <v>0</v>
      </c>
      <c r="AD621" s="442"/>
      <c r="AE621" s="443"/>
      <c r="AF621" s="444">
        <f t="shared" si="224"/>
        <v>0</v>
      </c>
      <c r="AG621" s="307"/>
      <c r="AH621" s="307"/>
      <c r="AI621" s="445">
        <f t="shared" si="225"/>
        <v>0</v>
      </c>
      <c r="AJ621" s="446"/>
      <c r="AK621" s="443"/>
      <c r="AL621" s="444">
        <f t="shared" si="226"/>
        <v>0</v>
      </c>
      <c r="AM621" s="307"/>
      <c r="AN621" s="307"/>
      <c r="AO621" s="447">
        <f t="shared" si="227"/>
        <v>0</v>
      </c>
      <c r="AP621" s="448"/>
      <c r="AQ621" s="443"/>
      <c r="AR621" s="444">
        <f t="shared" si="228"/>
        <v>0</v>
      </c>
      <c r="AS621" s="307"/>
      <c r="AT621" s="307"/>
      <c r="AU621" s="441">
        <f t="shared" si="229"/>
        <v>0</v>
      </c>
      <c r="AV621" s="442"/>
      <c r="AW621" s="443"/>
      <c r="AX621" s="444">
        <f t="shared" si="230"/>
        <v>0</v>
      </c>
      <c r="AY621" s="307"/>
      <c r="AZ621" s="307"/>
      <c r="BA621" s="445">
        <f t="shared" si="231"/>
        <v>0</v>
      </c>
      <c r="BB621" s="442"/>
      <c r="BC621" s="443"/>
      <c r="BD621" s="444">
        <f t="shared" si="232"/>
        <v>0</v>
      </c>
      <c r="BE621" s="307"/>
      <c r="BF621" s="307"/>
      <c r="BG621" s="445">
        <f t="shared" si="233"/>
        <v>0</v>
      </c>
      <c r="BH621" s="442"/>
      <c r="BI621" s="443"/>
      <c r="BJ621" s="444">
        <f t="shared" si="234"/>
        <v>0</v>
      </c>
      <c r="BK621" s="307"/>
      <c r="BL621" s="307"/>
      <c r="BM621" s="445">
        <f t="shared" si="235"/>
        <v>0</v>
      </c>
      <c r="BN621" s="442"/>
      <c r="BO621" s="443"/>
      <c r="BP621" s="444">
        <f t="shared" si="236"/>
        <v>0</v>
      </c>
      <c r="BQ621" s="307"/>
      <c r="BR621" s="307"/>
      <c r="BS621" s="445">
        <f t="shared" si="237"/>
        <v>0</v>
      </c>
      <c r="BT621" s="442"/>
      <c r="BU621" s="443"/>
      <c r="BV621" s="444">
        <f t="shared" si="238"/>
        <v>0</v>
      </c>
      <c r="BW621" s="307"/>
      <c r="BX621" s="307"/>
      <c r="BY621" s="449">
        <f t="shared" si="239"/>
        <v>0</v>
      </c>
    </row>
    <row r="622" spans="1:77" s="309" customFormat="1" ht="13.5">
      <c r="A622" s="382" t="s">
        <v>309</v>
      </c>
      <c r="B622" s="383" t="s">
        <v>912</v>
      </c>
      <c r="C622" s="555" t="s">
        <v>1136</v>
      </c>
      <c r="D622" s="560">
        <v>870501</v>
      </c>
      <c r="E622" s="323">
        <v>99</v>
      </c>
      <c r="F622" s="453"/>
      <c r="G622" s="454"/>
      <c r="H622" s="439">
        <f t="shared" si="216"/>
        <v>0</v>
      </c>
      <c r="I622" s="311"/>
      <c r="J622" s="311"/>
      <c r="K622" s="441">
        <f t="shared" si="217"/>
        <v>0</v>
      </c>
      <c r="L622" s="442"/>
      <c r="M622" s="443"/>
      <c r="N622" s="444">
        <f t="shared" si="218"/>
        <v>0</v>
      </c>
      <c r="O622" s="307"/>
      <c r="P622" s="307"/>
      <c r="Q622" s="445">
        <f t="shared" si="219"/>
        <v>0</v>
      </c>
      <c r="R622" s="442"/>
      <c r="S622" s="443"/>
      <c r="T622" s="444">
        <f t="shared" si="220"/>
        <v>0</v>
      </c>
      <c r="U622" s="307"/>
      <c r="V622" s="307"/>
      <c r="W622" s="441">
        <f t="shared" si="221"/>
        <v>0</v>
      </c>
      <c r="X622" s="442"/>
      <c r="Y622" s="443"/>
      <c r="Z622" s="444">
        <f t="shared" si="222"/>
        <v>0</v>
      </c>
      <c r="AA622" s="307"/>
      <c r="AB622" s="307"/>
      <c r="AC622" s="445">
        <f t="shared" si="223"/>
        <v>0</v>
      </c>
      <c r="AD622" s="442"/>
      <c r="AE622" s="443"/>
      <c r="AF622" s="444">
        <f t="shared" si="224"/>
        <v>0</v>
      </c>
      <c r="AG622" s="307"/>
      <c r="AH622" s="307"/>
      <c r="AI622" s="445">
        <f t="shared" si="225"/>
        <v>0</v>
      </c>
      <c r="AJ622" s="446"/>
      <c r="AK622" s="443"/>
      <c r="AL622" s="444">
        <f t="shared" si="226"/>
        <v>0</v>
      </c>
      <c r="AM622" s="307"/>
      <c r="AN622" s="307"/>
      <c r="AO622" s="447">
        <f t="shared" si="227"/>
        <v>0</v>
      </c>
      <c r="AP622" s="448"/>
      <c r="AQ622" s="443"/>
      <c r="AR622" s="444">
        <f t="shared" si="228"/>
        <v>0</v>
      </c>
      <c r="AS622" s="307"/>
      <c r="AT622" s="307"/>
      <c r="AU622" s="441">
        <f t="shared" si="229"/>
        <v>0</v>
      </c>
      <c r="AV622" s="442"/>
      <c r="AW622" s="443"/>
      <c r="AX622" s="444">
        <f t="shared" si="230"/>
        <v>0</v>
      </c>
      <c r="AY622" s="307"/>
      <c r="AZ622" s="307"/>
      <c r="BA622" s="445">
        <f t="shared" si="231"/>
        <v>0</v>
      </c>
      <c r="BB622" s="442"/>
      <c r="BC622" s="443"/>
      <c r="BD622" s="444">
        <f t="shared" si="232"/>
        <v>0</v>
      </c>
      <c r="BE622" s="307"/>
      <c r="BF622" s="307"/>
      <c r="BG622" s="445">
        <f t="shared" si="233"/>
        <v>0</v>
      </c>
      <c r="BH622" s="442"/>
      <c r="BI622" s="443"/>
      <c r="BJ622" s="444">
        <f t="shared" si="234"/>
        <v>0</v>
      </c>
      <c r="BK622" s="307"/>
      <c r="BL622" s="307"/>
      <c r="BM622" s="445">
        <f t="shared" si="235"/>
        <v>0</v>
      </c>
      <c r="BN622" s="442"/>
      <c r="BO622" s="443"/>
      <c r="BP622" s="444">
        <f t="shared" si="236"/>
        <v>0</v>
      </c>
      <c r="BQ622" s="307"/>
      <c r="BR622" s="307"/>
      <c r="BS622" s="445">
        <f t="shared" si="237"/>
        <v>0</v>
      </c>
      <c r="BT622" s="442"/>
      <c r="BU622" s="443"/>
      <c r="BV622" s="444">
        <f t="shared" si="238"/>
        <v>0</v>
      </c>
      <c r="BW622" s="307"/>
      <c r="BX622" s="307"/>
      <c r="BY622" s="449">
        <f t="shared" si="239"/>
        <v>0</v>
      </c>
    </row>
    <row r="623" spans="1:77" s="309" customFormat="1" ht="13.5">
      <c r="A623" s="382" t="s">
        <v>309</v>
      </c>
      <c r="B623" s="383" t="s">
        <v>913</v>
      </c>
      <c r="C623" s="555" t="s">
        <v>1137</v>
      </c>
      <c r="D623" s="384"/>
      <c r="E623" s="323">
        <v>99</v>
      </c>
      <c r="F623" s="453"/>
      <c r="G623" s="454"/>
      <c r="H623" s="439">
        <f t="shared" si="216"/>
        <v>0</v>
      </c>
      <c r="I623" s="311">
        <v>186</v>
      </c>
      <c r="J623" s="311">
        <v>134854.75806451612</v>
      </c>
      <c r="K623" s="441">
        <f t="shared" si="217"/>
        <v>25082985</v>
      </c>
      <c r="L623" s="442"/>
      <c r="M623" s="443"/>
      <c r="N623" s="444">
        <f t="shared" si="218"/>
        <v>0</v>
      </c>
      <c r="O623" s="307">
        <v>116</v>
      </c>
      <c r="P623" s="307">
        <v>105920.1724137931</v>
      </c>
      <c r="Q623" s="445">
        <f t="shared" si="219"/>
        <v>12286740</v>
      </c>
      <c r="R623" s="442"/>
      <c r="S623" s="443"/>
      <c r="T623" s="444">
        <f t="shared" si="220"/>
        <v>0</v>
      </c>
      <c r="U623" s="307">
        <v>101</v>
      </c>
      <c r="V623" s="307">
        <v>92433.415841584152</v>
      </c>
      <c r="W623" s="441">
        <f t="shared" si="221"/>
        <v>9335775</v>
      </c>
      <c r="X623" s="442"/>
      <c r="Y623" s="443"/>
      <c r="Z623" s="444">
        <f t="shared" si="222"/>
        <v>0</v>
      </c>
      <c r="AA623" s="307"/>
      <c r="AB623" s="307"/>
      <c r="AC623" s="445">
        <f t="shared" si="223"/>
        <v>0</v>
      </c>
      <c r="AD623" s="442"/>
      <c r="AE623" s="443"/>
      <c r="AF623" s="444">
        <f t="shared" si="224"/>
        <v>0</v>
      </c>
      <c r="AG623" s="307">
        <v>177</v>
      </c>
      <c r="AH623" s="307">
        <v>63568.310734463274</v>
      </c>
      <c r="AI623" s="445">
        <f t="shared" si="225"/>
        <v>11251591</v>
      </c>
      <c r="AJ623" s="446"/>
      <c r="AK623" s="443"/>
      <c r="AL623" s="444">
        <f t="shared" si="226"/>
        <v>0</v>
      </c>
      <c r="AM623" s="307">
        <v>8</v>
      </c>
      <c r="AN623" s="307">
        <v>84603.875</v>
      </c>
      <c r="AO623" s="447">
        <f t="shared" si="227"/>
        <v>676831</v>
      </c>
      <c r="AP623" s="448"/>
      <c r="AQ623" s="443"/>
      <c r="AR623" s="444">
        <f t="shared" si="228"/>
        <v>0</v>
      </c>
      <c r="AS623" s="307"/>
      <c r="AT623" s="307"/>
      <c r="AU623" s="441">
        <f t="shared" si="229"/>
        <v>0</v>
      </c>
      <c r="AV623" s="442"/>
      <c r="AW623" s="443"/>
      <c r="AX623" s="444">
        <f t="shared" si="230"/>
        <v>0</v>
      </c>
      <c r="AY623" s="307"/>
      <c r="AZ623" s="307"/>
      <c r="BA623" s="445">
        <f t="shared" si="231"/>
        <v>0</v>
      </c>
      <c r="BB623" s="442"/>
      <c r="BC623" s="443"/>
      <c r="BD623" s="444">
        <f t="shared" si="232"/>
        <v>0</v>
      </c>
      <c r="BE623" s="307"/>
      <c r="BF623" s="307"/>
      <c r="BG623" s="445">
        <f t="shared" si="233"/>
        <v>0</v>
      </c>
      <c r="BH623" s="442"/>
      <c r="BI623" s="443"/>
      <c r="BJ623" s="444">
        <f t="shared" si="234"/>
        <v>0</v>
      </c>
      <c r="BK623" s="307"/>
      <c r="BL623" s="307"/>
      <c r="BM623" s="445">
        <f t="shared" si="235"/>
        <v>0</v>
      </c>
      <c r="BN623" s="442"/>
      <c r="BO623" s="443"/>
      <c r="BP623" s="444">
        <f t="shared" si="236"/>
        <v>0</v>
      </c>
      <c r="BQ623" s="307"/>
      <c r="BR623" s="307"/>
      <c r="BS623" s="445">
        <f t="shared" si="237"/>
        <v>0</v>
      </c>
      <c r="BT623" s="442"/>
      <c r="BU623" s="443"/>
      <c r="BV623" s="444">
        <f t="shared" si="238"/>
        <v>0</v>
      </c>
      <c r="BW623" s="307"/>
      <c r="BX623" s="307"/>
      <c r="BY623" s="449">
        <f t="shared" si="239"/>
        <v>0</v>
      </c>
    </row>
    <row r="624" spans="1:77" s="308" customFormat="1" ht="12.75" customHeight="1">
      <c r="A624" s="329" t="s">
        <v>344</v>
      </c>
      <c r="B624" s="385" t="s">
        <v>523</v>
      </c>
      <c r="C624" s="385"/>
      <c r="D624" s="386">
        <v>232186</v>
      </c>
      <c r="E624" s="327">
        <v>1</v>
      </c>
      <c r="F624" s="453">
        <v>299</v>
      </c>
      <c r="G624" s="454">
        <v>125238</v>
      </c>
      <c r="H624" s="439">
        <f t="shared" si="216"/>
        <v>37446162</v>
      </c>
      <c r="I624" s="311">
        <v>309</v>
      </c>
      <c r="J624" s="311">
        <v>125447</v>
      </c>
      <c r="K624" s="441">
        <f t="shared" si="217"/>
        <v>38763123</v>
      </c>
      <c r="L624" s="442">
        <v>342</v>
      </c>
      <c r="M624" s="443">
        <v>82933</v>
      </c>
      <c r="N624" s="444">
        <f t="shared" si="218"/>
        <v>28363086</v>
      </c>
      <c r="O624" s="307">
        <v>358</v>
      </c>
      <c r="P624" s="307">
        <v>83567</v>
      </c>
      <c r="Q624" s="445">
        <f t="shared" si="219"/>
        <v>29916986</v>
      </c>
      <c r="R624" s="442">
        <v>368</v>
      </c>
      <c r="S624" s="443">
        <v>69676</v>
      </c>
      <c r="T624" s="444">
        <f t="shared" si="220"/>
        <v>25640768</v>
      </c>
      <c r="U624" s="307">
        <v>347</v>
      </c>
      <c r="V624" s="307">
        <v>68864</v>
      </c>
      <c r="W624" s="441">
        <f t="shared" si="221"/>
        <v>23895808</v>
      </c>
      <c r="X624" s="442">
        <v>60</v>
      </c>
      <c r="Y624" s="443">
        <v>55208</v>
      </c>
      <c r="Z624" s="444">
        <f t="shared" si="222"/>
        <v>3312480</v>
      </c>
      <c r="AA624" s="307">
        <v>62</v>
      </c>
      <c r="AB624" s="307">
        <v>55340</v>
      </c>
      <c r="AC624" s="445">
        <f t="shared" si="223"/>
        <v>3431080</v>
      </c>
      <c r="AD624" s="442"/>
      <c r="AE624" s="443"/>
      <c r="AF624" s="444">
        <f t="shared" si="224"/>
        <v>0</v>
      </c>
      <c r="AG624" s="307"/>
      <c r="AH624" s="307"/>
      <c r="AI624" s="445">
        <f t="shared" si="225"/>
        <v>0</v>
      </c>
      <c r="AJ624" s="446"/>
      <c r="AK624" s="443"/>
      <c r="AL624" s="444">
        <f t="shared" si="226"/>
        <v>0</v>
      </c>
      <c r="AM624" s="307"/>
      <c r="AN624" s="307"/>
      <c r="AO624" s="447">
        <f t="shared" si="227"/>
        <v>0</v>
      </c>
      <c r="AP624" s="448">
        <v>25</v>
      </c>
      <c r="AQ624" s="443">
        <v>171607</v>
      </c>
      <c r="AR624" s="444">
        <f t="shared" si="228"/>
        <v>3510221.1850000001</v>
      </c>
      <c r="AS624" s="307">
        <v>29</v>
      </c>
      <c r="AT624" s="307">
        <v>179882</v>
      </c>
      <c r="AU624" s="441">
        <f t="shared" si="229"/>
        <v>4268204.1195999999</v>
      </c>
      <c r="AV624" s="442">
        <v>20</v>
      </c>
      <c r="AW624" s="443">
        <v>89696</v>
      </c>
      <c r="AX624" s="444">
        <f t="shared" si="230"/>
        <v>1467785.344</v>
      </c>
      <c r="AY624" s="307">
        <v>15</v>
      </c>
      <c r="AZ624" s="307">
        <v>89427</v>
      </c>
      <c r="BA624" s="445">
        <f t="shared" si="231"/>
        <v>1097537.571</v>
      </c>
      <c r="BB624" s="442">
        <v>17</v>
      </c>
      <c r="BC624" s="443">
        <v>82489</v>
      </c>
      <c r="BD624" s="444">
        <f t="shared" si="232"/>
        <v>1147372.4966</v>
      </c>
      <c r="BE624" s="307">
        <v>17</v>
      </c>
      <c r="BF624" s="307">
        <v>75638</v>
      </c>
      <c r="BG624" s="445">
        <f t="shared" si="233"/>
        <v>1052079.1972000001</v>
      </c>
      <c r="BH624" s="442">
        <v>7</v>
      </c>
      <c r="BI624" s="443">
        <v>74191</v>
      </c>
      <c r="BJ624" s="444">
        <f t="shared" si="234"/>
        <v>424921.53340000001</v>
      </c>
      <c r="BK624" s="307">
        <v>7</v>
      </c>
      <c r="BL624" s="307">
        <v>73718</v>
      </c>
      <c r="BM624" s="445">
        <f t="shared" si="235"/>
        <v>422212.47320000001</v>
      </c>
      <c r="BN624" s="442"/>
      <c r="BO624" s="443"/>
      <c r="BP624" s="444">
        <f t="shared" si="236"/>
        <v>0</v>
      </c>
      <c r="BQ624" s="307"/>
      <c r="BR624" s="307"/>
      <c r="BS624" s="445">
        <f t="shared" si="237"/>
        <v>0</v>
      </c>
      <c r="BT624" s="442"/>
      <c r="BU624" s="443"/>
      <c r="BV624" s="444">
        <f t="shared" si="238"/>
        <v>0</v>
      </c>
      <c r="BW624" s="307"/>
      <c r="BX624" s="307"/>
      <c r="BY624" s="449">
        <f t="shared" si="239"/>
        <v>0</v>
      </c>
    </row>
    <row r="625" spans="1:77" s="308" customFormat="1" ht="12.75" customHeight="1">
      <c r="A625" s="329" t="s">
        <v>344</v>
      </c>
      <c r="B625" s="387" t="s">
        <v>524</v>
      </c>
      <c r="C625" s="387"/>
      <c r="D625" s="388">
        <v>232982</v>
      </c>
      <c r="E625" s="327">
        <v>1</v>
      </c>
      <c r="F625" s="453">
        <v>131</v>
      </c>
      <c r="G625" s="454">
        <v>102921</v>
      </c>
      <c r="H625" s="439">
        <f t="shared" si="216"/>
        <v>13482651</v>
      </c>
      <c r="I625" s="311">
        <v>140</v>
      </c>
      <c r="J625" s="311">
        <v>101918</v>
      </c>
      <c r="K625" s="441">
        <f t="shared" si="217"/>
        <v>14268520</v>
      </c>
      <c r="L625" s="442">
        <v>172</v>
      </c>
      <c r="M625" s="443">
        <v>72758</v>
      </c>
      <c r="N625" s="444">
        <f t="shared" si="218"/>
        <v>12514376</v>
      </c>
      <c r="O625" s="307">
        <v>178</v>
      </c>
      <c r="P625" s="307">
        <v>73358</v>
      </c>
      <c r="Q625" s="445">
        <f t="shared" si="219"/>
        <v>13057724</v>
      </c>
      <c r="R625" s="442">
        <v>138</v>
      </c>
      <c r="S625" s="443">
        <v>64446</v>
      </c>
      <c r="T625" s="444">
        <f t="shared" si="220"/>
        <v>8893548</v>
      </c>
      <c r="U625" s="307">
        <v>144</v>
      </c>
      <c r="V625" s="307">
        <v>66590</v>
      </c>
      <c r="W625" s="441">
        <f t="shared" si="221"/>
        <v>9588960</v>
      </c>
      <c r="X625" s="442">
        <v>31</v>
      </c>
      <c r="Y625" s="443">
        <v>43945</v>
      </c>
      <c r="Z625" s="444">
        <f t="shared" si="222"/>
        <v>1362295</v>
      </c>
      <c r="AA625" s="307">
        <v>33</v>
      </c>
      <c r="AB625" s="307">
        <v>44726</v>
      </c>
      <c r="AC625" s="445">
        <f t="shared" si="223"/>
        <v>1475958</v>
      </c>
      <c r="AD625" s="442">
        <v>120</v>
      </c>
      <c r="AE625" s="443">
        <v>50025</v>
      </c>
      <c r="AF625" s="444">
        <f t="shared" si="224"/>
        <v>6003000</v>
      </c>
      <c r="AG625" s="307">
        <v>125</v>
      </c>
      <c r="AH625" s="307">
        <v>49694</v>
      </c>
      <c r="AI625" s="445">
        <f t="shared" si="225"/>
        <v>6211750</v>
      </c>
      <c r="AJ625" s="446"/>
      <c r="AK625" s="443"/>
      <c r="AL625" s="444">
        <f t="shared" si="226"/>
        <v>0</v>
      </c>
      <c r="AM625" s="307"/>
      <c r="AN625" s="307"/>
      <c r="AO625" s="447">
        <f t="shared" si="227"/>
        <v>0</v>
      </c>
      <c r="AP625" s="448">
        <v>57</v>
      </c>
      <c r="AQ625" s="443">
        <v>124829</v>
      </c>
      <c r="AR625" s="444">
        <f t="shared" si="228"/>
        <v>5821700.0046000006</v>
      </c>
      <c r="AS625" s="307">
        <v>60</v>
      </c>
      <c r="AT625" s="307">
        <v>133719</v>
      </c>
      <c r="AU625" s="441">
        <f t="shared" si="229"/>
        <v>6564533.148</v>
      </c>
      <c r="AV625" s="442">
        <v>22</v>
      </c>
      <c r="AW625" s="443">
        <v>93692</v>
      </c>
      <c r="AX625" s="444">
        <f t="shared" si="230"/>
        <v>1686493.4768000001</v>
      </c>
      <c r="AY625" s="307">
        <v>21</v>
      </c>
      <c r="AZ625" s="307">
        <v>94967</v>
      </c>
      <c r="BA625" s="445">
        <f t="shared" si="231"/>
        <v>1631741.9874</v>
      </c>
      <c r="BB625" s="442">
        <v>5</v>
      </c>
      <c r="BC625" s="443">
        <v>69014</v>
      </c>
      <c r="BD625" s="444">
        <f t="shared" si="232"/>
        <v>282336.27400000003</v>
      </c>
      <c r="BE625" s="307">
        <v>5</v>
      </c>
      <c r="BF625" s="307">
        <v>82736</v>
      </c>
      <c r="BG625" s="445">
        <f t="shared" si="233"/>
        <v>338472.97600000002</v>
      </c>
      <c r="BH625" s="442">
        <v>1</v>
      </c>
      <c r="BI625" s="443">
        <v>63654</v>
      </c>
      <c r="BJ625" s="444">
        <f t="shared" si="234"/>
        <v>52081.702799999999</v>
      </c>
      <c r="BK625" s="307">
        <v>1</v>
      </c>
      <c r="BL625" s="307">
        <v>63654</v>
      </c>
      <c r="BM625" s="445">
        <f t="shared" si="235"/>
        <v>52081.702799999999</v>
      </c>
      <c r="BN625" s="442">
        <v>19</v>
      </c>
      <c r="BO625" s="443">
        <v>55856</v>
      </c>
      <c r="BP625" s="444">
        <f t="shared" si="236"/>
        <v>868326.20480000007</v>
      </c>
      <c r="BQ625" s="307">
        <v>16</v>
      </c>
      <c r="BR625" s="307">
        <v>50957</v>
      </c>
      <c r="BS625" s="445">
        <f t="shared" si="237"/>
        <v>667088.27840000007</v>
      </c>
      <c r="BT625" s="442"/>
      <c r="BU625" s="443"/>
      <c r="BV625" s="444">
        <f t="shared" si="238"/>
        <v>0</v>
      </c>
      <c r="BW625" s="307"/>
      <c r="BX625" s="307"/>
      <c r="BY625" s="449">
        <f t="shared" si="239"/>
        <v>0</v>
      </c>
    </row>
    <row r="626" spans="1:77" s="308" customFormat="1" ht="12.75" customHeight="1">
      <c r="A626" s="329" t="s">
        <v>344</v>
      </c>
      <c r="B626" s="330" t="s">
        <v>520</v>
      </c>
      <c r="C626" s="330"/>
      <c r="D626" s="329">
        <v>234076</v>
      </c>
      <c r="E626" s="456">
        <v>1</v>
      </c>
      <c r="F626" s="453">
        <v>391</v>
      </c>
      <c r="G626" s="454">
        <v>135241</v>
      </c>
      <c r="H626" s="439">
        <f t="shared" si="216"/>
        <v>52879231</v>
      </c>
      <c r="I626" s="311">
        <v>404</v>
      </c>
      <c r="J626" s="311">
        <v>138189</v>
      </c>
      <c r="K626" s="441">
        <f t="shared" si="217"/>
        <v>55828356</v>
      </c>
      <c r="L626" s="442">
        <v>250</v>
      </c>
      <c r="M626" s="443">
        <v>95315</v>
      </c>
      <c r="N626" s="444">
        <f t="shared" si="218"/>
        <v>23828750</v>
      </c>
      <c r="O626" s="307">
        <v>246</v>
      </c>
      <c r="P626" s="307">
        <v>95237</v>
      </c>
      <c r="Q626" s="445">
        <f t="shared" si="219"/>
        <v>23428302</v>
      </c>
      <c r="R626" s="442">
        <v>209</v>
      </c>
      <c r="S626" s="443">
        <v>75147</v>
      </c>
      <c r="T626" s="444">
        <f t="shared" si="220"/>
        <v>15705723</v>
      </c>
      <c r="U626" s="307">
        <v>194</v>
      </c>
      <c r="V626" s="307">
        <v>76759</v>
      </c>
      <c r="W626" s="441">
        <f t="shared" si="221"/>
        <v>14891246</v>
      </c>
      <c r="X626" s="442">
        <v>9</v>
      </c>
      <c r="Y626" s="443">
        <v>53778</v>
      </c>
      <c r="Z626" s="444">
        <f t="shared" si="222"/>
        <v>484002</v>
      </c>
      <c r="AA626" s="307">
        <v>5</v>
      </c>
      <c r="AB626" s="307">
        <v>51160</v>
      </c>
      <c r="AC626" s="445">
        <f t="shared" si="223"/>
        <v>255800</v>
      </c>
      <c r="AD626" s="442">
        <v>60</v>
      </c>
      <c r="AE626" s="443">
        <v>52263</v>
      </c>
      <c r="AF626" s="444">
        <f t="shared" si="224"/>
        <v>3135780</v>
      </c>
      <c r="AG626" s="307">
        <v>57</v>
      </c>
      <c r="AH626" s="307">
        <v>52928</v>
      </c>
      <c r="AI626" s="445">
        <f t="shared" si="225"/>
        <v>3016896</v>
      </c>
      <c r="AJ626" s="446"/>
      <c r="AK626" s="443"/>
      <c r="AL626" s="444">
        <f t="shared" si="226"/>
        <v>0</v>
      </c>
      <c r="AM626" s="307"/>
      <c r="AN626" s="307"/>
      <c r="AO626" s="447">
        <f t="shared" si="227"/>
        <v>0</v>
      </c>
      <c r="AP626" s="448">
        <v>123</v>
      </c>
      <c r="AQ626" s="443">
        <v>167649</v>
      </c>
      <c r="AR626" s="444">
        <f t="shared" si="228"/>
        <v>16871960.6514</v>
      </c>
      <c r="AS626" s="307">
        <v>118</v>
      </c>
      <c r="AT626" s="307">
        <v>163611</v>
      </c>
      <c r="AU626" s="441">
        <f t="shared" si="229"/>
        <v>15796249.3836</v>
      </c>
      <c r="AV626" s="442">
        <v>65</v>
      </c>
      <c r="AW626" s="443">
        <v>104723</v>
      </c>
      <c r="AX626" s="444">
        <f t="shared" si="230"/>
        <v>5569483.3090000004</v>
      </c>
      <c r="AY626" s="307">
        <v>65</v>
      </c>
      <c r="AZ626" s="307">
        <v>100620</v>
      </c>
      <c r="BA626" s="445">
        <f t="shared" si="231"/>
        <v>5351273.46</v>
      </c>
      <c r="BB626" s="442">
        <v>48</v>
      </c>
      <c r="BC626" s="443">
        <v>93931</v>
      </c>
      <c r="BD626" s="444">
        <f t="shared" si="232"/>
        <v>3689008.5216000001</v>
      </c>
      <c r="BE626" s="307">
        <v>38</v>
      </c>
      <c r="BF626" s="307">
        <v>93032</v>
      </c>
      <c r="BG626" s="445">
        <f t="shared" si="233"/>
        <v>2892513.7312000003</v>
      </c>
      <c r="BH626" s="442">
        <v>1</v>
      </c>
      <c r="BI626" s="443">
        <v>60000</v>
      </c>
      <c r="BJ626" s="444">
        <f t="shared" si="234"/>
        <v>49092</v>
      </c>
      <c r="BK626" s="307">
        <v>1</v>
      </c>
      <c r="BL626" s="307">
        <v>60000</v>
      </c>
      <c r="BM626" s="445">
        <f t="shared" si="235"/>
        <v>49092</v>
      </c>
      <c r="BN626" s="442">
        <v>27</v>
      </c>
      <c r="BO626" s="443">
        <v>66920</v>
      </c>
      <c r="BP626" s="444">
        <f t="shared" si="236"/>
        <v>1478356.4880000001</v>
      </c>
      <c r="BQ626" s="307">
        <v>24</v>
      </c>
      <c r="BR626" s="307">
        <v>66218</v>
      </c>
      <c r="BS626" s="445">
        <f t="shared" si="237"/>
        <v>1300309.6224</v>
      </c>
      <c r="BT626" s="442"/>
      <c r="BU626" s="443"/>
      <c r="BV626" s="444">
        <f t="shared" si="238"/>
        <v>0</v>
      </c>
      <c r="BW626" s="307"/>
      <c r="BX626" s="307"/>
      <c r="BY626" s="449">
        <f t="shared" si="239"/>
        <v>0</v>
      </c>
    </row>
    <row r="627" spans="1:77" s="308" customFormat="1" ht="12.75" customHeight="1">
      <c r="A627" s="329" t="s">
        <v>344</v>
      </c>
      <c r="B627" s="330" t="s">
        <v>521</v>
      </c>
      <c r="C627" s="330"/>
      <c r="D627" s="329">
        <v>233921</v>
      </c>
      <c r="E627" s="456">
        <v>1</v>
      </c>
      <c r="F627" s="453">
        <v>329</v>
      </c>
      <c r="G627" s="454">
        <v>111492</v>
      </c>
      <c r="H627" s="439">
        <f t="shared" si="216"/>
        <v>36680868</v>
      </c>
      <c r="I627" s="311">
        <v>299</v>
      </c>
      <c r="J627" s="311">
        <v>112321</v>
      </c>
      <c r="K627" s="441">
        <f t="shared" si="217"/>
        <v>33583979</v>
      </c>
      <c r="L627" s="442">
        <v>332</v>
      </c>
      <c r="M627" s="443">
        <v>83094</v>
      </c>
      <c r="N627" s="444">
        <f t="shared" si="218"/>
        <v>27587208</v>
      </c>
      <c r="O627" s="307">
        <v>347</v>
      </c>
      <c r="P627" s="307">
        <v>82171</v>
      </c>
      <c r="Q627" s="445">
        <f t="shared" si="219"/>
        <v>28513337</v>
      </c>
      <c r="R627" s="442">
        <v>272</v>
      </c>
      <c r="S627" s="443">
        <v>70186</v>
      </c>
      <c r="T627" s="444">
        <f t="shared" si="220"/>
        <v>19090592</v>
      </c>
      <c r="U627" s="307">
        <v>244</v>
      </c>
      <c r="V627" s="307">
        <v>70698</v>
      </c>
      <c r="W627" s="441">
        <f t="shared" si="221"/>
        <v>17250312</v>
      </c>
      <c r="X627" s="442">
        <v>146</v>
      </c>
      <c r="Y627" s="443">
        <v>44852</v>
      </c>
      <c r="Z627" s="444">
        <f t="shared" si="222"/>
        <v>6548392</v>
      </c>
      <c r="AA627" s="307">
        <v>169</v>
      </c>
      <c r="AB627" s="307">
        <v>44751</v>
      </c>
      <c r="AC627" s="445">
        <f t="shared" si="223"/>
        <v>7562919</v>
      </c>
      <c r="AD627" s="442">
        <v>1</v>
      </c>
      <c r="AE627" s="443">
        <v>93142</v>
      </c>
      <c r="AF627" s="444">
        <f t="shared" si="224"/>
        <v>93142</v>
      </c>
      <c r="AG627" s="307"/>
      <c r="AH627" s="307"/>
      <c r="AI627" s="445">
        <f t="shared" si="225"/>
        <v>0</v>
      </c>
      <c r="AJ627" s="446"/>
      <c r="AK627" s="443"/>
      <c r="AL627" s="444">
        <f t="shared" si="226"/>
        <v>0</v>
      </c>
      <c r="AM627" s="307"/>
      <c r="AN627" s="307"/>
      <c r="AO627" s="447">
        <f t="shared" si="227"/>
        <v>0</v>
      </c>
      <c r="AP627" s="448">
        <v>162</v>
      </c>
      <c r="AQ627" s="443">
        <v>152490</v>
      </c>
      <c r="AR627" s="444">
        <f t="shared" si="228"/>
        <v>20212305.516000003</v>
      </c>
      <c r="AS627" s="307">
        <v>143</v>
      </c>
      <c r="AT627" s="307">
        <v>154019</v>
      </c>
      <c r="AU627" s="441">
        <f t="shared" si="229"/>
        <v>18020623.4494</v>
      </c>
      <c r="AV627" s="442">
        <v>75</v>
      </c>
      <c r="AW627" s="443">
        <v>99984</v>
      </c>
      <c r="AX627" s="444">
        <f t="shared" si="230"/>
        <v>6135518.1600000001</v>
      </c>
      <c r="AY627" s="307">
        <v>64</v>
      </c>
      <c r="AZ627" s="307">
        <v>99250</v>
      </c>
      <c r="BA627" s="445">
        <f t="shared" si="231"/>
        <v>5197206.4000000004</v>
      </c>
      <c r="BB627" s="442">
        <v>22</v>
      </c>
      <c r="BC627" s="443">
        <v>89466</v>
      </c>
      <c r="BD627" s="444">
        <f t="shared" si="232"/>
        <v>1610423.7864000001</v>
      </c>
      <c r="BE627" s="307">
        <v>22</v>
      </c>
      <c r="BF627" s="307">
        <v>89384</v>
      </c>
      <c r="BG627" s="445">
        <f t="shared" si="233"/>
        <v>1608947.7536000002</v>
      </c>
      <c r="BH627" s="442">
        <v>21</v>
      </c>
      <c r="BI627" s="443">
        <v>59488</v>
      </c>
      <c r="BJ627" s="444">
        <f t="shared" si="234"/>
        <v>1022134.7136</v>
      </c>
      <c r="BK627" s="307">
        <v>14</v>
      </c>
      <c r="BL627" s="307">
        <v>58810</v>
      </c>
      <c r="BM627" s="445">
        <f t="shared" si="235"/>
        <v>673656.78800000006</v>
      </c>
      <c r="BN627" s="442">
        <v>4</v>
      </c>
      <c r="BO627" s="443">
        <v>57363</v>
      </c>
      <c r="BP627" s="444">
        <f t="shared" si="236"/>
        <v>187737.62640000001</v>
      </c>
      <c r="BQ627" s="307">
        <v>4</v>
      </c>
      <c r="BR627" s="307">
        <v>58710</v>
      </c>
      <c r="BS627" s="445">
        <f t="shared" si="237"/>
        <v>192146.08800000002</v>
      </c>
      <c r="BT627" s="442"/>
      <c r="BU627" s="443"/>
      <c r="BV627" s="444">
        <f t="shared" si="238"/>
        <v>0</v>
      </c>
      <c r="BW627" s="307"/>
      <c r="BX627" s="307"/>
      <c r="BY627" s="449">
        <f t="shared" si="239"/>
        <v>0</v>
      </c>
    </row>
    <row r="628" spans="1:77" s="308" customFormat="1" ht="12.75" customHeight="1">
      <c r="A628" s="329" t="s">
        <v>344</v>
      </c>
      <c r="B628" s="330" t="s">
        <v>522</v>
      </c>
      <c r="C628" s="330"/>
      <c r="D628" s="329">
        <v>231624</v>
      </c>
      <c r="E628" s="456">
        <v>2</v>
      </c>
      <c r="F628" s="453">
        <v>186</v>
      </c>
      <c r="G628" s="454">
        <v>116252</v>
      </c>
      <c r="H628" s="439">
        <f t="shared" si="216"/>
        <v>21622872</v>
      </c>
      <c r="I628" s="311">
        <v>194</v>
      </c>
      <c r="J628" s="311">
        <v>114044</v>
      </c>
      <c r="K628" s="441">
        <f t="shared" si="217"/>
        <v>22124536</v>
      </c>
      <c r="L628" s="442">
        <v>185</v>
      </c>
      <c r="M628" s="443">
        <v>80429</v>
      </c>
      <c r="N628" s="444">
        <f t="shared" si="218"/>
        <v>14879365</v>
      </c>
      <c r="O628" s="307">
        <v>179</v>
      </c>
      <c r="P628" s="307">
        <v>81468</v>
      </c>
      <c r="Q628" s="445">
        <f t="shared" si="219"/>
        <v>14582772</v>
      </c>
      <c r="R628" s="442">
        <v>144</v>
      </c>
      <c r="S628" s="443">
        <v>66500</v>
      </c>
      <c r="T628" s="444">
        <f t="shared" si="220"/>
        <v>9576000</v>
      </c>
      <c r="U628" s="307">
        <v>146</v>
      </c>
      <c r="V628" s="307">
        <v>66589</v>
      </c>
      <c r="W628" s="441">
        <f t="shared" si="221"/>
        <v>9721994</v>
      </c>
      <c r="X628" s="442">
        <v>38</v>
      </c>
      <c r="Y628" s="443">
        <v>45676</v>
      </c>
      <c r="Z628" s="444">
        <f t="shared" si="222"/>
        <v>1735688</v>
      </c>
      <c r="AA628" s="307">
        <v>39</v>
      </c>
      <c r="AB628" s="307">
        <v>42922</v>
      </c>
      <c r="AC628" s="445">
        <f t="shared" si="223"/>
        <v>1673958</v>
      </c>
      <c r="AD628" s="442">
        <v>10</v>
      </c>
      <c r="AE628" s="443">
        <v>67950</v>
      </c>
      <c r="AF628" s="444">
        <f t="shared" si="224"/>
        <v>679500</v>
      </c>
      <c r="AG628" s="307">
        <v>8</v>
      </c>
      <c r="AH628" s="307">
        <v>59388</v>
      </c>
      <c r="AI628" s="445">
        <f t="shared" si="225"/>
        <v>475104</v>
      </c>
      <c r="AJ628" s="446"/>
      <c r="AK628" s="443"/>
      <c r="AL628" s="444">
        <f t="shared" si="226"/>
        <v>0</v>
      </c>
      <c r="AM628" s="307"/>
      <c r="AN628" s="307"/>
      <c r="AO628" s="447">
        <f t="shared" si="227"/>
        <v>0</v>
      </c>
      <c r="AP628" s="448">
        <v>32</v>
      </c>
      <c r="AQ628" s="443">
        <v>120259</v>
      </c>
      <c r="AR628" s="444">
        <f t="shared" si="228"/>
        <v>3148669.2416000003</v>
      </c>
      <c r="AS628" s="307">
        <v>29</v>
      </c>
      <c r="AT628" s="307">
        <v>116893</v>
      </c>
      <c r="AU628" s="441">
        <f t="shared" si="229"/>
        <v>2773613.7254000003</v>
      </c>
      <c r="AV628" s="442">
        <v>11</v>
      </c>
      <c r="AW628" s="443">
        <v>89464</v>
      </c>
      <c r="AX628" s="444">
        <f t="shared" si="230"/>
        <v>805193.89280000003</v>
      </c>
      <c r="AY628" s="307">
        <v>10</v>
      </c>
      <c r="AZ628" s="307">
        <v>91250</v>
      </c>
      <c r="BA628" s="445">
        <f t="shared" si="231"/>
        <v>746607.5</v>
      </c>
      <c r="BB628" s="442">
        <v>7</v>
      </c>
      <c r="BC628" s="443">
        <v>69071</v>
      </c>
      <c r="BD628" s="444">
        <f t="shared" si="232"/>
        <v>395597.24540000001</v>
      </c>
      <c r="BE628" s="307">
        <v>8</v>
      </c>
      <c r="BF628" s="307">
        <v>74863</v>
      </c>
      <c r="BG628" s="445">
        <f t="shared" si="233"/>
        <v>490023.25280000002</v>
      </c>
      <c r="BH628" s="442"/>
      <c r="BI628" s="443"/>
      <c r="BJ628" s="444">
        <f t="shared" si="234"/>
        <v>0</v>
      </c>
      <c r="BK628" s="307"/>
      <c r="BL628" s="307"/>
      <c r="BM628" s="445">
        <f t="shared" si="235"/>
        <v>0</v>
      </c>
      <c r="BN628" s="442"/>
      <c r="BO628" s="443"/>
      <c r="BP628" s="444">
        <f t="shared" si="236"/>
        <v>0</v>
      </c>
      <c r="BQ628" s="307">
        <v>1</v>
      </c>
      <c r="BR628" s="307">
        <v>100000</v>
      </c>
      <c r="BS628" s="445">
        <f t="shared" si="237"/>
        <v>81820</v>
      </c>
      <c r="BT628" s="442"/>
      <c r="BU628" s="443"/>
      <c r="BV628" s="444">
        <f t="shared" si="238"/>
        <v>0</v>
      </c>
      <c r="BW628" s="307"/>
      <c r="BX628" s="307"/>
      <c r="BY628" s="449">
        <f t="shared" si="239"/>
        <v>0</v>
      </c>
    </row>
    <row r="629" spans="1:77" s="308" customFormat="1" ht="12.75" customHeight="1">
      <c r="A629" s="329" t="s">
        <v>344</v>
      </c>
      <c r="B629" s="387" t="s">
        <v>775</v>
      </c>
      <c r="C629" s="387"/>
      <c r="D629" s="329">
        <v>234030</v>
      </c>
      <c r="E629" s="456">
        <v>2</v>
      </c>
      <c r="F629" s="453">
        <v>134</v>
      </c>
      <c r="G629" s="454">
        <v>104813</v>
      </c>
      <c r="H629" s="439">
        <f t="shared" si="216"/>
        <v>14044942</v>
      </c>
      <c r="I629" s="311">
        <v>131</v>
      </c>
      <c r="J629" s="311">
        <v>107158</v>
      </c>
      <c r="K629" s="441">
        <f t="shared" si="217"/>
        <v>14037698</v>
      </c>
      <c r="L629" s="442">
        <v>216</v>
      </c>
      <c r="M629" s="443">
        <v>78177</v>
      </c>
      <c r="N629" s="444">
        <f t="shared" si="218"/>
        <v>16886232</v>
      </c>
      <c r="O629" s="307">
        <v>225</v>
      </c>
      <c r="P629" s="307">
        <v>77158</v>
      </c>
      <c r="Q629" s="445">
        <f t="shared" si="219"/>
        <v>17360550</v>
      </c>
      <c r="R629" s="442">
        <v>211</v>
      </c>
      <c r="S629" s="443">
        <v>59468</v>
      </c>
      <c r="T629" s="444">
        <f t="shared" si="220"/>
        <v>12547748</v>
      </c>
      <c r="U629" s="307">
        <v>223</v>
      </c>
      <c r="V629" s="307">
        <v>58564</v>
      </c>
      <c r="W629" s="441">
        <f t="shared" si="221"/>
        <v>13059772</v>
      </c>
      <c r="X629" s="442">
        <v>92</v>
      </c>
      <c r="Y629" s="443">
        <v>45946</v>
      </c>
      <c r="Z629" s="444">
        <f t="shared" si="222"/>
        <v>4227032</v>
      </c>
      <c r="AA629" s="307">
        <v>126</v>
      </c>
      <c r="AB629" s="307">
        <v>46810</v>
      </c>
      <c r="AC629" s="445">
        <f t="shared" si="223"/>
        <v>5898060</v>
      </c>
      <c r="AD629" s="442"/>
      <c r="AE629" s="443"/>
      <c r="AF629" s="444">
        <f t="shared" si="224"/>
        <v>0</v>
      </c>
      <c r="AG629" s="307"/>
      <c r="AH629" s="307"/>
      <c r="AI629" s="445">
        <f t="shared" si="225"/>
        <v>0</v>
      </c>
      <c r="AJ629" s="446"/>
      <c r="AK629" s="443"/>
      <c r="AL629" s="444">
        <f t="shared" si="226"/>
        <v>0</v>
      </c>
      <c r="AM629" s="307"/>
      <c r="AN629" s="307"/>
      <c r="AO629" s="447">
        <f t="shared" si="227"/>
        <v>0</v>
      </c>
      <c r="AP629" s="448">
        <v>92</v>
      </c>
      <c r="AQ629" s="443">
        <v>144093</v>
      </c>
      <c r="AR629" s="444">
        <f t="shared" si="228"/>
        <v>10846514.119200001</v>
      </c>
      <c r="AS629" s="307">
        <v>82</v>
      </c>
      <c r="AT629" s="307">
        <v>140488</v>
      </c>
      <c r="AU629" s="441">
        <f t="shared" si="229"/>
        <v>9425677.0911999997</v>
      </c>
      <c r="AV629" s="442">
        <v>90</v>
      </c>
      <c r="AW629" s="443">
        <v>101889</v>
      </c>
      <c r="AX629" s="444">
        <f t="shared" si="230"/>
        <v>7502902.182</v>
      </c>
      <c r="AY629" s="307">
        <v>76</v>
      </c>
      <c r="AZ629" s="307">
        <v>100657</v>
      </c>
      <c r="BA629" s="445">
        <f t="shared" si="231"/>
        <v>6259174.3624</v>
      </c>
      <c r="BB629" s="442">
        <v>155</v>
      </c>
      <c r="BC629" s="443">
        <v>84544</v>
      </c>
      <c r="BD629" s="444">
        <f t="shared" si="232"/>
        <v>10721954.624</v>
      </c>
      <c r="BE629" s="307">
        <v>134</v>
      </c>
      <c r="BF629" s="307">
        <v>84025</v>
      </c>
      <c r="BG629" s="445">
        <f t="shared" si="233"/>
        <v>9212400.1699999999</v>
      </c>
      <c r="BH629" s="442">
        <v>106</v>
      </c>
      <c r="BI629" s="443">
        <v>60025</v>
      </c>
      <c r="BJ629" s="444">
        <f t="shared" si="234"/>
        <v>5205920.2300000004</v>
      </c>
      <c r="BK629" s="307">
        <v>109</v>
      </c>
      <c r="BL629" s="307">
        <v>59208</v>
      </c>
      <c r="BM629" s="445">
        <f t="shared" si="235"/>
        <v>5280394.4304</v>
      </c>
      <c r="BN629" s="442"/>
      <c r="BO629" s="443"/>
      <c r="BP629" s="444">
        <f t="shared" si="236"/>
        <v>0</v>
      </c>
      <c r="BQ629" s="307"/>
      <c r="BR629" s="307"/>
      <c r="BS629" s="445">
        <f t="shared" si="237"/>
        <v>0</v>
      </c>
      <c r="BT629" s="442"/>
      <c r="BU629" s="443"/>
      <c r="BV629" s="444">
        <f t="shared" si="238"/>
        <v>0</v>
      </c>
      <c r="BW629" s="307"/>
      <c r="BX629" s="307"/>
      <c r="BY629" s="449">
        <f t="shared" si="239"/>
        <v>0</v>
      </c>
    </row>
    <row r="630" spans="1:77" s="308" customFormat="1" ht="12.75" customHeight="1">
      <c r="A630" s="329" t="s">
        <v>344</v>
      </c>
      <c r="B630" s="330" t="s">
        <v>525</v>
      </c>
      <c r="C630" s="330"/>
      <c r="D630" s="329">
        <v>232423</v>
      </c>
      <c r="E630" s="456">
        <v>3</v>
      </c>
      <c r="F630" s="453">
        <v>214</v>
      </c>
      <c r="G630" s="454">
        <v>86490</v>
      </c>
      <c r="H630" s="439">
        <f t="shared" si="216"/>
        <v>18508860</v>
      </c>
      <c r="I630" s="311">
        <v>216</v>
      </c>
      <c r="J630" s="311">
        <v>85434</v>
      </c>
      <c r="K630" s="441">
        <f t="shared" si="217"/>
        <v>18453744</v>
      </c>
      <c r="L630" s="442">
        <v>207</v>
      </c>
      <c r="M630" s="443">
        <v>67263</v>
      </c>
      <c r="N630" s="444">
        <f t="shared" si="218"/>
        <v>13923441</v>
      </c>
      <c r="O630" s="307">
        <v>210</v>
      </c>
      <c r="P630" s="307">
        <v>65451</v>
      </c>
      <c r="Q630" s="445">
        <f t="shared" si="219"/>
        <v>13744710</v>
      </c>
      <c r="R630" s="442">
        <v>279</v>
      </c>
      <c r="S630" s="443">
        <v>57453</v>
      </c>
      <c r="T630" s="444">
        <f t="shared" si="220"/>
        <v>16029387</v>
      </c>
      <c r="U630" s="307">
        <v>270</v>
      </c>
      <c r="V630" s="307">
        <v>58095</v>
      </c>
      <c r="W630" s="441">
        <f t="shared" si="221"/>
        <v>15685650</v>
      </c>
      <c r="X630" s="442">
        <v>103</v>
      </c>
      <c r="Y630" s="443">
        <v>50011</v>
      </c>
      <c r="Z630" s="444">
        <f t="shared" si="222"/>
        <v>5151133</v>
      </c>
      <c r="AA630" s="307">
        <v>112</v>
      </c>
      <c r="AB630" s="307">
        <v>49969</v>
      </c>
      <c r="AC630" s="445">
        <f t="shared" si="223"/>
        <v>5596528</v>
      </c>
      <c r="AD630" s="442"/>
      <c r="AE630" s="443"/>
      <c r="AF630" s="444">
        <f t="shared" si="224"/>
        <v>0</v>
      </c>
      <c r="AG630" s="307"/>
      <c r="AH630" s="307"/>
      <c r="AI630" s="445">
        <f t="shared" si="225"/>
        <v>0</v>
      </c>
      <c r="AJ630" s="446"/>
      <c r="AK630" s="443"/>
      <c r="AL630" s="444">
        <f t="shared" si="226"/>
        <v>0</v>
      </c>
      <c r="AM630" s="307"/>
      <c r="AN630" s="307"/>
      <c r="AO630" s="447">
        <f t="shared" si="227"/>
        <v>0</v>
      </c>
      <c r="AP630" s="448">
        <v>55</v>
      </c>
      <c r="AQ630" s="443">
        <v>113130</v>
      </c>
      <c r="AR630" s="444">
        <f t="shared" si="228"/>
        <v>5090963.13</v>
      </c>
      <c r="AS630" s="307">
        <v>51</v>
      </c>
      <c r="AT630" s="307">
        <v>113423</v>
      </c>
      <c r="AU630" s="441">
        <f t="shared" si="229"/>
        <v>4732937.6286000004</v>
      </c>
      <c r="AV630" s="442">
        <v>19</v>
      </c>
      <c r="AW630" s="443">
        <v>89873</v>
      </c>
      <c r="AX630" s="444">
        <f t="shared" si="230"/>
        <v>1397147.6834</v>
      </c>
      <c r="AY630" s="307">
        <v>22</v>
      </c>
      <c r="AZ630" s="307">
        <v>99196</v>
      </c>
      <c r="BA630" s="445">
        <f t="shared" si="231"/>
        <v>1785567.6784000001</v>
      </c>
      <c r="BB630" s="442">
        <v>13</v>
      </c>
      <c r="BC630" s="443">
        <v>75527</v>
      </c>
      <c r="BD630" s="444">
        <f t="shared" si="232"/>
        <v>803350.48820000002</v>
      </c>
      <c r="BE630" s="307">
        <v>11</v>
      </c>
      <c r="BF630" s="307">
        <v>79172</v>
      </c>
      <c r="BG630" s="445">
        <f t="shared" si="233"/>
        <v>712563.83440000005</v>
      </c>
      <c r="BH630" s="442">
        <v>16</v>
      </c>
      <c r="BI630" s="443">
        <v>58818</v>
      </c>
      <c r="BJ630" s="444">
        <f t="shared" si="234"/>
        <v>769998.20160000003</v>
      </c>
      <c r="BK630" s="307">
        <v>14</v>
      </c>
      <c r="BL630" s="307">
        <v>61442</v>
      </c>
      <c r="BM630" s="445">
        <f t="shared" si="235"/>
        <v>703805.82160000002</v>
      </c>
      <c r="BN630" s="442"/>
      <c r="BO630" s="443"/>
      <c r="BP630" s="444">
        <f t="shared" si="236"/>
        <v>0</v>
      </c>
      <c r="BQ630" s="307"/>
      <c r="BR630" s="307"/>
      <c r="BS630" s="445">
        <f t="shared" si="237"/>
        <v>0</v>
      </c>
      <c r="BT630" s="442"/>
      <c r="BU630" s="443"/>
      <c r="BV630" s="444">
        <f t="shared" si="238"/>
        <v>0</v>
      </c>
      <c r="BW630" s="307"/>
      <c r="BX630" s="307"/>
      <c r="BY630" s="449">
        <f t="shared" si="239"/>
        <v>0</v>
      </c>
    </row>
    <row r="631" spans="1:77" s="308" customFormat="1" ht="12.75" customHeight="1">
      <c r="A631" s="329" t="s">
        <v>344</v>
      </c>
      <c r="B631" s="387" t="s">
        <v>528</v>
      </c>
      <c r="C631" s="387"/>
      <c r="D631" s="388">
        <v>232937</v>
      </c>
      <c r="E631" s="327">
        <v>3</v>
      </c>
      <c r="F631" s="453">
        <v>61</v>
      </c>
      <c r="G631" s="454">
        <v>80739</v>
      </c>
      <c r="H631" s="439">
        <f t="shared" si="216"/>
        <v>4925079</v>
      </c>
      <c r="I631" s="311">
        <v>66</v>
      </c>
      <c r="J631" s="311">
        <v>81225</v>
      </c>
      <c r="K631" s="441">
        <f t="shared" si="217"/>
        <v>5360850</v>
      </c>
      <c r="L631" s="442">
        <v>51</v>
      </c>
      <c r="M631" s="443">
        <v>68932</v>
      </c>
      <c r="N631" s="444">
        <f t="shared" si="218"/>
        <v>3515532</v>
      </c>
      <c r="O631" s="307">
        <v>47</v>
      </c>
      <c r="P631" s="307">
        <v>68730</v>
      </c>
      <c r="Q631" s="445">
        <f t="shared" si="219"/>
        <v>3230310</v>
      </c>
      <c r="R631" s="442">
        <v>76</v>
      </c>
      <c r="S631" s="443">
        <v>57417</v>
      </c>
      <c r="T631" s="444">
        <f t="shared" si="220"/>
        <v>4363692</v>
      </c>
      <c r="U631" s="307">
        <v>77</v>
      </c>
      <c r="V631" s="307">
        <v>56547</v>
      </c>
      <c r="W631" s="441">
        <f t="shared" si="221"/>
        <v>4354119</v>
      </c>
      <c r="X631" s="442">
        <v>46</v>
      </c>
      <c r="Y631" s="443">
        <v>50543</v>
      </c>
      <c r="Z631" s="444">
        <f t="shared" si="222"/>
        <v>2324978</v>
      </c>
      <c r="AA631" s="307">
        <v>42</v>
      </c>
      <c r="AB631" s="307">
        <v>51349</v>
      </c>
      <c r="AC631" s="445">
        <f t="shared" si="223"/>
        <v>2156658</v>
      </c>
      <c r="AD631" s="442"/>
      <c r="AE631" s="443"/>
      <c r="AF631" s="444">
        <f t="shared" si="224"/>
        <v>0</v>
      </c>
      <c r="AG631" s="307"/>
      <c r="AH631" s="307"/>
      <c r="AI631" s="445">
        <f t="shared" si="225"/>
        <v>0</v>
      </c>
      <c r="AJ631" s="446"/>
      <c r="AK631" s="443"/>
      <c r="AL631" s="444">
        <f t="shared" si="226"/>
        <v>0</v>
      </c>
      <c r="AM631" s="307"/>
      <c r="AN631" s="307"/>
      <c r="AO631" s="447">
        <f t="shared" si="227"/>
        <v>0</v>
      </c>
      <c r="AP631" s="448">
        <v>17</v>
      </c>
      <c r="AQ631" s="443">
        <v>93105</v>
      </c>
      <c r="AR631" s="444">
        <f t="shared" si="228"/>
        <v>1295034.6870000002</v>
      </c>
      <c r="AS631" s="307">
        <v>13</v>
      </c>
      <c r="AT631" s="307">
        <v>96775</v>
      </c>
      <c r="AU631" s="441">
        <f t="shared" si="229"/>
        <v>1029356.9650000001</v>
      </c>
      <c r="AV631" s="442">
        <v>9</v>
      </c>
      <c r="AW631" s="443">
        <v>88659</v>
      </c>
      <c r="AX631" s="444">
        <f t="shared" si="230"/>
        <v>652867.14419999998</v>
      </c>
      <c r="AY631" s="307">
        <v>12</v>
      </c>
      <c r="AZ631" s="307">
        <v>87421</v>
      </c>
      <c r="BA631" s="445">
        <f t="shared" si="231"/>
        <v>858334.34640000004</v>
      </c>
      <c r="BB631" s="442">
        <v>5</v>
      </c>
      <c r="BC631" s="443">
        <v>70535</v>
      </c>
      <c r="BD631" s="444">
        <f t="shared" si="232"/>
        <v>288558.685</v>
      </c>
      <c r="BE631" s="307">
        <v>5</v>
      </c>
      <c r="BF631" s="307">
        <v>69666</v>
      </c>
      <c r="BG631" s="445">
        <f t="shared" si="233"/>
        <v>285003.60600000003</v>
      </c>
      <c r="BH631" s="442">
        <v>5</v>
      </c>
      <c r="BI631" s="443">
        <v>57956</v>
      </c>
      <c r="BJ631" s="444">
        <f t="shared" si="234"/>
        <v>237097.99600000001</v>
      </c>
      <c r="BK631" s="307">
        <v>7</v>
      </c>
      <c r="BL631" s="307">
        <v>55480</v>
      </c>
      <c r="BM631" s="445">
        <f t="shared" si="235"/>
        <v>317756.152</v>
      </c>
      <c r="BN631" s="442"/>
      <c r="BO631" s="443"/>
      <c r="BP631" s="444">
        <f t="shared" si="236"/>
        <v>0</v>
      </c>
      <c r="BQ631" s="307"/>
      <c r="BR631" s="307"/>
      <c r="BS631" s="445">
        <f t="shared" si="237"/>
        <v>0</v>
      </c>
      <c r="BT631" s="442"/>
      <c r="BU631" s="443"/>
      <c r="BV631" s="444">
        <f t="shared" si="238"/>
        <v>0</v>
      </c>
      <c r="BW631" s="307"/>
      <c r="BX631" s="307"/>
      <c r="BY631" s="449">
        <f t="shared" si="239"/>
        <v>0</v>
      </c>
    </row>
    <row r="632" spans="1:77" s="308" customFormat="1" ht="12.75" customHeight="1">
      <c r="A632" s="329" t="s">
        <v>344</v>
      </c>
      <c r="B632" s="387" t="s">
        <v>526</v>
      </c>
      <c r="C632" s="387"/>
      <c r="D632" s="388">
        <v>233277</v>
      </c>
      <c r="E632" s="327">
        <v>4</v>
      </c>
      <c r="F632" s="453">
        <v>113</v>
      </c>
      <c r="G632" s="454">
        <v>77347</v>
      </c>
      <c r="H632" s="439">
        <f t="shared" si="216"/>
        <v>8740211</v>
      </c>
      <c r="I632" s="311">
        <v>113</v>
      </c>
      <c r="J632" s="311">
        <v>76721</v>
      </c>
      <c r="K632" s="441">
        <f t="shared" si="217"/>
        <v>8669473</v>
      </c>
      <c r="L632" s="442">
        <v>87</v>
      </c>
      <c r="M632" s="443">
        <v>63846</v>
      </c>
      <c r="N632" s="444">
        <f t="shared" si="218"/>
        <v>5554602</v>
      </c>
      <c r="O632" s="307">
        <v>91</v>
      </c>
      <c r="P632" s="307">
        <v>64429</v>
      </c>
      <c r="Q632" s="445">
        <f t="shared" si="219"/>
        <v>5863039</v>
      </c>
      <c r="R632" s="442">
        <v>132</v>
      </c>
      <c r="S632" s="443">
        <v>57209</v>
      </c>
      <c r="T632" s="444">
        <f t="shared" si="220"/>
        <v>7551588</v>
      </c>
      <c r="U632" s="307">
        <v>127</v>
      </c>
      <c r="V632" s="307">
        <v>56543</v>
      </c>
      <c r="W632" s="441">
        <f t="shared" si="221"/>
        <v>7180961</v>
      </c>
      <c r="X632" s="442">
        <v>50</v>
      </c>
      <c r="Y632" s="443">
        <v>49596</v>
      </c>
      <c r="Z632" s="444">
        <f t="shared" si="222"/>
        <v>2479800</v>
      </c>
      <c r="AA632" s="307">
        <v>55</v>
      </c>
      <c r="AB632" s="307">
        <v>49254</v>
      </c>
      <c r="AC632" s="445">
        <f t="shared" si="223"/>
        <v>2708970</v>
      </c>
      <c r="AD632" s="442"/>
      <c r="AE632" s="443"/>
      <c r="AF632" s="444">
        <f t="shared" si="224"/>
        <v>0</v>
      </c>
      <c r="AG632" s="307"/>
      <c r="AH632" s="307"/>
      <c r="AI632" s="445">
        <f t="shared" si="225"/>
        <v>0</v>
      </c>
      <c r="AJ632" s="446"/>
      <c r="AK632" s="443"/>
      <c r="AL632" s="444">
        <f t="shared" si="226"/>
        <v>0</v>
      </c>
      <c r="AM632" s="307"/>
      <c r="AN632" s="307"/>
      <c r="AO632" s="447">
        <f t="shared" si="227"/>
        <v>0</v>
      </c>
      <c r="AP632" s="448">
        <v>2</v>
      </c>
      <c r="AQ632" s="443">
        <v>85383</v>
      </c>
      <c r="AR632" s="444">
        <f t="shared" si="228"/>
        <v>139720.74120000002</v>
      </c>
      <c r="AS632" s="307">
        <v>1</v>
      </c>
      <c r="AT632" s="307">
        <v>100000</v>
      </c>
      <c r="AU632" s="441">
        <f t="shared" si="229"/>
        <v>81820</v>
      </c>
      <c r="AV632" s="442">
        <v>1</v>
      </c>
      <c r="AW632" s="443">
        <v>128000</v>
      </c>
      <c r="AX632" s="444">
        <f t="shared" si="230"/>
        <v>104729.60000000001</v>
      </c>
      <c r="AY632" s="307">
        <v>2</v>
      </c>
      <c r="AZ632" s="307">
        <v>106072</v>
      </c>
      <c r="BA632" s="445">
        <f t="shared" si="231"/>
        <v>173576.22080000001</v>
      </c>
      <c r="BB632" s="442"/>
      <c r="BC632" s="443"/>
      <c r="BD632" s="444">
        <f t="shared" si="232"/>
        <v>0</v>
      </c>
      <c r="BE632" s="307">
        <v>2</v>
      </c>
      <c r="BF632" s="307">
        <v>82750</v>
      </c>
      <c r="BG632" s="445">
        <f t="shared" si="233"/>
        <v>135412.1</v>
      </c>
      <c r="BH632" s="442">
        <v>2</v>
      </c>
      <c r="BI632" s="443">
        <v>51698</v>
      </c>
      <c r="BJ632" s="444">
        <f t="shared" si="234"/>
        <v>84598.607199999999</v>
      </c>
      <c r="BK632" s="307">
        <v>2</v>
      </c>
      <c r="BL632" s="307">
        <v>51698</v>
      </c>
      <c r="BM632" s="445">
        <f t="shared" si="235"/>
        <v>84598.607199999999</v>
      </c>
      <c r="BN632" s="442"/>
      <c r="BO632" s="443"/>
      <c r="BP632" s="444">
        <f t="shared" si="236"/>
        <v>0</v>
      </c>
      <c r="BQ632" s="307"/>
      <c r="BR632" s="307"/>
      <c r="BS632" s="445">
        <f t="shared" si="237"/>
        <v>0</v>
      </c>
      <c r="BT632" s="442"/>
      <c r="BU632" s="443"/>
      <c r="BV632" s="444">
        <f t="shared" si="238"/>
        <v>0</v>
      </c>
      <c r="BW632" s="307"/>
      <c r="BX632" s="307"/>
      <c r="BY632" s="449">
        <f t="shared" si="239"/>
        <v>0</v>
      </c>
    </row>
    <row r="633" spans="1:77" s="308" customFormat="1" ht="12.75" customHeight="1">
      <c r="A633" s="329" t="s">
        <v>344</v>
      </c>
      <c r="B633" s="385" t="s">
        <v>529</v>
      </c>
      <c r="C633" s="385"/>
      <c r="D633" s="329">
        <v>234155</v>
      </c>
      <c r="E633" s="456">
        <v>4</v>
      </c>
      <c r="F633" s="453">
        <v>35</v>
      </c>
      <c r="G633" s="454">
        <v>78026</v>
      </c>
      <c r="H633" s="439">
        <f t="shared" si="216"/>
        <v>2730910</v>
      </c>
      <c r="I633" s="311">
        <v>29</v>
      </c>
      <c r="J633" s="311">
        <v>73233</v>
      </c>
      <c r="K633" s="441">
        <f t="shared" si="217"/>
        <v>2123757</v>
      </c>
      <c r="L633" s="442">
        <v>79</v>
      </c>
      <c r="M633" s="443">
        <v>64746</v>
      </c>
      <c r="N633" s="444">
        <f t="shared" si="218"/>
        <v>5114934</v>
      </c>
      <c r="O633" s="307">
        <v>74</v>
      </c>
      <c r="P633" s="307">
        <v>63762</v>
      </c>
      <c r="Q633" s="445">
        <f t="shared" si="219"/>
        <v>4718388</v>
      </c>
      <c r="R633" s="442">
        <v>78</v>
      </c>
      <c r="S633" s="443">
        <v>61543</v>
      </c>
      <c r="T633" s="444">
        <f t="shared" si="220"/>
        <v>4800354</v>
      </c>
      <c r="U633" s="307">
        <v>73</v>
      </c>
      <c r="V633" s="307">
        <v>62855</v>
      </c>
      <c r="W633" s="441">
        <f t="shared" si="221"/>
        <v>4588415</v>
      </c>
      <c r="X633" s="442">
        <v>18</v>
      </c>
      <c r="Y633" s="443">
        <v>52012</v>
      </c>
      <c r="Z633" s="444">
        <f t="shared" si="222"/>
        <v>936216</v>
      </c>
      <c r="AA633" s="307">
        <v>12</v>
      </c>
      <c r="AB633" s="307">
        <v>52517</v>
      </c>
      <c r="AC633" s="445">
        <f t="shared" si="223"/>
        <v>630204</v>
      </c>
      <c r="AD633" s="442"/>
      <c r="AE633" s="443"/>
      <c r="AF633" s="444">
        <f t="shared" si="224"/>
        <v>0</v>
      </c>
      <c r="AG633" s="307"/>
      <c r="AH633" s="307"/>
      <c r="AI633" s="445">
        <f t="shared" si="225"/>
        <v>0</v>
      </c>
      <c r="AJ633" s="446"/>
      <c r="AK633" s="443"/>
      <c r="AL633" s="444">
        <f t="shared" si="226"/>
        <v>0</v>
      </c>
      <c r="AM633" s="307"/>
      <c r="AN633" s="307"/>
      <c r="AO633" s="447">
        <f t="shared" si="227"/>
        <v>0</v>
      </c>
      <c r="AP633" s="448">
        <v>16</v>
      </c>
      <c r="AQ633" s="443">
        <v>104812</v>
      </c>
      <c r="AR633" s="444">
        <f t="shared" si="228"/>
        <v>1372114.8544000001</v>
      </c>
      <c r="AS633" s="307">
        <v>21</v>
      </c>
      <c r="AT633" s="307">
        <v>102453</v>
      </c>
      <c r="AU633" s="441">
        <f t="shared" si="229"/>
        <v>1760367.9366000001</v>
      </c>
      <c r="AV633" s="442">
        <v>13</v>
      </c>
      <c r="AW633" s="443">
        <v>74331</v>
      </c>
      <c r="AX633" s="444">
        <f t="shared" si="230"/>
        <v>790629.11460000009</v>
      </c>
      <c r="AY633" s="307">
        <v>19</v>
      </c>
      <c r="AZ633" s="307">
        <v>81896</v>
      </c>
      <c r="BA633" s="445">
        <f t="shared" si="231"/>
        <v>1273138.8368000002</v>
      </c>
      <c r="BB633" s="442">
        <v>6</v>
      </c>
      <c r="BC633" s="443">
        <v>71679</v>
      </c>
      <c r="BD633" s="444">
        <f t="shared" si="232"/>
        <v>351886.54680000001</v>
      </c>
      <c r="BE633" s="307">
        <v>14</v>
      </c>
      <c r="BF633" s="307">
        <v>90713</v>
      </c>
      <c r="BG633" s="445">
        <f t="shared" si="233"/>
        <v>1039099.2724</v>
      </c>
      <c r="BH633" s="442">
        <v>2</v>
      </c>
      <c r="BI633" s="443">
        <v>57560</v>
      </c>
      <c r="BJ633" s="444">
        <f t="shared" si="234"/>
        <v>94191.184000000008</v>
      </c>
      <c r="BK633" s="307">
        <v>4</v>
      </c>
      <c r="BL633" s="307">
        <v>52780</v>
      </c>
      <c r="BM633" s="445">
        <f t="shared" si="235"/>
        <v>172738.38400000002</v>
      </c>
      <c r="BN633" s="442"/>
      <c r="BO633" s="443"/>
      <c r="BP633" s="444">
        <f t="shared" si="236"/>
        <v>0</v>
      </c>
      <c r="BQ633" s="307">
        <v>1</v>
      </c>
      <c r="BR633" s="307">
        <v>50529</v>
      </c>
      <c r="BS633" s="445">
        <f t="shared" si="237"/>
        <v>41342.827799999999</v>
      </c>
      <c r="BT633" s="442"/>
      <c r="BU633" s="443"/>
      <c r="BV633" s="444">
        <f t="shared" si="238"/>
        <v>0</v>
      </c>
      <c r="BW633" s="307"/>
      <c r="BX633" s="307"/>
      <c r="BY633" s="449">
        <f t="shared" si="239"/>
        <v>0</v>
      </c>
    </row>
    <row r="634" spans="1:77" s="308" customFormat="1" ht="12.75" customHeight="1">
      <c r="A634" s="329" t="s">
        <v>344</v>
      </c>
      <c r="B634" s="387" t="s">
        <v>527</v>
      </c>
      <c r="C634" s="387"/>
      <c r="D634" s="388">
        <v>231712</v>
      </c>
      <c r="E634" s="327">
        <v>5</v>
      </c>
      <c r="F634" s="453">
        <v>40</v>
      </c>
      <c r="G634" s="454">
        <v>97514</v>
      </c>
      <c r="H634" s="439">
        <f t="shared" si="216"/>
        <v>3900560</v>
      </c>
      <c r="I634" s="311">
        <v>39</v>
      </c>
      <c r="J634" s="311">
        <v>97432</v>
      </c>
      <c r="K634" s="441">
        <f t="shared" si="217"/>
        <v>3799848</v>
      </c>
      <c r="L634" s="442">
        <v>71</v>
      </c>
      <c r="M634" s="443">
        <v>74682</v>
      </c>
      <c r="N634" s="444">
        <f t="shared" si="218"/>
        <v>5302422</v>
      </c>
      <c r="O634" s="307">
        <v>78</v>
      </c>
      <c r="P634" s="307">
        <v>73087</v>
      </c>
      <c r="Q634" s="445">
        <f t="shared" si="219"/>
        <v>5700786</v>
      </c>
      <c r="R634" s="442">
        <v>86</v>
      </c>
      <c r="S634" s="443">
        <v>57802</v>
      </c>
      <c r="T634" s="444">
        <f t="shared" si="220"/>
        <v>4970972</v>
      </c>
      <c r="U634" s="307">
        <v>65</v>
      </c>
      <c r="V634" s="307">
        <v>56727</v>
      </c>
      <c r="W634" s="441">
        <f t="shared" si="221"/>
        <v>3687255</v>
      </c>
      <c r="X634" s="442">
        <v>39</v>
      </c>
      <c r="Y634" s="443">
        <v>48887</v>
      </c>
      <c r="Z634" s="444">
        <f t="shared" si="222"/>
        <v>1906593</v>
      </c>
      <c r="AA634" s="307">
        <v>61</v>
      </c>
      <c r="AB634" s="307">
        <v>50135</v>
      </c>
      <c r="AC634" s="445">
        <f t="shared" si="223"/>
        <v>3058235</v>
      </c>
      <c r="AD634" s="442"/>
      <c r="AE634" s="443"/>
      <c r="AF634" s="444">
        <f t="shared" si="224"/>
        <v>0</v>
      </c>
      <c r="AG634" s="307"/>
      <c r="AH634" s="307"/>
      <c r="AI634" s="445">
        <f t="shared" si="225"/>
        <v>0</v>
      </c>
      <c r="AJ634" s="446"/>
      <c r="AK634" s="443"/>
      <c r="AL634" s="444">
        <f t="shared" si="226"/>
        <v>0</v>
      </c>
      <c r="AM634" s="307"/>
      <c r="AN634" s="307"/>
      <c r="AO634" s="447">
        <f t="shared" si="227"/>
        <v>0</v>
      </c>
      <c r="AP634" s="448"/>
      <c r="AQ634" s="443"/>
      <c r="AR634" s="444">
        <f t="shared" si="228"/>
        <v>0</v>
      </c>
      <c r="AS634" s="307"/>
      <c r="AT634" s="307"/>
      <c r="AU634" s="441">
        <f t="shared" si="229"/>
        <v>0</v>
      </c>
      <c r="AV634" s="442"/>
      <c r="AW634" s="443"/>
      <c r="AX634" s="444">
        <f t="shared" si="230"/>
        <v>0</v>
      </c>
      <c r="AY634" s="307"/>
      <c r="AZ634" s="307"/>
      <c r="BA634" s="445">
        <f t="shared" si="231"/>
        <v>0</v>
      </c>
      <c r="BB634" s="442"/>
      <c r="BC634" s="443"/>
      <c r="BD634" s="444">
        <f t="shared" si="232"/>
        <v>0</v>
      </c>
      <c r="BE634" s="307"/>
      <c r="BF634" s="307"/>
      <c r="BG634" s="445">
        <f t="shared" si="233"/>
        <v>0</v>
      </c>
      <c r="BH634" s="442"/>
      <c r="BI634" s="443"/>
      <c r="BJ634" s="444">
        <f t="shared" si="234"/>
        <v>0</v>
      </c>
      <c r="BK634" s="307"/>
      <c r="BL634" s="307"/>
      <c r="BM634" s="445">
        <f t="shared" si="235"/>
        <v>0</v>
      </c>
      <c r="BN634" s="442"/>
      <c r="BO634" s="443"/>
      <c r="BP634" s="444">
        <f t="shared" si="236"/>
        <v>0</v>
      </c>
      <c r="BQ634" s="307"/>
      <c r="BR634" s="307"/>
      <c r="BS634" s="445">
        <f t="shared" si="237"/>
        <v>0</v>
      </c>
      <c r="BT634" s="442"/>
      <c r="BU634" s="443"/>
      <c r="BV634" s="444">
        <f t="shared" si="238"/>
        <v>0</v>
      </c>
      <c r="BW634" s="307"/>
      <c r="BX634" s="307"/>
      <c r="BY634" s="449">
        <f t="shared" si="239"/>
        <v>0</v>
      </c>
    </row>
    <row r="635" spans="1:77" s="308" customFormat="1" ht="12.75" customHeight="1">
      <c r="A635" s="329" t="s">
        <v>344</v>
      </c>
      <c r="B635" s="401" t="s">
        <v>4</v>
      </c>
      <c r="C635" s="561" t="s">
        <v>1138</v>
      </c>
      <c r="D635" s="329">
        <v>232566</v>
      </c>
      <c r="E635" s="456">
        <v>5</v>
      </c>
      <c r="F635" s="453">
        <v>45</v>
      </c>
      <c r="G635" s="454">
        <v>74310</v>
      </c>
      <c r="H635" s="439">
        <f t="shared" si="216"/>
        <v>3343950</v>
      </c>
      <c r="I635" s="311">
        <v>45</v>
      </c>
      <c r="J635" s="311">
        <v>77287</v>
      </c>
      <c r="K635" s="441">
        <f t="shared" si="217"/>
        <v>3477915</v>
      </c>
      <c r="L635" s="442">
        <v>68</v>
      </c>
      <c r="M635" s="443">
        <v>63104</v>
      </c>
      <c r="N635" s="444">
        <f t="shared" si="218"/>
        <v>4291072</v>
      </c>
      <c r="O635" s="307">
        <v>70</v>
      </c>
      <c r="P635" s="307">
        <v>62978</v>
      </c>
      <c r="Q635" s="445">
        <f t="shared" si="219"/>
        <v>4408460</v>
      </c>
      <c r="R635" s="442">
        <v>64</v>
      </c>
      <c r="S635" s="443">
        <v>52504</v>
      </c>
      <c r="T635" s="444">
        <f t="shared" si="220"/>
        <v>3360256</v>
      </c>
      <c r="U635" s="307">
        <v>68</v>
      </c>
      <c r="V635" s="307">
        <v>53778</v>
      </c>
      <c r="W635" s="441">
        <f t="shared" si="221"/>
        <v>3656904</v>
      </c>
      <c r="X635" s="442">
        <v>4</v>
      </c>
      <c r="Y635" s="443">
        <v>49045</v>
      </c>
      <c r="Z635" s="444">
        <f t="shared" si="222"/>
        <v>196180</v>
      </c>
      <c r="AA635" s="307">
        <v>4</v>
      </c>
      <c r="AB635" s="307">
        <v>56383</v>
      </c>
      <c r="AC635" s="445">
        <f t="shared" si="223"/>
        <v>225532</v>
      </c>
      <c r="AD635" s="442">
        <v>26</v>
      </c>
      <c r="AE635" s="443">
        <v>41639</v>
      </c>
      <c r="AF635" s="444">
        <f t="shared" si="224"/>
        <v>1082614</v>
      </c>
      <c r="AG635" s="307">
        <v>27</v>
      </c>
      <c r="AH635" s="307">
        <v>42861</v>
      </c>
      <c r="AI635" s="445">
        <f t="shared" si="225"/>
        <v>1157247</v>
      </c>
      <c r="AJ635" s="446"/>
      <c r="AK635" s="443"/>
      <c r="AL635" s="444">
        <f t="shared" si="226"/>
        <v>0</v>
      </c>
      <c r="AM635" s="307"/>
      <c r="AN635" s="307"/>
      <c r="AO635" s="447">
        <f t="shared" si="227"/>
        <v>0</v>
      </c>
      <c r="AP635" s="448"/>
      <c r="AQ635" s="443"/>
      <c r="AR635" s="444">
        <f t="shared" si="228"/>
        <v>0</v>
      </c>
      <c r="AS635" s="307">
        <v>5</v>
      </c>
      <c r="AT635" s="307">
        <v>83308</v>
      </c>
      <c r="AU635" s="441">
        <f t="shared" si="229"/>
        <v>340813.02799999999</v>
      </c>
      <c r="AV635" s="442"/>
      <c r="AW635" s="443"/>
      <c r="AX635" s="444">
        <f t="shared" si="230"/>
        <v>0</v>
      </c>
      <c r="AY635" s="307">
        <v>11</v>
      </c>
      <c r="AZ635" s="307">
        <v>71975</v>
      </c>
      <c r="BA635" s="445">
        <f t="shared" si="231"/>
        <v>647789.39500000002</v>
      </c>
      <c r="BB635" s="442"/>
      <c r="BC635" s="443"/>
      <c r="BD635" s="444">
        <f t="shared" si="232"/>
        <v>0</v>
      </c>
      <c r="BE635" s="307"/>
      <c r="BF635" s="307"/>
      <c r="BG635" s="445">
        <f t="shared" si="233"/>
        <v>0</v>
      </c>
      <c r="BH635" s="442"/>
      <c r="BI635" s="443"/>
      <c r="BJ635" s="444">
        <f t="shared" si="234"/>
        <v>0</v>
      </c>
      <c r="BK635" s="307"/>
      <c r="BL635" s="307"/>
      <c r="BM635" s="445">
        <f t="shared" si="235"/>
        <v>0</v>
      </c>
      <c r="BN635" s="442"/>
      <c r="BO635" s="443"/>
      <c r="BP635" s="444">
        <f t="shared" si="236"/>
        <v>0</v>
      </c>
      <c r="BQ635" s="307"/>
      <c r="BR635" s="307"/>
      <c r="BS635" s="445">
        <f t="shared" si="237"/>
        <v>0</v>
      </c>
      <c r="BT635" s="442"/>
      <c r="BU635" s="443"/>
      <c r="BV635" s="444">
        <f t="shared" si="238"/>
        <v>0</v>
      </c>
      <c r="BW635" s="307"/>
      <c r="BX635" s="307"/>
      <c r="BY635" s="449">
        <f t="shared" si="239"/>
        <v>0</v>
      </c>
    </row>
    <row r="636" spans="1:77" s="308" customFormat="1" ht="12.75" customHeight="1">
      <c r="A636" s="329" t="s">
        <v>344</v>
      </c>
      <c r="B636" s="330" t="s">
        <v>530</v>
      </c>
      <c r="C636" s="330"/>
      <c r="D636" s="329">
        <v>232681</v>
      </c>
      <c r="E636" s="456">
        <v>5</v>
      </c>
      <c r="F636" s="453">
        <v>71</v>
      </c>
      <c r="G636" s="454">
        <v>84438</v>
      </c>
      <c r="H636" s="439">
        <f t="shared" si="216"/>
        <v>5995098</v>
      </c>
      <c r="I636" s="311">
        <v>72</v>
      </c>
      <c r="J636" s="311">
        <v>83191</v>
      </c>
      <c r="K636" s="441">
        <f t="shared" si="217"/>
        <v>5989752</v>
      </c>
      <c r="L636" s="442">
        <v>66</v>
      </c>
      <c r="M636" s="443">
        <v>65102</v>
      </c>
      <c r="N636" s="444">
        <f t="shared" si="218"/>
        <v>4296732</v>
      </c>
      <c r="O636" s="307">
        <v>69</v>
      </c>
      <c r="P636" s="307">
        <v>63386</v>
      </c>
      <c r="Q636" s="445">
        <f t="shared" si="219"/>
        <v>4373634</v>
      </c>
      <c r="R636" s="442">
        <v>62</v>
      </c>
      <c r="S636" s="443">
        <v>53209</v>
      </c>
      <c r="T636" s="444">
        <f t="shared" si="220"/>
        <v>3298958</v>
      </c>
      <c r="U636" s="307">
        <v>58</v>
      </c>
      <c r="V636" s="307">
        <v>53768</v>
      </c>
      <c r="W636" s="441">
        <f t="shared" si="221"/>
        <v>3118544</v>
      </c>
      <c r="X636" s="442">
        <v>4</v>
      </c>
      <c r="Y636" s="443">
        <v>56135</v>
      </c>
      <c r="Z636" s="444">
        <f t="shared" si="222"/>
        <v>224540</v>
      </c>
      <c r="AA636" s="307">
        <v>3</v>
      </c>
      <c r="AB636" s="307">
        <v>52667</v>
      </c>
      <c r="AC636" s="445">
        <f t="shared" si="223"/>
        <v>158001</v>
      </c>
      <c r="AD636" s="442">
        <v>13</v>
      </c>
      <c r="AE636" s="443">
        <v>57602</v>
      </c>
      <c r="AF636" s="444">
        <f t="shared" si="224"/>
        <v>748826</v>
      </c>
      <c r="AG636" s="307">
        <v>14</v>
      </c>
      <c r="AH636" s="307">
        <v>57386</v>
      </c>
      <c r="AI636" s="445">
        <f t="shared" si="225"/>
        <v>803404</v>
      </c>
      <c r="AJ636" s="446"/>
      <c r="AK636" s="443"/>
      <c r="AL636" s="444">
        <f t="shared" si="226"/>
        <v>0</v>
      </c>
      <c r="AM636" s="307"/>
      <c r="AN636" s="307"/>
      <c r="AO636" s="447">
        <f t="shared" si="227"/>
        <v>0</v>
      </c>
      <c r="AP636" s="448">
        <v>5</v>
      </c>
      <c r="AQ636" s="443">
        <v>91922</v>
      </c>
      <c r="AR636" s="444">
        <f t="shared" si="228"/>
        <v>376052.902</v>
      </c>
      <c r="AS636" s="307">
        <v>1</v>
      </c>
      <c r="AT636" s="307">
        <v>115000</v>
      </c>
      <c r="AU636" s="441">
        <f t="shared" si="229"/>
        <v>94093</v>
      </c>
      <c r="AV636" s="442">
        <v>14</v>
      </c>
      <c r="AW636" s="443">
        <v>72357</v>
      </c>
      <c r="AX636" s="444">
        <f t="shared" si="230"/>
        <v>828834.96360000002</v>
      </c>
      <c r="AY636" s="307"/>
      <c r="AZ636" s="307"/>
      <c r="BA636" s="445">
        <f t="shared" si="231"/>
        <v>0</v>
      </c>
      <c r="BB636" s="442">
        <v>4</v>
      </c>
      <c r="BC636" s="443">
        <v>71160</v>
      </c>
      <c r="BD636" s="444">
        <f t="shared" si="232"/>
        <v>232892.448</v>
      </c>
      <c r="BE636" s="307">
        <v>5</v>
      </c>
      <c r="BF636" s="307">
        <v>67400</v>
      </c>
      <c r="BG636" s="445">
        <f t="shared" si="233"/>
        <v>275733.40000000002</v>
      </c>
      <c r="BH636" s="442">
        <v>3</v>
      </c>
      <c r="BI636" s="443">
        <v>62831</v>
      </c>
      <c r="BJ636" s="444">
        <f t="shared" si="234"/>
        <v>154224.97260000001</v>
      </c>
      <c r="BK636" s="307">
        <v>2</v>
      </c>
      <c r="BL636" s="307">
        <v>64046</v>
      </c>
      <c r="BM636" s="445">
        <f t="shared" si="235"/>
        <v>104804.8744</v>
      </c>
      <c r="BN636" s="442"/>
      <c r="BO636" s="443"/>
      <c r="BP636" s="444">
        <f t="shared" si="236"/>
        <v>0</v>
      </c>
      <c r="BQ636" s="307"/>
      <c r="BR636" s="307"/>
      <c r="BS636" s="445">
        <f t="shared" si="237"/>
        <v>0</v>
      </c>
      <c r="BT636" s="442"/>
      <c r="BU636" s="443"/>
      <c r="BV636" s="444">
        <f t="shared" si="238"/>
        <v>0</v>
      </c>
      <c r="BW636" s="307"/>
      <c r="BX636" s="307"/>
      <c r="BY636" s="449">
        <f t="shared" si="239"/>
        <v>0</v>
      </c>
    </row>
    <row r="637" spans="1:77" s="308" customFormat="1" ht="12.75" customHeight="1">
      <c r="A637" s="329" t="s">
        <v>344</v>
      </c>
      <c r="B637" s="330" t="s">
        <v>531</v>
      </c>
      <c r="C637" s="330"/>
      <c r="D637" s="329">
        <v>233897</v>
      </c>
      <c r="E637" s="456">
        <v>6</v>
      </c>
      <c r="F637" s="453">
        <v>18</v>
      </c>
      <c r="G637" s="454">
        <v>77478</v>
      </c>
      <c r="H637" s="439">
        <f t="shared" si="216"/>
        <v>1394604</v>
      </c>
      <c r="I637" s="311">
        <v>18</v>
      </c>
      <c r="J637" s="311">
        <v>73928</v>
      </c>
      <c r="K637" s="441">
        <f t="shared" si="217"/>
        <v>1330704</v>
      </c>
      <c r="L637" s="442">
        <v>26</v>
      </c>
      <c r="M637" s="443">
        <v>58292</v>
      </c>
      <c r="N637" s="444">
        <f t="shared" si="218"/>
        <v>1515592</v>
      </c>
      <c r="O637" s="307">
        <v>29</v>
      </c>
      <c r="P637" s="307">
        <v>60041</v>
      </c>
      <c r="Q637" s="445">
        <f t="shared" si="219"/>
        <v>1741189</v>
      </c>
      <c r="R637" s="442">
        <v>25</v>
      </c>
      <c r="S637" s="443">
        <v>53792</v>
      </c>
      <c r="T637" s="444">
        <f t="shared" si="220"/>
        <v>1344800</v>
      </c>
      <c r="U637" s="307">
        <v>20</v>
      </c>
      <c r="V637" s="307">
        <v>55810</v>
      </c>
      <c r="W637" s="441">
        <f t="shared" si="221"/>
        <v>1116200</v>
      </c>
      <c r="X637" s="442">
        <v>21</v>
      </c>
      <c r="Y637" s="443">
        <v>43310</v>
      </c>
      <c r="Z637" s="444">
        <f t="shared" si="222"/>
        <v>909510</v>
      </c>
      <c r="AA637" s="307">
        <v>21</v>
      </c>
      <c r="AB637" s="307">
        <v>43300</v>
      </c>
      <c r="AC637" s="445">
        <f t="shared" si="223"/>
        <v>909300</v>
      </c>
      <c r="AD637" s="442">
        <v>3</v>
      </c>
      <c r="AE637" s="443">
        <v>39033</v>
      </c>
      <c r="AF637" s="444">
        <f t="shared" si="224"/>
        <v>117099</v>
      </c>
      <c r="AG637" s="307">
        <v>1</v>
      </c>
      <c r="AH637" s="307">
        <v>41100</v>
      </c>
      <c r="AI637" s="445">
        <f t="shared" si="225"/>
        <v>41100</v>
      </c>
      <c r="AJ637" s="446"/>
      <c r="AK637" s="443"/>
      <c r="AL637" s="444">
        <f t="shared" si="226"/>
        <v>0</v>
      </c>
      <c r="AM637" s="307"/>
      <c r="AN637" s="307"/>
      <c r="AO637" s="447">
        <f t="shared" si="227"/>
        <v>0</v>
      </c>
      <c r="AP637" s="448"/>
      <c r="AQ637" s="443"/>
      <c r="AR637" s="444">
        <f t="shared" si="228"/>
        <v>0</v>
      </c>
      <c r="AS637" s="307"/>
      <c r="AT637" s="307"/>
      <c r="AU637" s="441">
        <f t="shared" si="229"/>
        <v>0</v>
      </c>
      <c r="AV637" s="442"/>
      <c r="AW637" s="443"/>
      <c r="AX637" s="444">
        <f t="shared" si="230"/>
        <v>0</v>
      </c>
      <c r="AY637" s="307"/>
      <c r="AZ637" s="307"/>
      <c r="BA637" s="445">
        <f t="shared" si="231"/>
        <v>0</v>
      </c>
      <c r="BB637" s="442"/>
      <c r="BC637" s="443"/>
      <c r="BD637" s="444">
        <f t="shared" si="232"/>
        <v>0</v>
      </c>
      <c r="BE637" s="307"/>
      <c r="BF637" s="307"/>
      <c r="BG637" s="445">
        <f t="shared" si="233"/>
        <v>0</v>
      </c>
      <c r="BH637" s="442"/>
      <c r="BI637" s="443"/>
      <c r="BJ637" s="444">
        <f t="shared" si="234"/>
        <v>0</v>
      </c>
      <c r="BK637" s="307">
        <v>1</v>
      </c>
      <c r="BL637" s="307">
        <v>52300</v>
      </c>
      <c r="BM637" s="445">
        <f t="shared" si="235"/>
        <v>42791.86</v>
      </c>
      <c r="BN637" s="442"/>
      <c r="BO637" s="443"/>
      <c r="BP637" s="444">
        <f t="shared" si="236"/>
        <v>0</v>
      </c>
      <c r="BQ637" s="307"/>
      <c r="BR637" s="307"/>
      <c r="BS637" s="445">
        <f t="shared" si="237"/>
        <v>0</v>
      </c>
      <c r="BT637" s="442"/>
      <c r="BU637" s="443"/>
      <c r="BV637" s="444">
        <f t="shared" si="238"/>
        <v>0</v>
      </c>
      <c r="BW637" s="307"/>
      <c r="BX637" s="307"/>
      <c r="BY637" s="449">
        <f t="shared" si="239"/>
        <v>0</v>
      </c>
    </row>
    <row r="638" spans="1:77" s="308" customFormat="1" ht="12.75" customHeight="1">
      <c r="A638" s="329" t="s">
        <v>344</v>
      </c>
      <c r="B638" s="330" t="s">
        <v>532</v>
      </c>
      <c r="C638" s="330"/>
      <c r="D638" s="329">
        <v>232414</v>
      </c>
      <c r="E638" s="456">
        <v>8</v>
      </c>
      <c r="F638" s="453"/>
      <c r="G638" s="454"/>
      <c r="H638" s="439">
        <f t="shared" si="216"/>
        <v>0</v>
      </c>
      <c r="I638" s="311"/>
      <c r="J638" s="311"/>
      <c r="K638" s="441">
        <f t="shared" si="217"/>
        <v>0</v>
      </c>
      <c r="L638" s="442"/>
      <c r="M638" s="443"/>
      <c r="N638" s="444">
        <f t="shared" si="218"/>
        <v>0</v>
      </c>
      <c r="O638" s="307"/>
      <c r="P638" s="307"/>
      <c r="Q638" s="445">
        <f t="shared" si="219"/>
        <v>0</v>
      </c>
      <c r="R638" s="442"/>
      <c r="S638" s="443"/>
      <c r="T638" s="444">
        <f t="shared" si="220"/>
        <v>0</v>
      </c>
      <c r="U638" s="307"/>
      <c r="V638" s="307"/>
      <c r="W638" s="441">
        <f t="shared" si="221"/>
        <v>0</v>
      </c>
      <c r="X638" s="442"/>
      <c r="Y638" s="443"/>
      <c r="Z638" s="444">
        <f t="shared" si="222"/>
        <v>0</v>
      </c>
      <c r="AA638" s="307"/>
      <c r="AB638" s="307"/>
      <c r="AC638" s="445">
        <f t="shared" si="223"/>
        <v>0</v>
      </c>
      <c r="AD638" s="442"/>
      <c r="AE638" s="443"/>
      <c r="AF638" s="444">
        <f t="shared" si="224"/>
        <v>0</v>
      </c>
      <c r="AG638" s="307"/>
      <c r="AH638" s="307"/>
      <c r="AI638" s="445">
        <f t="shared" si="225"/>
        <v>0</v>
      </c>
      <c r="AJ638" s="446"/>
      <c r="AK638" s="443"/>
      <c r="AL638" s="444">
        <f t="shared" si="226"/>
        <v>0</v>
      </c>
      <c r="AM638" s="307"/>
      <c r="AN638" s="307"/>
      <c r="AO638" s="447">
        <f t="shared" si="227"/>
        <v>0</v>
      </c>
      <c r="AP638" s="448"/>
      <c r="AQ638" s="443"/>
      <c r="AR638" s="444">
        <f t="shared" si="228"/>
        <v>0</v>
      </c>
      <c r="AS638" s="307"/>
      <c r="AT638" s="307"/>
      <c r="AU638" s="441">
        <f t="shared" si="229"/>
        <v>0</v>
      </c>
      <c r="AV638" s="442"/>
      <c r="AW638" s="443"/>
      <c r="AX638" s="444">
        <f t="shared" si="230"/>
        <v>0</v>
      </c>
      <c r="AY638" s="307"/>
      <c r="AZ638" s="307"/>
      <c r="BA638" s="445">
        <f t="shared" si="231"/>
        <v>0</v>
      </c>
      <c r="BB638" s="442"/>
      <c r="BC638" s="443"/>
      <c r="BD638" s="444">
        <f t="shared" si="232"/>
        <v>0</v>
      </c>
      <c r="BE638" s="307"/>
      <c r="BF638" s="307"/>
      <c r="BG638" s="445">
        <f t="shared" si="233"/>
        <v>0</v>
      </c>
      <c r="BH638" s="442"/>
      <c r="BI638" s="443"/>
      <c r="BJ638" s="444">
        <f t="shared" si="234"/>
        <v>0</v>
      </c>
      <c r="BK638" s="307"/>
      <c r="BL638" s="307"/>
      <c r="BM638" s="445">
        <f t="shared" si="235"/>
        <v>0</v>
      </c>
      <c r="BN638" s="442"/>
      <c r="BO638" s="443"/>
      <c r="BP638" s="444">
        <f t="shared" si="236"/>
        <v>0</v>
      </c>
      <c r="BQ638" s="307"/>
      <c r="BR638" s="307"/>
      <c r="BS638" s="445">
        <f t="shared" si="237"/>
        <v>0</v>
      </c>
      <c r="BT638" s="442"/>
      <c r="BU638" s="443"/>
      <c r="BV638" s="444">
        <f t="shared" si="238"/>
        <v>0</v>
      </c>
      <c r="BW638" s="307"/>
      <c r="BX638" s="307"/>
      <c r="BY638" s="449">
        <f t="shared" si="239"/>
        <v>0</v>
      </c>
    </row>
    <row r="639" spans="1:77" s="308" customFormat="1" ht="12.75" customHeight="1">
      <c r="A639" s="329" t="s">
        <v>344</v>
      </c>
      <c r="B639" s="330" t="s">
        <v>533</v>
      </c>
      <c r="C639" s="330"/>
      <c r="D639" s="329">
        <v>232946</v>
      </c>
      <c r="E639" s="456">
        <v>8</v>
      </c>
      <c r="F639" s="453"/>
      <c r="G639" s="454"/>
      <c r="H639" s="439">
        <f t="shared" si="216"/>
        <v>0</v>
      </c>
      <c r="I639" s="311"/>
      <c r="J639" s="311"/>
      <c r="K639" s="441">
        <f t="shared" si="217"/>
        <v>0</v>
      </c>
      <c r="L639" s="442"/>
      <c r="M639" s="443"/>
      <c r="N639" s="444">
        <f t="shared" si="218"/>
        <v>0</v>
      </c>
      <c r="O639" s="307"/>
      <c r="P639" s="307"/>
      <c r="Q639" s="445">
        <f t="shared" si="219"/>
        <v>0</v>
      </c>
      <c r="R639" s="442"/>
      <c r="S639" s="443"/>
      <c r="T639" s="444">
        <f t="shared" si="220"/>
        <v>0</v>
      </c>
      <c r="U639" s="307"/>
      <c r="V639" s="307"/>
      <c r="W639" s="441">
        <f t="shared" si="221"/>
        <v>0</v>
      </c>
      <c r="X639" s="442"/>
      <c r="Y639" s="443"/>
      <c r="Z639" s="444">
        <f t="shared" si="222"/>
        <v>0</v>
      </c>
      <c r="AA639" s="307"/>
      <c r="AB639" s="307"/>
      <c r="AC639" s="445">
        <f t="shared" si="223"/>
        <v>0</v>
      </c>
      <c r="AD639" s="442"/>
      <c r="AE639" s="443"/>
      <c r="AF639" s="444">
        <f t="shared" si="224"/>
        <v>0</v>
      </c>
      <c r="AG639" s="307"/>
      <c r="AH639" s="307"/>
      <c r="AI639" s="445">
        <f t="shared" si="225"/>
        <v>0</v>
      </c>
      <c r="AJ639" s="446"/>
      <c r="AK639" s="443"/>
      <c r="AL639" s="444">
        <f t="shared" si="226"/>
        <v>0</v>
      </c>
      <c r="AM639" s="307"/>
      <c r="AN639" s="307"/>
      <c r="AO639" s="447">
        <f t="shared" si="227"/>
        <v>0</v>
      </c>
      <c r="AP639" s="448"/>
      <c r="AQ639" s="443"/>
      <c r="AR639" s="444">
        <f t="shared" si="228"/>
        <v>0</v>
      </c>
      <c r="AS639" s="307"/>
      <c r="AT639" s="307"/>
      <c r="AU639" s="441">
        <f t="shared" si="229"/>
        <v>0</v>
      </c>
      <c r="AV639" s="442"/>
      <c r="AW639" s="443"/>
      <c r="AX639" s="444">
        <f t="shared" si="230"/>
        <v>0</v>
      </c>
      <c r="AY639" s="307"/>
      <c r="AZ639" s="307"/>
      <c r="BA639" s="445">
        <f t="shared" si="231"/>
        <v>0</v>
      </c>
      <c r="BB639" s="442"/>
      <c r="BC639" s="443"/>
      <c r="BD639" s="444">
        <f t="shared" si="232"/>
        <v>0</v>
      </c>
      <c r="BE639" s="307"/>
      <c r="BF639" s="307"/>
      <c r="BG639" s="445">
        <f t="shared" si="233"/>
        <v>0</v>
      </c>
      <c r="BH639" s="442"/>
      <c r="BI639" s="443"/>
      <c r="BJ639" s="444">
        <f t="shared" si="234"/>
        <v>0</v>
      </c>
      <c r="BK639" s="307"/>
      <c r="BL639" s="307"/>
      <c r="BM639" s="445">
        <f t="shared" si="235"/>
        <v>0</v>
      </c>
      <c r="BN639" s="442"/>
      <c r="BO639" s="443"/>
      <c r="BP639" s="444">
        <f t="shared" si="236"/>
        <v>0</v>
      </c>
      <c r="BQ639" s="307"/>
      <c r="BR639" s="307"/>
      <c r="BS639" s="445">
        <f t="shared" si="237"/>
        <v>0</v>
      </c>
      <c r="BT639" s="442"/>
      <c r="BU639" s="443"/>
      <c r="BV639" s="444">
        <f t="shared" si="238"/>
        <v>0</v>
      </c>
      <c r="BW639" s="307"/>
      <c r="BX639" s="307"/>
      <c r="BY639" s="449">
        <f t="shared" si="239"/>
        <v>0</v>
      </c>
    </row>
    <row r="640" spans="1:77" s="308" customFormat="1" ht="12.75" customHeight="1">
      <c r="A640" s="329" t="s">
        <v>344</v>
      </c>
      <c r="B640" s="330" t="s">
        <v>534</v>
      </c>
      <c r="C640" s="330"/>
      <c r="D640" s="329">
        <v>233754</v>
      </c>
      <c r="E640" s="456">
        <v>8</v>
      </c>
      <c r="F640" s="453"/>
      <c r="G640" s="454"/>
      <c r="H640" s="439">
        <f t="shared" si="216"/>
        <v>0</v>
      </c>
      <c r="I640" s="311"/>
      <c r="J640" s="311"/>
      <c r="K640" s="441">
        <f t="shared" si="217"/>
        <v>0</v>
      </c>
      <c r="L640" s="442"/>
      <c r="M640" s="443"/>
      <c r="N640" s="444">
        <f t="shared" si="218"/>
        <v>0</v>
      </c>
      <c r="O640" s="307"/>
      <c r="P640" s="307"/>
      <c r="Q640" s="445">
        <f t="shared" si="219"/>
        <v>0</v>
      </c>
      <c r="R640" s="442"/>
      <c r="S640" s="443"/>
      <c r="T640" s="444">
        <f t="shared" si="220"/>
        <v>0</v>
      </c>
      <c r="U640" s="307"/>
      <c r="V640" s="307"/>
      <c r="W640" s="441">
        <f t="shared" si="221"/>
        <v>0</v>
      </c>
      <c r="X640" s="442"/>
      <c r="Y640" s="443"/>
      <c r="Z640" s="444">
        <f t="shared" si="222"/>
        <v>0</v>
      </c>
      <c r="AA640" s="307"/>
      <c r="AB640" s="307"/>
      <c r="AC640" s="445">
        <f t="shared" si="223"/>
        <v>0</v>
      </c>
      <c r="AD640" s="442"/>
      <c r="AE640" s="443"/>
      <c r="AF640" s="444">
        <f t="shared" si="224"/>
        <v>0</v>
      </c>
      <c r="AG640" s="307"/>
      <c r="AH640" s="307"/>
      <c r="AI640" s="445">
        <f t="shared" si="225"/>
        <v>0</v>
      </c>
      <c r="AJ640" s="446"/>
      <c r="AK640" s="443"/>
      <c r="AL640" s="444">
        <f t="shared" si="226"/>
        <v>0</v>
      </c>
      <c r="AM640" s="307"/>
      <c r="AN640" s="307"/>
      <c r="AO640" s="447">
        <f t="shared" si="227"/>
        <v>0</v>
      </c>
      <c r="AP640" s="448"/>
      <c r="AQ640" s="443"/>
      <c r="AR640" s="444">
        <f t="shared" si="228"/>
        <v>0</v>
      </c>
      <c r="AS640" s="307"/>
      <c r="AT640" s="307"/>
      <c r="AU640" s="441">
        <f t="shared" si="229"/>
        <v>0</v>
      </c>
      <c r="AV640" s="442"/>
      <c r="AW640" s="443"/>
      <c r="AX640" s="444">
        <f t="shared" si="230"/>
        <v>0</v>
      </c>
      <c r="AY640" s="307"/>
      <c r="AZ640" s="307"/>
      <c r="BA640" s="445">
        <f t="shared" si="231"/>
        <v>0</v>
      </c>
      <c r="BB640" s="442"/>
      <c r="BC640" s="443"/>
      <c r="BD640" s="444">
        <f t="shared" si="232"/>
        <v>0</v>
      </c>
      <c r="BE640" s="307"/>
      <c r="BF640" s="307"/>
      <c r="BG640" s="445">
        <f t="shared" si="233"/>
        <v>0</v>
      </c>
      <c r="BH640" s="442"/>
      <c r="BI640" s="443"/>
      <c r="BJ640" s="444">
        <f t="shared" si="234"/>
        <v>0</v>
      </c>
      <c r="BK640" s="307"/>
      <c r="BL640" s="307"/>
      <c r="BM640" s="445">
        <f t="shared" si="235"/>
        <v>0</v>
      </c>
      <c r="BN640" s="442"/>
      <c r="BO640" s="443"/>
      <c r="BP640" s="444">
        <f t="shared" si="236"/>
        <v>0</v>
      </c>
      <c r="BQ640" s="307"/>
      <c r="BR640" s="307"/>
      <c r="BS640" s="445">
        <f t="shared" si="237"/>
        <v>0</v>
      </c>
      <c r="BT640" s="442"/>
      <c r="BU640" s="443"/>
      <c r="BV640" s="444">
        <f t="shared" si="238"/>
        <v>0</v>
      </c>
      <c r="BW640" s="307"/>
      <c r="BX640" s="307"/>
      <c r="BY640" s="449">
        <f t="shared" si="239"/>
        <v>0</v>
      </c>
    </row>
    <row r="641" spans="1:77" s="308" customFormat="1" ht="12.75" customHeight="1">
      <c r="A641" s="329" t="s">
        <v>344</v>
      </c>
      <c r="B641" s="330" t="s">
        <v>535</v>
      </c>
      <c r="C641" s="330"/>
      <c r="D641" s="329">
        <v>233772</v>
      </c>
      <c r="E641" s="456">
        <v>8</v>
      </c>
      <c r="F641" s="453"/>
      <c r="G641" s="454"/>
      <c r="H641" s="439">
        <f t="shared" si="216"/>
        <v>0</v>
      </c>
      <c r="I641" s="311"/>
      <c r="J641" s="311"/>
      <c r="K641" s="441">
        <f t="shared" si="217"/>
        <v>0</v>
      </c>
      <c r="L641" s="442"/>
      <c r="M641" s="443"/>
      <c r="N641" s="444">
        <f t="shared" si="218"/>
        <v>0</v>
      </c>
      <c r="O641" s="307"/>
      <c r="P641" s="307"/>
      <c r="Q641" s="445">
        <f t="shared" si="219"/>
        <v>0</v>
      </c>
      <c r="R641" s="442"/>
      <c r="S641" s="443"/>
      <c r="T641" s="444">
        <f t="shared" si="220"/>
        <v>0</v>
      </c>
      <c r="U641" s="307"/>
      <c r="V641" s="307"/>
      <c r="W641" s="441">
        <f t="shared" si="221"/>
        <v>0</v>
      </c>
      <c r="X641" s="442"/>
      <c r="Y641" s="443"/>
      <c r="Z641" s="444">
        <f t="shared" si="222"/>
        <v>0</v>
      </c>
      <c r="AA641" s="307"/>
      <c r="AB641" s="307"/>
      <c r="AC641" s="445">
        <f t="shared" si="223"/>
        <v>0</v>
      </c>
      <c r="AD641" s="442"/>
      <c r="AE641" s="443"/>
      <c r="AF641" s="444">
        <f t="shared" si="224"/>
        <v>0</v>
      </c>
      <c r="AG641" s="307"/>
      <c r="AH641" s="307"/>
      <c r="AI641" s="445">
        <f t="shared" si="225"/>
        <v>0</v>
      </c>
      <c r="AJ641" s="446"/>
      <c r="AK641" s="443"/>
      <c r="AL641" s="444">
        <f t="shared" si="226"/>
        <v>0</v>
      </c>
      <c r="AM641" s="307"/>
      <c r="AN641" s="307"/>
      <c r="AO641" s="447">
        <f t="shared" si="227"/>
        <v>0</v>
      </c>
      <c r="AP641" s="448"/>
      <c r="AQ641" s="443"/>
      <c r="AR641" s="444">
        <f t="shared" si="228"/>
        <v>0</v>
      </c>
      <c r="AS641" s="307"/>
      <c r="AT641" s="307"/>
      <c r="AU641" s="441">
        <f t="shared" si="229"/>
        <v>0</v>
      </c>
      <c r="AV641" s="442"/>
      <c r="AW641" s="443"/>
      <c r="AX641" s="444">
        <f t="shared" si="230"/>
        <v>0</v>
      </c>
      <c r="AY641" s="307"/>
      <c r="AZ641" s="307"/>
      <c r="BA641" s="445">
        <f t="shared" si="231"/>
        <v>0</v>
      </c>
      <c r="BB641" s="442"/>
      <c r="BC641" s="443"/>
      <c r="BD641" s="444">
        <f t="shared" si="232"/>
        <v>0</v>
      </c>
      <c r="BE641" s="307"/>
      <c r="BF641" s="307"/>
      <c r="BG641" s="445">
        <f t="shared" si="233"/>
        <v>0</v>
      </c>
      <c r="BH641" s="442"/>
      <c r="BI641" s="443"/>
      <c r="BJ641" s="444">
        <f t="shared" si="234"/>
        <v>0</v>
      </c>
      <c r="BK641" s="307"/>
      <c r="BL641" s="307"/>
      <c r="BM641" s="445">
        <f t="shared" si="235"/>
        <v>0</v>
      </c>
      <c r="BN641" s="442"/>
      <c r="BO641" s="443"/>
      <c r="BP641" s="444">
        <f t="shared" si="236"/>
        <v>0</v>
      </c>
      <c r="BQ641" s="307"/>
      <c r="BR641" s="307"/>
      <c r="BS641" s="445">
        <f t="shared" si="237"/>
        <v>0</v>
      </c>
      <c r="BT641" s="442"/>
      <c r="BU641" s="443"/>
      <c r="BV641" s="444">
        <f t="shared" si="238"/>
        <v>0</v>
      </c>
      <c r="BW641" s="307"/>
      <c r="BX641" s="307"/>
      <c r="BY641" s="449">
        <f t="shared" si="239"/>
        <v>0</v>
      </c>
    </row>
    <row r="642" spans="1:77" s="308" customFormat="1" ht="12.75" customHeight="1">
      <c r="A642" s="329" t="s">
        <v>344</v>
      </c>
      <c r="B642" s="330" t="s">
        <v>536</v>
      </c>
      <c r="C642" s="330"/>
      <c r="D642" s="329">
        <v>231536</v>
      </c>
      <c r="E642" s="456">
        <v>9</v>
      </c>
      <c r="F642" s="453"/>
      <c r="G642" s="454"/>
      <c r="H642" s="439">
        <f t="shared" si="216"/>
        <v>0</v>
      </c>
      <c r="I642" s="311"/>
      <c r="J642" s="311"/>
      <c r="K642" s="441">
        <f t="shared" si="217"/>
        <v>0</v>
      </c>
      <c r="L642" s="442"/>
      <c r="M642" s="443"/>
      <c r="N642" s="444">
        <f t="shared" si="218"/>
        <v>0</v>
      </c>
      <c r="O642" s="307"/>
      <c r="P642" s="307"/>
      <c r="Q642" s="445">
        <f t="shared" si="219"/>
        <v>0</v>
      </c>
      <c r="R642" s="442"/>
      <c r="S642" s="443"/>
      <c r="T642" s="444">
        <f t="shared" si="220"/>
        <v>0</v>
      </c>
      <c r="U642" s="307"/>
      <c r="V642" s="307"/>
      <c r="W642" s="441">
        <f t="shared" si="221"/>
        <v>0</v>
      </c>
      <c r="X642" s="442"/>
      <c r="Y642" s="443"/>
      <c r="Z642" s="444">
        <f t="shared" si="222"/>
        <v>0</v>
      </c>
      <c r="AA642" s="307"/>
      <c r="AB642" s="307"/>
      <c r="AC642" s="445">
        <f t="shared" si="223"/>
        <v>0</v>
      </c>
      <c r="AD642" s="442"/>
      <c r="AE642" s="443"/>
      <c r="AF642" s="444">
        <f t="shared" si="224"/>
        <v>0</v>
      </c>
      <c r="AG642" s="307"/>
      <c r="AH642" s="307"/>
      <c r="AI642" s="445">
        <f t="shared" si="225"/>
        <v>0</v>
      </c>
      <c r="AJ642" s="446"/>
      <c r="AK642" s="443"/>
      <c r="AL642" s="444">
        <f t="shared" si="226"/>
        <v>0</v>
      </c>
      <c r="AM642" s="307"/>
      <c r="AN642" s="307"/>
      <c r="AO642" s="447">
        <f t="shared" si="227"/>
        <v>0</v>
      </c>
      <c r="AP642" s="448"/>
      <c r="AQ642" s="443"/>
      <c r="AR642" s="444">
        <f t="shared" si="228"/>
        <v>0</v>
      </c>
      <c r="AS642" s="307"/>
      <c r="AT642" s="307"/>
      <c r="AU642" s="441">
        <f t="shared" si="229"/>
        <v>0</v>
      </c>
      <c r="AV642" s="442"/>
      <c r="AW642" s="443"/>
      <c r="AX642" s="444">
        <f t="shared" si="230"/>
        <v>0</v>
      </c>
      <c r="AY642" s="307"/>
      <c r="AZ642" s="307"/>
      <c r="BA642" s="445">
        <f t="shared" si="231"/>
        <v>0</v>
      </c>
      <c r="BB642" s="442"/>
      <c r="BC642" s="443"/>
      <c r="BD642" s="444">
        <f t="shared" si="232"/>
        <v>0</v>
      </c>
      <c r="BE642" s="307"/>
      <c r="BF642" s="307"/>
      <c r="BG642" s="445">
        <f t="shared" si="233"/>
        <v>0</v>
      </c>
      <c r="BH642" s="442"/>
      <c r="BI642" s="443"/>
      <c r="BJ642" s="444">
        <f t="shared" si="234"/>
        <v>0</v>
      </c>
      <c r="BK642" s="307"/>
      <c r="BL642" s="307"/>
      <c r="BM642" s="445">
        <f t="shared" si="235"/>
        <v>0</v>
      </c>
      <c r="BN642" s="442"/>
      <c r="BO642" s="443"/>
      <c r="BP642" s="444">
        <f t="shared" si="236"/>
        <v>0</v>
      </c>
      <c r="BQ642" s="307"/>
      <c r="BR642" s="307"/>
      <c r="BS642" s="445">
        <f t="shared" si="237"/>
        <v>0</v>
      </c>
      <c r="BT642" s="442"/>
      <c r="BU642" s="443"/>
      <c r="BV642" s="444">
        <f t="shared" si="238"/>
        <v>0</v>
      </c>
      <c r="BW642" s="307"/>
      <c r="BX642" s="307"/>
      <c r="BY642" s="449">
        <f t="shared" si="239"/>
        <v>0</v>
      </c>
    </row>
    <row r="643" spans="1:77" s="308" customFormat="1" ht="12.75" customHeight="1">
      <c r="A643" s="329" t="s">
        <v>344</v>
      </c>
      <c r="B643" s="330" t="s">
        <v>537</v>
      </c>
      <c r="C643" s="330"/>
      <c r="D643" s="329">
        <v>231697</v>
      </c>
      <c r="E643" s="456">
        <v>9</v>
      </c>
      <c r="F643" s="453"/>
      <c r="G643" s="454"/>
      <c r="H643" s="439">
        <f t="shared" si="216"/>
        <v>0</v>
      </c>
      <c r="I643" s="311"/>
      <c r="J643" s="311"/>
      <c r="K643" s="441">
        <f t="shared" si="217"/>
        <v>0</v>
      </c>
      <c r="L643" s="442"/>
      <c r="M643" s="443"/>
      <c r="N643" s="444">
        <f t="shared" si="218"/>
        <v>0</v>
      </c>
      <c r="O643" s="307"/>
      <c r="P643" s="307"/>
      <c r="Q643" s="445">
        <f t="shared" si="219"/>
        <v>0</v>
      </c>
      <c r="R643" s="442"/>
      <c r="S643" s="443"/>
      <c r="T643" s="444">
        <f t="shared" si="220"/>
        <v>0</v>
      </c>
      <c r="U643" s="307"/>
      <c r="V643" s="307"/>
      <c r="W643" s="441">
        <f t="shared" si="221"/>
        <v>0</v>
      </c>
      <c r="X643" s="442"/>
      <c r="Y643" s="443"/>
      <c r="Z643" s="444">
        <f t="shared" si="222"/>
        <v>0</v>
      </c>
      <c r="AA643" s="307"/>
      <c r="AB643" s="307"/>
      <c r="AC643" s="445">
        <f t="shared" si="223"/>
        <v>0</v>
      </c>
      <c r="AD643" s="442"/>
      <c r="AE643" s="443"/>
      <c r="AF643" s="444">
        <f t="shared" si="224"/>
        <v>0</v>
      </c>
      <c r="AG643" s="307"/>
      <c r="AH643" s="307"/>
      <c r="AI643" s="445">
        <f t="shared" si="225"/>
        <v>0</v>
      </c>
      <c r="AJ643" s="446"/>
      <c r="AK643" s="443"/>
      <c r="AL643" s="444">
        <f t="shared" si="226"/>
        <v>0</v>
      </c>
      <c r="AM643" s="307"/>
      <c r="AN643" s="307"/>
      <c r="AO643" s="447">
        <f t="shared" si="227"/>
        <v>0</v>
      </c>
      <c r="AP643" s="448"/>
      <c r="AQ643" s="443"/>
      <c r="AR643" s="444">
        <f t="shared" si="228"/>
        <v>0</v>
      </c>
      <c r="AS643" s="307"/>
      <c r="AT643" s="307"/>
      <c r="AU643" s="441">
        <f t="shared" si="229"/>
        <v>0</v>
      </c>
      <c r="AV643" s="442"/>
      <c r="AW643" s="443"/>
      <c r="AX643" s="444">
        <f t="shared" si="230"/>
        <v>0</v>
      </c>
      <c r="AY643" s="307"/>
      <c r="AZ643" s="307"/>
      <c r="BA643" s="445">
        <f t="shared" si="231"/>
        <v>0</v>
      </c>
      <c r="BB643" s="442"/>
      <c r="BC643" s="443"/>
      <c r="BD643" s="444">
        <f t="shared" si="232"/>
        <v>0</v>
      </c>
      <c r="BE643" s="307"/>
      <c r="BF643" s="307"/>
      <c r="BG643" s="445">
        <f t="shared" si="233"/>
        <v>0</v>
      </c>
      <c r="BH643" s="442"/>
      <c r="BI643" s="443"/>
      <c r="BJ643" s="444">
        <f t="shared" si="234"/>
        <v>0</v>
      </c>
      <c r="BK643" s="307"/>
      <c r="BL643" s="307"/>
      <c r="BM643" s="445">
        <f t="shared" si="235"/>
        <v>0</v>
      </c>
      <c r="BN643" s="442"/>
      <c r="BO643" s="443"/>
      <c r="BP643" s="444">
        <f t="shared" si="236"/>
        <v>0</v>
      </c>
      <c r="BQ643" s="307"/>
      <c r="BR643" s="307"/>
      <c r="BS643" s="445">
        <f t="shared" si="237"/>
        <v>0</v>
      </c>
      <c r="BT643" s="442"/>
      <c r="BU643" s="443"/>
      <c r="BV643" s="444">
        <f t="shared" si="238"/>
        <v>0</v>
      </c>
      <c r="BW643" s="307"/>
      <c r="BX643" s="307"/>
      <c r="BY643" s="449">
        <f t="shared" si="239"/>
        <v>0</v>
      </c>
    </row>
    <row r="644" spans="1:77" s="308" customFormat="1" ht="12.75" customHeight="1">
      <c r="A644" s="329" t="s">
        <v>344</v>
      </c>
      <c r="B644" s="330" t="s">
        <v>538</v>
      </c>
      <c r="C644" s="330"/>
      <c r="D644" s="329">
        <v>231882</v>
      </c>
      <c r="E644" s="456">
        <v>9</v>
      </c>
      <c r="F644" s="453"/>
      <c r="G644" s="454"/>
      <c r="H644" s="439">
        <f t="shared" si="216"/>
        <v>0</v>
      </c>
      <c r="I644" s="311"/>
      <c r="J644" s="311"/>
      <c r="K644" s="441">
        <f t="shared" si="217"/>
        <v>0</v>
      </c>
      <c r="L644" s="442"/>
      <c r="M644" s="443"/>
      <c r="N644" s="444">
        <f t="shared" si="218"/>
        <v>0</v>
      </c>
      <c r="O644" s="307"/>
      <c r="P644" s="307"/>
      <c r="Q644" s="445">
        <f t="shared" si="219"/>
        <v>0</v>
      </c>
      <c r="R644" s="442"/>
      <c r="S644" s="443"/>
      <c r="T644" s="444">
        <f t="shared" si="220"/>
        <v>0</v>
      </c>
      <c r="U644" s="307"/>
      <c r="V644" s="307"/>
      <c r="W644" s="441">
        <f t="shared" si="221"/>
        <v>0</v>
      </c>
      <c r="X644" s="442"/>
      <c r="Y644" s="443"/>
      <c r="Z644" s="444">
        <f t="shared" si="222"/>
        <v>0</v>
      </c>
      <c r="AA644" s="307"/>
      <c r="AB644" s="307"/>
      <c r="AC644" s="445">
        <f t="shared" si="223"/>
        <v>0</v>
      </c>
      <c r="AD644" s="442"/>
      <c r="AE644" s="443"/>
      <c r="AF644" s="444">
        <f t="shared" si="224"/>
        <v>0</v>
      </c>
      <c r="AG644" s="307"/>
      <c r="AH644" s="307"/>
      <c r="AI644" s="445">
        <f t="shared" si="225"/>
        <v>0</v>
      </c>
      <c r="AJ644" s="446"/>
      <c r="AK644" s="443"/>
      <c r="AL644" s="444">
        <f t="shared" si="226"/>
        <v>0</v>
      </c>
      <c r="AM644" s="307"/>
      <c r="AN644" s="307"/>
      <c r="AO644" s="447">
        <f t="shared" si="227"/>
        <v>0</v>
      </c>
      <c r="AP644" s="448"/>
      <c r="AQ644" s="443"/>
      <c r="AR644" s="444">
        <f t="shared" si="228"/>
        <v>0</v>
      </c>
      <c r="AS644" s="307"/>
      <c r="AT644" s="307"/>
      <c r="AU644" s="441">
        <f t="shared" si="229"/>
        <v>0</v>
      </c>
      <c r="AV644" s="442"/>
      <c r="AW644" s="443"/>
      <c r="AX644" s="444">
        <f t="shared" si="230"/>
        <v>0</v>
      </c>
      <c r="AY644" s="307"/>
      <c r="AZ644" s="307"/>
      <c r="BA644" s="445">
        <f t="shared" si="231"/>
        <v>0</v>
      </c>
      <c r="BB644" s="442"/>
      <c r="BC644" s="443"/>
      <c r="BD644" s="444">
        <f t="shared" si="232"/>
        <v>0</v>
      </c>
      <c r="BE644" s="307"/>
      <c r="BF644" s="307"/>
      <c r="BG644" s="445">
        <f t="shared" si="233"/>
        <v>0</v>
      </c>
      <c r="BH644" s="442"/>
      <c r="BI644" s="443"/>
      <c r="BJ644" s="444">
        <f t="shared" si="234"/>
        <v>0</v>
      </c>
      <c r="BK644" s="307"/>
      <c r="BL644" s="307"/>
      <c r="BM644" s="445">
        <f t="shared" si="235"/>
        <v>0</v>
      </c>
      <c r="BN644" s="442"/>
      <c r="BO644" s="443"/>
      <c r="BP644" s="444">
        <f t="shared" si="236"/>
        <v>0</v>
      </c>
      <c r="BQ644" s="307"/>
      <c r="BR644" s="307"/>
      <c r="BS644" s="445">
        <f t="shared" si="237"/>
        <v>0</v>
      </c>
      <c r="BT644" s="442"/>
      <c r="BU644" s="443"/>
      <c r="BV644" s="444">
        <f t="shared" si="238"/>
        <v>0</v>
      </c>
      <c r="BW644" s="307"/>
      <c r="BX644" s="307"/>
      <c r="BY644" s="449">
        <f t="shared" si="239"/>
        <v>0</v>
      </c>
    </row>
    <row r="645" spans="1:77" s="308" customFormat="1" ht="12.75" customHeight="1">
      <c r="A645" s="329" t="s">
        <v>344</v>
      </c>
      <c r="B645" s="330" t="s">
        <v>539</v>
      </c>
      <c r="C645" s="330"/>
      <c r="D645" s="329">
        <v>232195</v>
      </c>
      <c r="E645" s="456">
        <v>9</v>
      </c>
      <c r="F645" s="453"/>
      <c r="G645" s="454"/>
      <c r="H645" s="439">
        <f t="shared" si="216"/>
        <v>0</v>
      </c>
      <c r="I645" s="311"/>
      <c r="J645" s="311"/>
      <c r="K645" s="441">
        <f t="shared" si="217"/>
        <v>0</v>
      </c>
      <c r="L645" s="442"/>
      <c r="M645" s="443"/>
      <c r="N645" s="444">
        <f t="shared" si="218"/>
        <v>0</v>
      </c>
      <c r="O645" s="307"/>
      <c r="P645" s="307"/>
      <c r="Q645" s="445">
        <f t="shared" si="219"/>
        <v>0</v>
      </c>
      <c r="R645" s="442"/>
      <c r="S645" s="443"/>
      <c r="T645" s="444">
        <f t="shared" si="220"/>
        <v>0</v>
      </c>
      <c r="U645" s="307"/>
      <c r="V645" s="307"/>
      <c r="W645" s="441">
        <f t="shared" si="221"/>
        <v>0</v>
      </c>
      <c r="X645" s="442"/>
      <c r="Y645" s="443"/>
      <c r="Z645" s="444">
        <f t="shared" si="222"/>
        <v>0</v>
      </c>
      <c r="AA645" s="307"/>
      <c r="AB645" s="307"/>
      <c r="AC645" s="445">
        <f t="shared" si="223"/>
        <v>0</v>
      </c>
      <c r="AD645" s="442"/>
      <c r="AE645" s="443"/>
      <c r="AF645" s="444">
        <f t="shared" si="224"/>
        <v>0</v>
      </c>
      <c r="AG645" s="307"/>
      <c r="AH645" s="307"/>
      <c r="AI645" s="445">
        <f t="shared" si="225"/>
        <v>0</v>
      </c>
      <c r="AJ645" s="446"/>
      <c r="AK645" s="443"/>
      <c r="AL645" s="444">
        <f t="shared" si="226"/>
        <v>0</v>
      </c>
      <c r="AM645" s="307"/>
      <c r="AN645" s="307"/>
      <c r="AO645" s="447">
        <f t="shared" si="227"/>
        <v>0</v>
      </c>
      <c r="AP645" s="448"/>
      <c r="AQ645" s="443"/>
      <c r="AR645" s="444">
        <f t="shared" si="228"/>
        <v>0</v>
      </c>
      <c r="AS645" s="307"/>
      <c r="AT645" s="307"/>
      <c r="AU645" s="441">
        <f t="shared" si="229"/>
        <v>0</v>
      </c>
      <c r="AV645" s="442"/>
      <c r="AW645" s="443"/>
      <c r="AX645" s="444">
        <f t="shared" si="230"/>
        <v>0</v>
      </c>
      <c r="AY645" s="307"/>
      <c r="AZ645" s="307"/>
      <c r="BA645" s="445">
        <f t="shared" si="231"/>
        <v>0</v>
      </c>
      <c r="BB645" s="442"/>
      <c r="BC645" s="443"/>
      <c r="BD645" s="444">
        <f t="shared" si="232"/>
        <v>0</v>
      </c>
      <c r="BE645" s="307"/>
      <c r="BF645" s="307"/>
      <c r="BG645" s="445">
        <f t="shared" si="233"/>
        <v>0</v>
      </c>
      <c r="BH645" s="442"/>
      <c r="BI645" s="443"/>
      <c r="BJ645" s="444">
        <f t="shared" si="234"/>
        <v>0</v>
      </c>
      <c r="BK645" s="307"/>
      <c r="BL645" s="307"/>
      <c r="BM645" s="445">
        <f t="shared" si="235"/>
        <v>0</v>
      </c>
      <c r="BN645" s="442"/>
      <c r="BO645" s="443"/>
      <c r="BP645" s="444">
        <f t="shared" si="236"/>
        <v>0</v>
      </c>
      <c r="BQ645" s="307"/>
      <c r="BR645" s="307"/>
      <c r="BS645" s="445">
        <f t="shared" si="237"/>
        <v>0</v>
      </c>
      <c r="BT645" s="442"/>
      <c r="BU645" s="443"/>
      <c r="BV645" s="444">
        <f t="shared" si="238"/>
        <v>0</v>
      </c>
      <c r="BW645" s="307"/>
      <c r="BX645" s="307"/>
      <c r="BY645" s="449">
        <f t="shared" si="239"/>
        <v>0</v>
      </c>
    </row>
    <row r="646" spans="1:77" s="308" customFormat="1" ht="12.75" customHeight="1">
      <c r="A646" s="329" t="s">
        <v>344</v>
      </c>
      <c r="B646" s="330" t="s">
        <v>540</v>
      </c>
      <c r="C646" s="330"/>
      <c r="D646" s="329">
        <v>232450</v>
      </c>
      <c r="E646" s="456">
        <v>9</v>
      </c>
      <c r="F646" s="453"/>
      <c r="G646" s="454"/>
      <c r="H646" s="439">
        <f t="shared" si="216"/>
        <v>0</v>
      </c>
      <c r="I646" s="311"/>
      <c r="J646" s="311"/>
      <c r="K646" s="441">
        <f t="shared" si="217"/>
        <v>0</v>
      </c>
      <c r="L646" s="442"/>
      <c r="M646" s="443"/>
      <c r="N646" s="444">
        <f t="shared" si="218"/>
        <v>0</v>
      </c>
      <c r="O646" s="307"/>
      <c r="P646" s="307"/>
      <c r="Q646" s="445">
        <f t="shared" si="219"/>
        <v>0</v>
      </c>
      <c r="R646" s="442"/>
      <c r="S646" s="443"/>
      <c r="T646" s="444">
        <f t="shared" si="220"/>
        <v>0</v>
      </c>
      <c r="U646" s="307"/>
      <c r="V646" s="307"/>
      <c r="W646" s="441">
        <f t="shared" si="221"/>
        <v>0</v>
      </c>
      <c r="X646" s="442"/>
      <c r="Y646" s="443"/>
      <c r="Z646" s="444">
        <f t="shared" si="222"/>
        <v>0</v>
      </c>
      <c r="AA646" s="307"/>
      <c r="AB646" s="307"/>
      <c r="AC646" s="445">
        <f t="shared" si="223"/>
        <v>0</v>
      </c>
      <c r="AD646" s="442"/>
      <c r="AE646" s="443"/>
      <c r="AF646" s="444">
        <f t="shared" si="224"/>
        <v>0</v>
      </c>
      <c r="AG646" s="307"/>
      <c r="AH646" s="307"/>
      <c r="AI646" s="445">
        <f t="shared" si="225"/>
        <v>0</v>
      </c>
      <c r="AJ646" s="446"/>
      <c r="AK646" s="443"/>
      <c r="AL646" s="444">
        <f t="shared" si="226"/>
        <v>0</v>
      </c>
      <c r="AM646" s="307"/>
      <c r="AN646" s="307"/>
      <c r="AO646" s="447">
        <f t="shared" si="227"/>
        <v>0</v>
      </c>
      <c r="AP646" s="448"/>
      <c r="AQ646" s="443"/>
      <c r="AR646" s="444">
        <f t="shared" si="228"/>
        <v>0</v>
      </c>
      <c r="AS646" s="307"/>
      <c r="AT646" s="307"/>
      <c r="AU646" s="441">
        <f t="shared" si="229"/>
        <v>0</v>
      </c>
      <c r="AV646" s="442"/>
      <c r="AW646" s="443"/>
      <c r="AX646" s="444">
        <f t="shared" si="230"/>
        <v>0</v>
      </c>
      <c r="AY646" s="307"/>
      <c r="AZ646" s="307"/>
      <c r="BA646" s="445">
        <f t="shared" si="231"/>
        <v>0</v>
      </c>
      <c r="BB646" s="442"/>
      <c r="BC646" s="443"/>
      <c r="BD646" s="444">
        <f t="shared" si="232"/>
        <v>0</v>
      </c>
      <c r="BE646" s="307"/>
      <c r="BF646" s="307"/>
      <c r="BG646" s="445">
        <f t="shared" si="233"/>
        <v>0</v>
      </c>
      <c r="BH646" s="442"/>
      <c r="BI646" s="443"/>
      <c r="BJ646" s="444">
        <f t="shared" si="234"/>
        <v>0</v>
      </c>
      <c r="BK646" s="307"/>
      <c r="BL646" s="307"/>
      <c r="BM646" s="445">
        <f t="shared" si="235"/>
        <v>0</v>
      </c>
      <c r="BN646" s="442"/>
      <c r="BO646" s="443"/>
      <c r="BP646" s="444">
        <f t="shared" si="236"/>
        <v>0</v>
      </c>
      <c r="BQ646" s="307"/>
      <c r="BR646" s="307"/>
      <c r="BS646" s="445">
        <f t="shared" si="237"/>
        <v>0</v>
      </c>
      <c r="BT646" s="442"/>
      <c r="BU646" s="443"/>
      <c r="BV646" s="444">
        <f t="shared" si="238"/>
        <v>0</v>
      </c>
      <c r="BW646" s="307"/>
      <c r="BX646" s="307"/>
      <c r="BY646" s="449">
        <f t="shared" si="239"/>
        <v>0</v>
      </c>
    </row>
    <row r="647" spans="1:77" s="308" customFormat="1" ht="12.75" customHeight="1">
      <c r="A647" s="329" t="s">
        <v>344</v>
      </c>
      <c r="B647" s="330" t="s">
        <v>541</v>
      </c>
      <c r="C647" s="330"/>
      <c r="D647" s="329">
        <v>232575</v>
      </c>
      <c r="E647" s="456">
        <v>9</v>
      </c>
      <c r="F647" s="453"/>
      <c r="G647" s="454"/>
      <c r="H647" s="439">
        <f t="shared" si="216"/>
        <v>0</v>
      </c>
      <c r="I647" s="311"/>
      <c r="J647" s="311"/>
      <c r="K647" s="441">
        <f t="shared" si="217"/>
        <v>0</v>
      </c>
      <c r="L647" s="442"/>
      <c r="M647" s="443"/>
      <c r="N647" s="444">
        <f t="shared" si="218"/>
        <v>0</v>
      </c>
      <c r="O647" s="307"/>
      <c r="P647" s="307"/>
      <c r="Q647" s="445">
        <f t="shared" si="219"/>
        <v>0</v>
      </c>
      <c r="R647" s="442"/>
      <c r="S647" s="443"/>
      <c r="T647" s="444">
        <f t="shared" si="220"/>
        <v>0</v>
      </c>
      <c r="U647" s="307"/>
      <c r="V647" s="307"/>
      <c r="W647" s="441">
        <f t="shared" si="221"/>
        <v>0</v>
      </c>
      <c r="X647" s="442"/>
      <c r="Y647" s="443"/>
      <c r="Z647" s="444">
        <f t="shared" si="222"/>
        <v>0</v>
      </c>
      <c r="AA647" s="307"/>
      <c r="AB647" s="307"/>
      <c r="AC647" s="445">
        <f t="shared" si="223"/>
        <v>0</v>
      </c>
      <c r="AD647" s="442"/>
      <c r="AE647" s="443"/>
      <c r="AF647" s="444">
        <f t="shared" si="224"/>
        <v>0</v>
      </c>
      <c r="AG647" s="307"/>
      <c r="AH647" s="307"/>
      <c r="AI647" s="445">
        <f t="shared" si="225"/>
        <v>0</v>
      </c>
      <c r="AJ647" s="446"/>
      <c r="AK647" s="443"/>
      <c r="AL647" s="444">
        <f t="shared" si="226"/>
        <v>0</v>
      </c>
      <c r="AM647" s="307"/>
      <c r="AN647" s="307"/>
      <c r="AO647" s="447">
        <f t="shared" si="227"/>
        <v>0</v>
      </c>
      <c r="AP647" s="448"/>
      <c r="AQ647" s="443"/>
      <c r="AR647" s="444">
        <f t="shared" si="228"/>
        <v>0</v>
      </c>
      <c r="AS647" s="307"/>
      <c r="AT647" s="307"/>
      <c r="AU647" s="441">
        <f t="shared" si="229"/>
        <v>0</v>
      </c>
      <c r="AV647" s="442"/>
      <c r="AW647" s="443"/>
      <c r="AX647" s="444">
        <f t="shared" si="230"/>
        <v>0</v>
      </c>
      <c r="AY647" s="307"/>
      <c r="AZ647" s="307"/>
      <c r="BA647" s="445">
        <f t="shared" si="231"/>
        <v>0</v>
      </c>
      <c r="BB647" s="442"/>
      <c r="BC647" s="443"/>
      <c r="BD647" s="444">
        <f t="shared" si="232"/>
        <v>0</v>
      </c>
      <c r="BE647" s="307"/>
      <c r="BF647" s="307"/>
      <c r="BG647" s="445">
        <f t="shared" si="233"/>
        <v>0</v>
      </c>
      <c r="BH647" s="442"/>
      <c r="BI647" s="443"/>
      <c r="BJ647" s="444">
        <f t="shared" si="234"/>
        <v>0</v>
      </c>
      <c r="BK647" s="307"/>
      <c r="BL647" s="307"/>
      <c r="BM647" s="445">
        <f t="shared" si="235"/>
        <v>0</v>
      </c>
      <c r="BN647" s="442"/>
      <c r="BO647" s="443"/>
      <c r="BP647" s="444">
        <f t="shared" si="236"/>
        <v>0</v>
      </c>
      <c r="BQ647" s="307"/>
      <c r="BR647" s="307"/>
      <c r="BS647" s="445">
        <f t="shared" si="237"/>
        <v>0</v>
      </c>
      <c r="BT647" s="442"/>
      <c r="BU647" s="443"/>
      <c r="BV647" s="444">
        <f t="shared" si="238"/>
        <v>0</v>
      </c>
      <c r="BW647" s="307"/>
      <c r="BX647" s="307"/>
      <c r="BY647" s="449">
        <f t="shared" si="239"/>
        <v>0</v>
      </c>
    </row>
    <row r="648" spans="1:77" s="308" customFormat="1" ht="12.75" customHeight="1">
      <c r="A648" s="329" t="s">
        <v>344</v>
      </c>
      <c r="B648" s="330" t="s">
        <v>542</v>
      </c>
      <c r="C648" s="330"/>
      <c r="D648" s="329">
        <v>232867</v>
      </c>
      <c r="E648" s="456">
        <v>9</v>
      </c>
      <c r="F648" s="453"/>
      <c r="G648" s="454"/>
      <c r="H648" s="439">
        <f t="shared" si="216"/>
        <v>0</v>
      </c>
      <c r="I648" s="311"/>
      <c r="J648" s="311"/>
      <c r="K648" s="441">
        <f t="shared" si="217"/>
        <v>0</v>
      </c>
      <c r="L648" s="442"/>
      <c r="M648" s="443"/>
      <c r="N648" s="444">
        <f t="shared" si="218"/>
        <v>0</v>
      </c>
      <c r="O648" s="307"/>
      <c r="P648" s="307"/>
      <c r="Q648" s="445">
        <f t="shared" si="219"/>
        <v>0</v>
      </c>
      <c r="R648" s="442"/>
      <c r="S648" s="443"/>
      <c r="T648" s="444">
        <f t="shared" si="220"/>
        <v>0</v>
      </c>
      <c r="U648" s="307"/>
      <c r="V648" s="307"/>
      <c r="W648" s="441">
        <f t="shared" si="221"/>
        <v>0</v>
      </c>
      <c r="X648" s="442"/>
      <c r="Y648" s="443"/>
      <c r="Z648" s="444">
        <f t="shared" si="222"/>
        <v>0</v>
      </c>
      <c r="AA648" s="307"/>
      <c r="AB648" s="307"/>
      <c r="AC648" s="445">
        <f t="shared" si="223"/>
        <v>0</v>
      </c>
      <c r="AD648" s="442"/>
      <c r="AE648" s="443"/>
      <c r="AF648" s="444">
        <f t="shared" si="224"/>
        <v>0</v>
      </c>
      <c r="AG648" s="307"/>
      <c r="AH648" s="307"/>
      <c r="AI648" s="445">
        <f t="shared" si="225"/>
        <v>0</v>
      </c>
      <c r="AJ648" s="446"/>
      <c r="AK648" s="443"/>
      <c r="AL648" s="444">
        <f t="shared" si="226"/>
        <v>0</v>
      </c>
      <c r="AM648" s="307"/>
      <c r="AN648" s="307"/>
      <c r="AO648" s="447">
        <f t="shared" si="227"/>
        <v>0</v>
      </c>
      <c r="AP648" s="448"/>
      <c r="AQ648" s="443"/>
      <c r="AR648" s="444">
        <f t="shared" si="228"/>
        <v>0</v>
      </c>
      <c r="AS648" s="307"/>
      <c r="AT648" s="307"/>
      <c r="AU648" s="441">
        <f t="shared" si="229"/>
        <v>0</v>
      </c>
      <c r="AV648" s="442"/>
      <c r="AW648" s="443"/>
      <c r="AX648" s="444">
        <f t="shared" si="230"/>
        <v>0</v>
      </c>
      <c r="AY648" s="307"/>
      <c r="AZ648" s="307"/>
      <c r="BA648" s="445">
        <f t="shared" si="231"/>
        <v>0</v>
      </c>
      <c r="BB648" s="442"/>
      <c r="BC648" s="443"/>
      <c r="BD648" s="444">
        <f t="shared" si="232"/>
        <v>0</v>
      </c>
      <c r="BE648" s="307"/>
      <c r="BF648" s="307"/>
      <c r="BG648" s="445">
        <f t="shared" si="233"/>
        <v>0</v>
      </c>
      <c r="BH648" s="442"/>
      <c r="BI648" s="443"/>
      <c r="BJ648" s="444">
        <f t="shared" si="234"/>
        <v>0</v>
      </c>
      <c r="BK648" s="307"/>
      <c r="BL648" s="307"/>
      <c r="BM648" s="445">
        <f t="shared" si="235"/>
        <v>0</v>
      </c>
      <c r="BN648" s="442"/>
      <c r="BO648" s="443"/>
      <c r="BP648" s="444">
        <f t="shared" si="236"/>
        <v>0</v>
      </c>
      <c r="BQ648" s="307"/>
      <c r="BR648" s="307"/>
      <c r="BS648" s="445">
        <f t="shared" si="237"/>
        <v>0</v>
      </c>
      <c r="BT648" s="442"/>
      <c r="BU648" s="443"/>
      <c r="BV648" s="444">
        <f t="shared" si="238"/>
        <v>0</v>
      </c>
      <c r="BW648" s="307"/>
      <c r="BX648" s="307"/>
      <c r="BY648" s="449">
        <f t="shared" si="239"/>
        <v>0</v>
      </c>
    </row>
    <row r="649" spans="1:77" s="308" customFormat="1" ht="12.75" customHeight="1">
      <c r="A649" s="329" t="s">
        <v>344</v>
      </c>
      <c r="B649" s="330" t="s">
        <v>544</v>
      </c>
      <c r="C649" s="330"/>
      <c r="D649" s="329">
        <v>233116</v>
      </c>
      <c r="E649" s="456">
        <v>9</v>
      </c>
      <c r="F649" s="453"/>
      <c r="G649" s="454"/>
      <c r="H649" s="439">
        <f t="shared" ref="H649:H683" si="240">F649*G649</f>
        <v>0</v>
      </c>
      <c r="I649" s="311"/>
      <c r="J649" s="311"/>
      <c r="K649" s="441">
        <f t="shared" ref="K649:K683" si="241">I649*J649</f>
        <v>0</v>
      </c>
      <c r="L649" s="442"/>
      <c r="M649" s="443"/>
      <c r="N649" s="444">
        <f t="shared" ref="N649:N683" si="242">L649*M649</f>
        <v>0</v>
      </c>
      <c r="O649" s="307"/>
      <c r="P649" s="307"/>
      <c r="Q649" s="445">
        <f t="shared" ref="Q649:Q683" si="243">O649*P649</f>
        <v>0</v>
      </c>
      <c r="R649" s="442"/>
      <c r="S649" s="443"/>
      <c r="T649" s="444">
        <f t="shared" ref="T649:T683" si="244">R649*S649</f>
        <v>0</v>
      </c>
      <c r="U649" s="307"/>
      <c r="V649" s="307"/>
      <c r="W649" s="441">
        <f t="shared" ref="W649:W683" si="245">U649*V649</f>
        <v>0</v>
      </c>
      <c r="X649" s="442"/>
      <c r="Y649" s="443"/>
      <c r="Z649" s="444">
        <f t="shared" ref="Z649:Z683" si="246">X649*Y649</f>
        <v>0</v>
      </c>
      <c r="AA649" s="307"/>
      <c r="AB649" s="307"/>
      <c r="AC649" s="445">
        <f t="shared" ref="AC649:AC683" si="247">AA649*AB649</f>
        <v>0</v>
      </c>
      <c r="AD649" s="442"/>
      <c r="AE649" s="443"/>
      <c r="AF649" s="444">
        <f t="shared" ref="AF649:AF683" si="248">AD649*AE649</f>
        <v>0</v>
      </c>
      <c r="AG649" s="307"/>
      <c r="AH649" s="307"/>
      <c r="AI649" s="445">
        <f t="shared" ref="AI649:AI683" si="249">AG649*AH649</f>
        <v>0</v>
      </c>
      <c r="AJ649" s="446"/>
      <c r="AK649" s="443"/>
      <c r="AL649" s="444">
        <f t="shared" ref="AL649:AL683" si="250">AJ649*AK649</f>
        <v>0</v>
      </c>
      <c r="AM649" s="307"/>
      <c r="AN649" s="307"/>
      <c r="AO649" s="447">
        <f t="shared" ref="AO649:AO683" si="251">AM649*AN649</f>
        <v>0</v>
      </c>
      <c r="AP649" s="448"/>
      <c r="AQ649" s="443"/>
      <c r="AR649" s="444">
        <f t="shared" ref="AR649:AR683" si="252">(AP649*AQ649)*0.8182</f>
        <v>0</v>
      </c>
      <c r="AS649" s="307"/>
      <c r="AT649" s="307"/>
      <c r="AU649" s="441">
        <f t="shared" ref="AU649:AU683" si="253">(AS649*AT649)*0.8182</f>
        <v>0</v>
      </c>
      <c r="AV649" s="442"/>
      <c r="AW649" s="443"/>
      <c r="AX649" s="444">
        <f t="shared" ref="AX649:AX683" si="254">(AV649*AW649)*0.8182</f>
        <v>0</v>
      </c>
      <c r="AY649" s="307"/>
      <c r="AZ649" s="307"/>
      <c r="BA649" s="445">
        <f t="shared" ref="BA649:BA683" si="255">(AY649*AZ649)*0.8182</f>
        <v>0</v>
      </c>
      <c r="BB649" s="442"/>
      <c r="BC649" s="443"/>
      <c r="BD649" s="444">
        <f t="shared" ref="BD649:BD683" si="256">(BB649*BC649)*0.8182</f>
        <v>0</v>
      </c>
      <c r="BE649" s="307"/>
      <c r="BF649" s="307"/>
      <c r="BG649" s="445">
        <f t="shared" ref="BG649:BG683" si="257">(BE649*BF649)*0.8182</f>
        <v>0</v>
      </c>
      <c r="BH649" s="442"/>
      <c r="BI649" s="443"/>
      <c r="BJ649" s="444">
        <f t="shared" ref="BJ649:BJ683" si="258">(BH649*BI649)*0.8182</f>
        <v>0</v>
      </c>
      <c r="BK649" s="307"/>
      <c r="BL649" s="307"/>
      <c r="BM649" s="445">
        <f t="shared" ref="BM649:BM683" si="259">(BK649*BL649)*0.8182</f>
        <v>0</v>
      </c>
      <c r="BN649" s="442"/>
      <c r="BO649" s="443"/>
      <c r="BP649" s="444">
        <f t="shared" ref="BP649:BP683" si="260">(BN649*BO649)*0.8182</f>
        <v>0</v>
      </c>
      <c r="BQ649" s="307"/>
      <c r="BR649" s="307"/>
      <c r="BS649" s="445">
        <f t="shared" ref="BS649:BS683" si="261">(BQ649*BR649)*0.8182</f>
        <v>0</v>
      </c>
      <c r="BT649" s="442"/>
      <c r="BU649" s="443"/>
      <c r="BV649" s="444">
        <f t="shared" ref="BV649:BV683" si="262">(BT649*BU649)*0.8182</f>
        <v>0</v>
      </c>
      <c r="BW649" s="307"/>
      <c r="BX649" s="307"/>
      <c r="BY649" s="449">
        <f t="shared" ref="BY649:BY683" si="263">(BW649*BX649)*0.8182</f>
        <v>0</v>
      </c>
    </row>
    <row r="650" spans="1:77" s="308" customFormat="1" ht="12.75" customHeight="1">
      <c r="A650" s="329" t="s">
        <v>344</v>
      </c>
      <c r="B650" s="330" t="s">
        <v>545</v>
      </c>
      <c r="C650" s="330"/>
      <c r="D650" s="329">
        <v>233639</v>
      </c>
      <c r="E650" s="456">
        <v>9</v>
      </c>
      <c r="F650" s="453"/>
      <c r="G650" s="454"/>
      <c r="H650" s="439">
        <f t="shared" si="240"/>
        <v>0</v>
      </c>
      <c r="I650" s="311"/>
      <c r="J650" s="311"/>
      <c r="K650" s="441">
        <f t="shared" si="241"/>
        <v>0</v>
      </c>
      <c r="L650" s="442"/>
      <c r="M650" s="443"/>
      <c r="N650" s="444">
        <f t="shared" si="242"/>
        <v>0</v>
      </c>
      <c r="O650" s="307"/>
      <c r="P650" s="307"/>
      <c r="Q650" s="445">
        <f t="shared" si="243"/>
        <v>0</v>
      </c>
      <c r="R650" s="442"/>
      <c r="S650" s="443"/>
      <c r="T650" s="444">
        <f t="shared" si="244"/>
        <v>0</v>
      </c>
      <c r="U650" s="307"/>
      <c r="V650" s="307"/>
      <c r="W650" s="441">
        <f t="shared" si="245"/>
        <v>0</v>
      </c>
      <c r="X650" s="442"/>
      <c r="Y650" s="443"/>
      <c r="Z650" s="444">
        <f t="shared" si="246"/>
        <v>0</v>
      </c>
      <c r="AA650" s="307"/>
      <c r="AB650" s="307"/>
      <c r="AC650" s="445">
        <f t="shared" si="247"/>
        <v>0</v>
      </c>
      <c r="AD650" s="442"/>
      <c r="AE650" s="443"/>
      <c r="AF650" s="444">
        <f t="shared" si="248"/>
        <v>0</v>
      </c>
      <c r="AG650" s="307"/>
      <c r="AH650" s="307"/>
      <c r="AI650" s="445">
        <f t="shared" si="249"/>
        <v>0</v>
      </c>
      <c r="AJ650" s="446"/>
      <c r="AK650" s="443"/>
      <c r="AL650" s="444">
        <f t="shared" si="250"/>
        <v>0</v>
      </c>
      <c r="AM650" s="307"/>
      <c r="AN650" s="307"/>
      <c r="AO650" s="447">
        <f t="shared" si="251"/>
        <v>0</v>
      </c>
      <c r="AP650" s="448"/>
      <c r="AQ650" s="443"/>
      <c r="AR650" s="444">
        <f t="shared" si="252"/>
        <v>0</v>
      </c>
      <c r="AS650" s="307"/>
      <c r="AT650" s="307"/>
      <c r="AU650" s="441">
        <f t="shared" si="253"/>
        <v>0</v>
      </c>
      <c r="AV650" s="442"/>
      <c r="AW650" s="443"/>
      <c r="AX650" s="444">
        <f t="shared" si="254"/>
        <v>0</v>
      </c>
      <c r="AY650" s="307"/>
      <c r="AZ650" s="307"/>
      <c r="BA650" s="445">
        <f t="shared" si="255"/>
        <v>0</v>
      </c>
      <c r="BB650" s="442"/>
      <c r="BC650" s="443"/>
      <c r="BD650" s="444">
        <f t="shared" si="256"/>
        <v>0</v>
      </c>
      <c r="BE650" s="307"/>
      <c r="BF650" s="307"/>
      <c r="BG650" s="445">
        <f t="shared" si="257"/>
        <v>0</v>
      </c>
      <c r="BH650" s="442"/>
      <c r="BI650" s="443"/>
      <c r="BJ650" s="444">
        <f t="shared" si="258"/>
        <v>0</v>
      </c>
      <c r="BK650" s="307"/>
      <c r="BL650" s="307"/>
      <c r="BM650" s="445">
        <f t="shared" si="259"/>
        <v>0</v>
      </c>
      <c r="BN650" s="442"/>
      <c r="BO650" s="443"/>
      <c r="BP650" s="444">
        <f t="shared" si="260"/>
        <v>0</v>
      </c>
      <c r="BQ650" s="307"/>
      <c r="BR650" s="307"/>
      <c r="BS650" s="445">
        <f t="shared" si="261"/>
        <v>0</v>
      </c>
      <c r="BT650" s="442"/>
      <c r="BU650" s="443"/>
      <c r="BV650" s="444">
        <f t="shared" si="262"/>
        <v>0</v>
      </c>
      <c r="BW650" s="307"/>
      <c r="BX650" s="307"/>
      <c r="BY650" s="449">
        <f t="shared" si="263"/>
        <v>0</v>
      </c>
    </row>
    <row r="651" spans="1:77" s="308" customFormat="1" ht="12.75" customHeight="1">
      <c r="A651" s="329" t="s">
        <v>344</v>
      </c>
      <c r="B651" s="330" t="s">
        <v>546</v>
      </c>
      <c r="C651" s="330"/>
      <c r="D651" s="329">
        <v>233648</v>
      </c>
      <c r="E651" s="456">
        <v>9</v>
      </c>
      <c r="F651" s="453"/>
      <c r="G651" s="454"/>
      <c r="H651" s="439">
        <f t="shared" si="240"/>
        <v>0</v>
      </c>
      <c r="I651" s="311"/>
      <c r="J651" s="311"/>
      <c r="K651" s="441">
        <f t="shared" si="241"/>
        <v>0</v>
      </c>
      <c r="L651" s="442"/>
      <c r="M651" s="443"/>
      <c r="N651" s="444">
        <f t="shared" si="242"/>
        <v>0</v>
      </c>
      <c r="O651" s="307"/>
      <c r="P651" s="307"/>
      <c r="Q651" s="445">
        <f t="shared" si="243"/>
        <v>0</v>
      </c>
      <c r="R651" s="442"/>
      <c r="S651" s="443"/>
      <c r="T651" s="444">
        <f t="shared" si="244"/>
        <v>0</v>
      </c>
      <c r="U651" s="307"/>
      <c r="V651" s="307"/>
      <c r="W651" s="441">
        <f t="shared" si="245"/>
        <v>0</v>
      </c>
      <c r="X651" s="442"/>
      <c r="Y651" s="443"/>
      <c r="Z651" s="444">
        <f t="shared" si="246"/>
        <v>0</v>
      </c>
      <c r="AA651" s="307"/>
      <c r="AB651" s="307"/>
      <c r="AC651" s="445">
        <f t="shared" si="247"/>
        <v>0</v>
      </c>
      <c r="AD651" s="442"/>
      <c r="AE651" s="443"/>
      <c r="AF651" s="444">
        <f t="shared" si="248"/>
        <v>0</v>
      </c>
      <c r="AG651" s="307"/>
      <c r="AH651" s="307"/>
      <c r="AI651" s="445">
        <f t="shared" si="249"/>
        <v>0</v>
      </c>
      <c r="AJ651" s="446"/>
      <c r="AK651" s="443"/>
      <c r="AL651" s="444">
        <f t="shared" si="250"/>
        <v>0</v>
      </c>
      <c r="AM651" s="307"/>
      <c r="AN651" s="307"/>
      <c r="AO651" s="447">
        <f t="shared" si="251"/>
        <v>0</v>
      </c>
      <c r="AP651" s="448"/>
      <c r="AQ651" s="443"/>
      <c r="AR651" s="444">
        <f t="shared" si="252"/>
        <v>0</v>
      </c>
      <c r="AS651" s="307"/>
      <c r="AT651" s="307"/>
      <c r="AU651" s="441">
        <f t="shared" si="253"/>
        <v>0</v>
      </c>
      <c r="AV651" s="442"/>
      <c r="AW651" s="443"/>
      <c r="AX651" s="444">
        <f t="shared" si="254"/>
        <v>0</v>
      </c>
      <c r="AY651" s="307"/>
      <c r="AZ651" s="307"/>
      <c r="BA651" s="445">
        <f t="shared" si="255"/>
        <v>0</v>
      </c>
      <c r="BB651" s="442"/>
      <c r="BC651" s="443"/>
      <c r="BD651" s="444">
        <f t="shared" si="256"/>
        <v>0</v>
      </c>
      <c r="BE651" s="307"/>
      <c r="BF651" s="307"/>
      <c r="BG651" s="445">
        <f t="shared" si="257"/>
        <v>0</v>
      </c>
      <c r="BH651" s="442"/>
      <c r="BI651" s="443"/>
      <c r="BJ651" s="444">
        <f t="shared" si="258"/>
        <v>0</v>
      </c>
      <c r="BK651" s="307"/>
      <c r="BL651" s="307"/>
      <c r="BM651" s="445">
        <f t="shared" si="259"/>
        <v>0</v>
      </c>
      <c r="BN651" s="442"/>
      <c r="BO651" s="443"/>
      <c r="BP651" s="444">
        <f t="shared" si="260"/>
        <v>0</v>
      </c>
      <c r="BQ651" s="307"/>
      <c r="BR651" s="307"/>
      <c r="BS651" s="445">
        <f t="shared" si="261"/>
        <v>0</v>
      </c>
      <c r="BT651" s="442"/>
      <c r="BU651" s="443"/>
      <c r="BV651" s="444">
        <f t="shared" si="262"/>
        <v>0</v>
      </c>
      <c r="BW651" s="307"/>
      <c r="BX651" s="307"/>
      <c r="BY651" s="449">
        <f t="shared" si="263"/>
        <v>0</v>
      </c>
    </row>
    <row r="652" spans="1:77" s="308" customFormat="1" ht="12.75" customHeight="1">
      <c r="A652" s="329" t="s">
        <v>344</v>
      </c>
      <c r="B652" s="413" t="s">
        <v>547</v>
      </c>
      <c r="C652" s="562" t="s">
        <v>1067</v>
      </c>
      <c r="D652" s="329">
        <v>233949</v>
      </c>
      <c r="E652" s="456">
        <v>9</v>
      </c>
      <c r="F652" s="453"/>
      <c r="G652" s="454"/>
      <c r="H652" s="439">
        <f t="shared" si="240"/>
        <v>0</v>
      </c>
      <c r="I652" s="311"/>
      <c r="J652" s="311"/>
      <c r="K652" s="441">
        <f t="shared" si="241"/>
        <v>0</v>
      </c>
      <c r="L652" s="442"/>
      <c r="M652" s="443"/>
      <c r="N652" s="444">
        <f t="shared" si="242"/>
        <v>0</v>
      </c>
      <c r="O652" s="307"/>
      <c r="P652" s="307"/>
      <c r="Q652" s="445">
        <f t="shared" si="243"/>
        <v>0</v>
      </c>
      <c r="R652" s="442"/>
      <c r="S652" s="443"/>
      <c r="T652" s="444">
        <f t="shared" si="244"/>
        <v>0</v>
      </c>
      <c r="U652" s="307"/>
      <c r="V652" s="307"/>
      <c r="W652" s="441">
        <f t="shared" si="245"/>
        <v>0</v>
      </c>
      <c r="X652" s="442"/>
      <c r="Y652" s="443"/>
      <c r="Z652" s="444">
        <f t="shared" si="246"/>
        <v>0</v>
      </c>
      <c r="AA652" s="307"/>
      <c r="AB652" s="307"/>
      <c r="AC652" s="445">
        <f t="shared" si="247"/>
        <v>0</v>
      </c>
      <c r="AD652" s="442"/>
      <c r="AE652" s="443"/>
      <c r="AF652" s="444">
        <f t="shared" si="248"/>
        <v>0</v>
      </c>
      <c r="AG652" s="307"/>
      <c r="AH652" s="307"/>
      <c r="AI652" s="445">
        <f t="shared" si="249"/>
        <v>0</v>
      </c>
      <c r="AJ652" s="446"/>
      <c r="AK652" s="443"/>
      <c r="AL652" s="444">
        <f t="shared" si="250"/>
        <v>0</v>
      </c>
      <c r="AM652" s="307"/>
      <c r="AN652" s="307"/>
      <c r="AO652" s="447">
        <f t="shared" si="251"/>
        <v>0</v>
      </c>
      <c r="AP652" s="448"/>
      <c r="AQ652" s="443"/>
      <c r="AR652" s="444">
        <f t="shared" si="252"/>
        <v>0</v>
      </c>
      <c r="AS652" s="307"/>
      <c r="AT652" s="307"/>
      <c r="AU652" s="441">
        <f t="shared" si="253"/>
        <v>0</v>
      </c>
      <c r="AV652" s="442"/>
      <c r="AW652" s="443"/>
      <c r="AX652" s="444">
        <f t="shared" si="254"/>
        <v>0</v>
      </c>
      <c r="AY652" s="307"/>
      <c r="AZ652" s="307"/>
      <c r="BA652" s="445">
        <f t="shared" si="255"/>
        <v>0</v>
      </c>
      <c r="BB652" s="442"/>
      <c r="BC652" s="443"/>
      <c r="BD652" s="444">
        <f t="shared" si="256"/>
        <v>0</v>
      </c>
      <c r="BE652" s="307"/>
      <c r="BF652" s="307"/>
      <c r="BG652" s="445">
        <f t="shared" si="257"/>
        <v>0</v>
      </c>
      <c r="BH652" s="442"/>
      <c r="BI652" s="443"/>
      <c r="BJ652" s="444">
        <f t="shared" si="258"/>
        <v>0</v>
      </c>
      <c r="BK652" s="307"/>
      <c r="BL652" s="307"/>
      <c r="BM652" s="445">
        <f t="shared" si="259"/>
        <v>0</v>
      </c>
      <c r="BN652" s="442"/>
      <c r="BO652" s="443"/>
      <c r="BP652" s="444">
        <f t="shared" si="260"/>
        <v>0</v>
      </c>
      <c r="BQ652" s="307"/>
      <c r="BR652" s="307"/>
      <c r="BS652" s="445">
        <f t="shared" si="261"/>
        <v>0</v>
      </c>
      <c r="BT652" s="442"/>
      <c r="BU652" s="443"/>
      <c r="BV652" s="444">
        <f t="shared" si="262"/>
        <v>0</v>
      </c>
      <c r="BW652" s="307"/>
      <c r="BX652" s="307"/>
      <c r="BY652" s="449">
        <f t="shared" si="263"/>
        <v>0</v>
      </c>
    </row>
    <row r="653" spans="1:77" s="308" customFormat="1" ht="12.75" customHeight="1">
      <c r="A653" s="329" t="s">
        <v>344</v>
      </c>
      <c r="B653" s="387" t="s">
        <v>548</v>
      </c>
      <c r="C653" s="387"/>
      <c r="D653" s="329">
        <v>231873</v>
      </c>
      <c r="E653" s="456">
        <v>10</v>
      </c>
      <c r="F653" s="453"/>
      <c r="G653" s="454"/>
      <c r="H653" s="439">
        <f t="shared" si="240"/>
        <v>0</v>
      </c>
      <c r="I653" s="311"/>
      <c r="J653" s="311"/>
      <c r="K653" s="441">
        <f t="shared" si="241"/>
        <v>0</v>
      </c>
      <c r="L653" s="442"/>
      <c r="M653" s="443"/>
      <c r="N653" s="444">
        <f t="shared" si="242"/>
        <v>0</v>
      </c>
      <c r="O653" s="307"/>
      <c r="P653" s="307"/>
      <c r="Q653" s="445">
        <f t="shared" si="243"/>
        <v>0</v>
      </c>
      <c r="R653" s="442"/>
      <c r="S653" s="443"/>
      <c r="T653" s="444">
        <f t="shared" si="244"/>
        <v>0</v>
      </c>
      <c r="U653" s="307"/>
      <c r="V653" s="307"/>
      <c r="W653" s="441">
        <f t="shared" si="245"/>
        <v>0</v>
      </c>
      <c r="X653" s="442"/>
      <c r="Y653" s="443"/>
      <c r="Z653" s="444">
        <f t="shared" si="246"/>
        <v>0</v>
      </c>
      <c r="AA653" s="307"/>
      <c r="AB653" s="307"/>
      <c r="AC653" s="445">
        <f t="shared" si="247"/>
        <v>0</v>
      </c>
      <c r="AD653" s="442"/>
      <c r="AE653" s="443"/>
      <c r="AF653" s="444">
        <f t="shared" si="248"/>
        <v>0</v>
      </c>
      <c r="AG653" s="307"/>
      <c r="AH653" s="307"/>
      <c r="AI653" s="445">
        <f t="shared" si="249"/>
        <v>0</v>
      </c>
      <c r="AJ653" s="446"/>
      <c r="AK653" s="443"/>
      <c r="AL653" s="444">
        <f t="shared" si="250"/>
        <v>0</v>
      </c>
      <c r="AM653" s="307"/>
      <c r="AN653" s="307"/>
      <c r="AO653" s="447">
        <f t="shared" si="251"/>
        <v>0</v>
      </c>
      <c r="AP653" s="448"/>
      <c r="AQ653" s="443"/>
      <c r="AR653" s="444">
        <f t="shared" si="252"/>
        <v>0</v>
      </c>
      <c r="AS653" s="307"/>
      <c r="AT653" s="307"/>
      <c r="AU653" s="441">
        <f t="shared" si="253"/>
        <v>0</v>
      </c>
      <c r="AV653" s="442"/>
      <c r="AW653" s="443"/>
      <c r="AX653" s="444">
        <f t="shared" si="254"/>
        <v>0</v>
      </c>
      <c r="AY653" s="307"/>
      <c r="AZ653" s="307"/>
      <c r="BA653" s="445">
        <f t="shared" si="255"/>
        <v>0</v>
      </c>
      <c r="BB653" s="442"/>
      <c r="BC653" s="443"/>
      <c r="BD653" s="444">
        <f t="shared" si="256"/>
        <v>0</v>
      </c>
      <c r="BE653" s="307"/>
      <c r="BF653" s="307"/>
      <c r="BG653" s="445">
        <f t="shared" si="257"/>
        <v>0</v>
      </c>
      <c r="BH653" s="442"/>
      <c r="BI653" s="443"/>
      <c r="BJ653" s="444">
        <f t="shared" si="258"/>
        <v>0</v>
      </c>
      <c r="BK653" s="307"/>
      <c r="BL653" s="307"/>
      <c r="BM653" s="445">
        <f t="shared" si="259"/>
        <v>0</v>
      </c>
      <c r="BN653" s="442"/>
      <c r="BO653" s="443"/>
      <c r="BP653" s="444">
        <f t="shared" si="260"/>
        <v>0</v>
      </c>
      <c r="BQ653" s="307"/>
      <c r="BR653" s="307"/>
      <c r="BS653" s="445">
        <f t="shared" si="261"/>
        <v>0</v>
      </c>
      <c r="BT653" s="442"/>
      <c r="BU653" s="443"/>
      <c r="BV653" s="444">
        <f t="shared" si="262"/>
        <v>0</v>
      </c>
      <c r="BW653" s="307"/>
      <c r="BX653" s="307"/>
      <c r="BY653" s="449">
        <f t="shared" si="263"/>
        <v>0</v>
      </c>
    </row>
    <row r="654" spans="1:77" s="308" customFormat="1" ht="12.75" customHeight="1">
      <c r="A654" s="329" t="s">
        <v>344</v>
      </c>
      <c r="B654" s="330" t="s">
        <v>549</v>
      </c>
      <c r="C654" s="330"/>
      <c r="D654" s="329">
        <v>232052</v>
      </c>
      <c r="E654" s="456">
        <v>10</v>
      </c>
      <c r="F654" s="453"/>
      <c r="G654" s="454"/>
      <c r="H654" s="439">
        <f t="shared" si="240"/>
        <v>0</v>
      </c>
      <c r="I654" s="311"/>
      <c r="J654" s="311"/>
      <c r="K654" s="441">
        <f t="shared" si="241"/>
        <v>0</v>
      </c>
      <c r="L654" s="442"/>
      <c r="M654" s="443"/>
      <c r="N654" s="444">
        <f t="shared" si="242"/>
        <v>0</v>
      </c>
      <c r="O654" s="307"/>
      <c r="P654" s="307"/>
      <c r="Q654" s="445">
        <f t="shared" si="243"/>
        <v>0</v>
      </c>
      <c r="R654" s="442"/>
      <c r="S654" s="443"/>
      <c r="T654" s="444">
        <f t="shared" si="244"/>
        <v>0</v>
      </c>
      <c r="U654" s="307"/>
      <c r="V654" s="307"/>
      <c r="W654" s="441">
        <f t="shared" si="245"/>
        <v>0</v>
      </c>
      <c r="X654" s="442"/>
      <c r="Y654" s="443"/>
      <c r="Z654" s="444">
        <f t="shared" si="246"/>
        <v>0</v>
      </c>
      <c r="AA654" s="307"/>
      <c r="AB654" s="307"/>
      <c r="AC654" s="445">
        <f t="shared" si="247"/>
        <v>0</v>
      </c>
      <c r="AD654" s="442"/>
      <c r="AE654" s="443"/>
      <c r="AF654" s="444">
        <f t="shared" si="248"/>
        <v>0</v>
      </c>
      <c r="AG654" s="307"/>
      <c r="AH654" s="307"/>
      <c r="AI654" s="445">
        <f t="shared" si="249"/>
        <v>0</v>
      </c>
      <c r="AJ654" s="446"/>
      <c r="AK654" s="443"/>
      <c r="AL654" s="444">
        <f t="shared" si="250"/>
        <v>0</v>
      </c>
      <c r="AM654" s="307"/>
      <c r="AN654" s="307"/>
      <c r="AO654" s="447">
        <f t="shared" si="251"/>
        <v>0</v>
      </c>
      <c r="AP654" s="448"/>
      <c r="AQ654" s="443"/>
      <c r="AR654" s="444">
        <f t="shared" si="252"/>
        <v>0</v>
      </c>
      <c r="AS654" s="307"/>
      <c r="AT654" s="307"/>
      <c r="AU654" s="441">
        <f t="shared" si="253"/>
        <v>0</v>
      </c>
      <c r="AV654" s="442"/>
      <c r="AW654" s="443"/>
      <c r="AX654" s="444">
        <f t="shared" si="254"/>
        <v>0</v>
      </c>
      <c r="AY654" s="307"/>
      <c r="AZ654" s="307"/>
      <c r="BA654" s="445">
        <f t="shared" si="255"/>
        <v>0</v>
      </c>
      <c r="BB654" s="442"/>
      <c r="BC654" s="443"/>
      <c r="BD654" s="444">
        <f t="shared" si="256"/>
        <v>0</v>
      </c>
      <c r="BE654" s="307"/>
      <c r="BF654" s="307"/>
      <c r="BG654" s="445">
        <f t="shared" si="257"/>
        <v>0</v>
      </c>
      <c r="BH654" s="442"/>
      <c r="BI654" s="443"/>
      <c r="BJ654" s="444">
        <f t="shared" si="258"/>
        <v>0</v>
      </c>
      <c r="BK654" s="307"/>
      <c r="BL654" s="307"/>
      <c r="BM654" s="445">
        <f t="shared" si="259"/>
        <v>0</v>
      </c>
      <c r="BN654" s="442"/>
      <c r="BO654" s="443"/>
      <c r="BP654" s="444">
        <f t="shared" si="260"/>
        <v>0</v>
      </c>
      <c r="BQ654" s="307"/>
      <c r="BR654" s="307"/>
      <c r="BS654" s="445">
        <f t="shared" si="261"/>
        <v>0</v>
      </c>
      <c r="BT654" s="442"/>
      <c r="BU654" s="443"/>
      <c r="BV654" s="444">
        <f t="shared" si="262"/>
        <v>0</v>
      </c>
      <c r="BW654" s="307"/>
      <c r="BX654" s="307"/>
      <c r="BY654" s="449">
        <f t="shared" si="263"/>
        <v>0</v>
      </c>
    </row>
    <row r="655" spans="1:77" s="308" customFormat="1" ht="12.75" customHeight="1">
      <c r="A655" s="329" t="s">
        <v>344</v>
      </c>
      <c r="B655" s="387" t="s">
        <v>550</v>
      </c>
      <c r="C655" s="563" t="s">
        <v>1069</v>
      </c>
      <c r="D655" s="329">
        <v>232788</v>
      </c>
      <c r="E655" s="456">
        <v>10</v>
      </c>
      <c r="F655" s="453"/>
      <c r="G655" s="454"/>
      <c r="H655" s="439">
        <f t="shared" si="240"/>
        <v>0</v>
      </c>
      <c r="I655" s="311"/>
      <c r="J655" s="311"/>
      <c r="K655" s="441">
        <f t="shared" si="241"/>
        <v>0</v>
      </c>
      <c r="L655" s="442"/>
      <c r="M655" s="443"/>
      <c r="N655" s="444">
        <f t="shared" si="242"/>
        <v>0</v>
      </c>
      <c r="O655" s="307"/>
      <c r="P655" s="307"/>
      <c r="Q655" s="445">
        <f t="shared" si="243"/>
        <v>0</v>
      </c>
      <c r="R655" s="442"/>
      <c r="S655" s="443"/>
      <c r="T655" s="444">
        <f t="shared" si="244"/>
        <v>0</v>
      </c>
      <c r="U655" s="307"/>
      <c r="V655" s="307"/>
      <c r="W655" s="441">
        <f t="shared" si="245"/>
        <v>0</v>
      </c>
      <c r="X655" s="442"/>
      <c r="Y655" s="443"/>
      <c r="Z655" s="444">
        <f t="shared" si="246"/>
        <v>0</v>
      </c>
      <c r="AA655" s="307"/>
      <c r="AB655" s="307"/>
      <c r="AC655" s="445">
        <f t="shared" si="247"/>
        <v>0</v>
      </c>
      <c r="AD655" s="442"/>
      <c r="AE655" s="443"/>
      <c r="AF655" s="444">
        <f t="shared" si="248"/>
        <v>0</v>
      </c>
      <c r="AG655" s="307"/>
      <c r="AH655" s="307"/>
      <c r="AI655" s="445">
        <f t="shared" si="249"/>
        <v>0</v>
      </c>
      <c r="AJ655" s="446"/>
      <c r="AK655" s="443"/>
      <c r="AL655" s="444">
        <f t="shared" si="250"/>
        <v>0</v>
      </c>
      <c r="AM655" s="307"/>
      <c r="AN655" s="307"/>
      <c r="AO655" s="447">
        <f t="shared" si="251"/>
        <v>0</v>
      </c>
      <c r="AP655" s="448"/>
      <c r="AQ655" s="443"/>
      <c r="AR655" s="444">
        <f t="shared" si="252"/>
        <v>0</v>
      </c>
      <c r="AS655" s="307"/>
      <c r="AT655" s="307"/>
      <c r="AU655" s="441">
        <f t="shared" si="253"/>
        <v>0</v>
      </c>
      <c r="AV655" s="442"/>
      <c r="AW655" s="443"/>
      <c r="AX655" s="444">
        <f t="shared" si="254"/>
        <v>0</v>
      </c>
      <c r="AY655" s="307"/>
      <c r="AZ655" s="307"/>
      <c r="BA655" s="445">
        <f t="shared" si="255"/>
        <v>0</v>
      </c>
      <c r="BB655" s="442"/>
      <c r="BC655" s="443"/>
      <c r="BD655" s="444">
        <f t="shared" si="256"/>
        <v>0</v>
      </c>
      <c r="BE655" s="307"/>
      <c r="BF655" s="307"/>
      <c r="BG655" s="445">
        <f t="shared" si="257"/>
        <v>0</v>
      </c>
      <c r="BH655" s="442"/>
      <c r="BI655" s="443"/>
      <c r="BJ655" s="444">
        <f t="shared" si="258"/>
        <v>0</v>
      </c>
      <c r="BK655" s="307"/>
      <c r="BL655" s="307"/>
      <c r="BM655" s="445">
        <f t="shared" si="259"/>
        <v>0</v>
      </c>
      <c r="BN655" s="442"/>
      <c r="BO655" s="443"/>
      <c r="BP655" s="444">
        <f t="shared" si="260"/>
        <v>0</v>
      </c>
      <c r="BQ655" s="307"/>
      <c r="BR655" s="307"/>
      <c r="BS655" s="445">
        <f t="shared" si="261"/>
        <v>0</v>
      </c>
      <c r="BT655" s="442"/>
      <c r="BU655" s="443"/>
      <c r="BV655" s="444">
        <f t="shared" si="262"/>
        <v>0</v>
      </c>
      <c r="BW655" s="307"/>
      <c r="BX655" s="307"/>
      <c r="BY655" s="449">
        <f t="shared" si="263"/>
        <v>0</v>
      </c>
    </row>
    <row r="656" spans="1:77" s="308" customFormat="1" ht="12.75" customHeight="1">
      <c r="A656" s="329" t="s">
        <v>344</v>
      </c>
      <c r="B656" s="389" t="s">
        <v>543</v>
      </c>
      <c r="C656" s="564" t="s">
        <v>1093</v>
      </c>
      <c r="D656" s="386">
        <v>233019</v>
      </c>
      <c r="E656" s="327">
        <v>10</v>
      </c>
      <c r="F656" s="453"/>
      <c r="G656" s="454"/>
      <c r="H656" s="439">
        <f t="shared" si="240"/>
        <v>0</v>
      </c>
      <c r="I656" s="311"/>
      <c r="J656" s="311"/>
      <c r="K656" s="441">
        <f t="shared" si="241"/>
        <v>0</v>
      </c>
      <c r="L656" s="442"/>
      <c r="M656" s="443"/>
      <c r="N656" s="444">
        <f t="shared" si="242"/>
        <v>0</v>
      </c>
      <c r="O656" s="307"/>
      <c r="P656" s="307"/>
      <c r="Q656" s="445">
        <f t="shared" si="243"/>
        <v>0</v>
      </c>
      <c r="R656" s="442"/>
      <c r="S656" s="443"/>
      <c r="T656" s="444">
        <f t="shared" si="244"/>
        <v>0</v>
      </c>
      <c r="U656" s="307"/>
      <c r="V656" s="307"/>
      <c r="W656" s="441">
        <f t="shared" si="245"/>
        <v>0</v>
      </c>
      <c r="X656" s="442"/>
      <c r="Y656" s="443"/>
      <c r="Z656" s="444">
        <f t="shared" si="246"/>
        <v>0</v>
      </c>
      <c r="AA656" s="307"/>
      <c r="AB656" s="307"/>
      <c r="AC656" s="445">
        <f t="shared" si="247"/>
        <v>0</v>
      </c>
      <c r="AD656" s="442"/>
      <c r="AE656" s="443"/>
      <c r="AF656" s="444">
        <f t="shared" si="248"/>
        <v>0</v>
      </c>
      <c r="AG656" s="307"/>
      <c r="AH656" s="307"/>
      <c r="AI656" s="445">
        <f t="shared" si="249"/>
        <v>0</v>
      </c>
      <c r="AJ656" s="446"/>
      <c r="AK656" s="443"/>
      <c r="AL656" s="444">
        <f t="shared" si="250"/>
        <v>0</v>
      </c>
      <c r="AM656" s="307"/>
      <c r="AN656" s="307"/>
      <c r="AO656" s="447">
        <f t="shared" si="251"/>
        <v>0</v>
      </c>
      <c r="AP656" s="448"/>
      <c r="AQ656" s="443"/>
      <c r="AR656" s="444">
        <f t="shared" si="252"/>
        <v>0</v>
      </c>
      <c r="AS656" s="307"/>
      <c r="AT656" s="307"/>
      <c r="AU656" s="441">
        <f t="shared" si="253"/>
        <v>0</v>
      </c>
      <c r="AV656" s="442"/>
      <c r="AW656" s="443"/>
      <c r="AX656" s="444">
        <f t="shared" si="254"/>
        <v>0</v>
      </c>
      <c r="AY656" s="307"/>
      <c r="AZ656" s="307"/>
      <c r="BA656" s="445">
        <f t="shared" si="255"/>
        <v>0</v>
      </c>
      <c r="BB656" s="442"/>
      <c r="BC656" s="443"/>
      <c r="BD656" s="444">
        <f t="shared" si="256"/>
        <v>0</v>
      </c>
      <c r="BE656" s="307"/>
      <c r="BF656" s="307"/>
      <c r="BG656" s="445">
        <f t="shared" si="257"/>
        <v>0</v>
      </c>
      <c r="BH656" s="442"/>
      <c r="BI656" s="443"/>
      <c r="BJ656" s="444">
        <f t="shared" si="258"/>
        <v>0</v>
      </c>
      <c r="BK656" s="307"/>
      <c r="BL656" s="307"/>
      <c r="BM656" s="445">
        <f t="shared" si="259"/>
        <v>0</v>
      </c>
      <c r="BN656" s="442"/>
      <c r="BO656" s="443"/>
      <c r="BP656" s="444">
        <f t="shared" si="260"/>
        <v>0</v>
      </c>
      <c r="BQ656" s="307"/>
      <c r="BR656" s="307"/>
      <c r="BS656" s="445">
        <f t="shared" si="261"/>
        <v>0</v>
      </c>
      <c r="BT656" s="442"/>
      <c r="BU656" s="443"/>
      <c r="BV656" s="444">
        <f t="shared" si="262"/>
        <v>0</v>
      </c>
      <c r="BW656" s="307"/>
      <c r="BX656" s="307"/>
      <c r="BY656" s="449">
        <f t="shared" si="263"/>
        <v>0</v>
      </c>
    </row>
    <row r="657" spans="1:77" s="308" customFormat="1" ht="12.75" customHeight="1">
      <c r="A657" s="329" t="s">
        <v>344</v>
      </c>
      <c r="B657" s="330" t="s">
        <v>551</v>
      </c>
      <c r="C657" s="330"/>
      <c r="D657" s="329">
        <v>233037</v>
      </c>
      <c r="E657" s="456">
        <v>10</v>
      </c>
      <c r="F657" s="453"/>
      <c r="G657" s="454"/>
      <c r="H657" s="439">
        <f t="shared" si="240"/>
        <v>0</v>
      </c>
      <c r="I657" s="311"/>
      <c r="J657" s="311"/>
      <c r="K657" s="441">
        <f t="shared" si="241"/>
        <v>0</v>
      </c>
      <c r="L657" s="442"/>
      <c r="M657" s="443"/>
      <c r="N657" s="444">
        <f t="shared" si="242"/>
        <v>0</v>
      </c>
      <c r="O657" s="307"/>
      <c r="P657" s="307"/>
      <c r="Q657" s="445">
        <f t="shared" si="243"/>
        <v>0</v>
      </c>
      <c r="R657" s="442"/>
      <c r="S657" s="443"/>
      <c r="T657" s="444">
        <f t="shared" si="244"/>
        <v>0</v>
      </c>
      <c r="U657" s="307"/>
      <c r="V657" s="307"/>
      <c r="W657" s="441">
        <f t="shared" si="245"/>
        <v>0</v>
      </c>
      <c r="X657" s="442"/>
      <c r="Y657" s="443"/>
      <c r="Z657" s="444">
        <f t="shared" si="246"/>
        <v>0</v>
      </c>
      <c r="AA657" s="307"/>
      <c r="AB657" s="307"/>
      <c r="AC657" s="445">
        <f t="shared" si="247"/>
        <v>0</v>
      </c>
      <c r="AD657" s="442"/>
      <c r="AE657" s="443"/>
      <c r="AF657" s="444">
        <f t="shared" si="248"/>
        <v>0</v>
      </c>
      <c r="AG657" s="307"/>
      <c r="AH657" s="307"/>
      <c r="AI657" s="445">
        <f t="shared" si="249"/>
        <v>0</v>
      </c>
      <c r="AJ657" s="446"/>
      <c r="AK657" s="443"/>
      <c r="AL657" s="444">
        <f t="shared" si="250"/>
        <v>0</v>
      </c>
      <c r="AM657" s="307"/>
      <c r="AN657" s="307"/>
      <c r="AO657" s="447">
        <f t="shared" si="251"/>
        <v>0</v>
      </c>
      <c r="AP657" s="448"/>
      <c r="AQ657" s="443"/>
      <c r="AR657" s="444">
        <f t="shared" si="252"/>
        <v>0</v>
      </c>
      <c r="AS657" s="307"/>
      <c r="AT657" s="307"/>
      <c r="AU657" s="441">
        <f t="shared" si="253"/>
        <v>0</v>
      </c>
      <c r="AV657" s="442"/>
      <c r="AW657" s="443"/>
      <c r="AX657" s="444">
        <f t="shared" si="254"/>
        <v>0</v>
      </c>
      <c r="AY657" s="307"/>
      <c r="AZ657" s="307"/>
      <c r="BA657" s="445">
        <f t="shared" si="255"/>
        <v>0</v>
      </c>
      <c r="BB657" s="442"/>
      <c r="BC657" s="443"/>
      <c r="BD657" s="444">
        <f t="shared" si="256"/>
        <v>0</v>
      </c>
      <c r="BE657" s="307"/>
      <c r="BF657" s="307"/>
      <c r="BG657" s="445">
        <f t="shared" si="257"/>
        <v>0</v>
      </c>
      <c r="BH657" s="442"/>
      <c r="BI657" s="443"/>
      <c r="BJ657" s="444">
        <f t="shared" si="258"/>
        <v>0</v>
      </c>
      <c r="BK657" s="307"/>
      <c r="BL657" s="307"/>
      <c r="BM657" s="445">
        <f t="shared" si="259"/>
        <v>0</v>
      </c>
      <c r="BN657" s="442"/>
      <c r="BO657" s="443"/>
      <c r="BP657" s="444">
        <f t="shared" si="260"/>
        <v>0</v>
      </c>
      <c r="BQ657" s="307"/>
      <c r="BR657" s="307"/>
      <c r="BS657" s="445">
        <f t="shared" si="261"/>
        <v>0</v>
      </c>
      <c r="BT657" s="442"/>
      <c r="BU657" s="443"/>
      <c r="BV657" s="444">
        <f t="shared" si="262"/>
        <v>0</v>
      </c>
      <c r="BW657" s="307"/>
      <c r="BX657" s="307"/>
      <c r="BY657" s="449">
        <f t="shared" si="263"/>
        <v>0</v>
      </c>
    </row>
    <row r="658" spans="1:77" s="308" customFormat="1" ht="12.75" customHeight="1">
      <c r="A658" s="329" t="s">
        <v>344</v>
      </c>
      <c r="B658" s="330" t="s">
        <v>552</v>
      </c>
      <c r="C658" s="330"/>
      <c r="D658" s="329">
        <v>233310</v>
      </c>
      <c r="E658" s="456">
        <v>10</v>
      </c>
      <c r="F658" s="453"/>
      <c r="G658" s="454"/>
      <c r="H658" s="439">
        <f t="shared" si="240"/>
        <v>0</v>
      </c>
      <c r="I658" s="311"/>
      <c r="J658" s="311"/>
      <c r="K658" s="441">
        <f t="shared" si="241"/>
        <v>0</v>
      </c>
      <c r="L658" s="442"/>
      <c r="M658" s="443"/>
      <c r="N658" s="444">
        <f t="shared" si="242"/>
        <v>0</v>
      </c>
      <c r="O658" s="307"/>
      <c r="P658" s="307"/>
      <c r="Q658" s="445">
        <f t="shared" si="243"/>
        <v>0</v>
      </c>
      <c r="R658" s="442"/>
      <c r="S658" s="443"/>
      <c r="T658" s="444">
        <f t="shared" si="244"/>
        <v>0</v>
      </c>
      <c r="U658" s="307"/>
      <c r="V658" s="307"/>
      <c r="W658" s="441">
        <f t="shared" si="245"/>
        <v>0</v>
      </c>
      <c r="X658" s="442"/>
      <c r="Y658" s="443"/>
      <c r="Z658" s="444">
        <f t="shared" si="246"/>
        <v>0</v>
      </c>
      <c r="AA658" s="307"/>
      <c r="AB658" s="307"/>
      <c r="AC658" s="445">
        <f t="shared" si="247"/>
        <v>0</v>
      </c>
      <c r="AD658" s="442"/>
      <c r="AE658" s="443"/>
      <c r="AF658" s="444">
        <f t="shared" si="248"/>
        <v>0</v>
      </c>
      <c r="AG658" s="307"/>
      <c r="AH658" s="307"/>
      <c r="AI658" s="445">
        <f t="shared" si="249"/>
        <v>0</v>
      </c>
      <c r="AJ658" s="446"/>
      <c r="AK658" s="443"/>
      <c r="AL658" s="444">
        <f t="shared" si="250"/>
        <v>0</v>
      </c>
      <c r="AM658" s="307"/>
      <c r="AN658" s="307"/>
      <c r="AO658" s="447">
        <f t="shared" si="251"/>
        <v>0</v>
      </c>
      <c r="AP658" s="448"/>
      <c r="AQ658" s="443"/>
      <c r="AR658" s="444">
        <f t="shared" si="252"/>
        <v>0</v>
      </c>
      <c r="AS658" s="307"/>
      <c r="AT658" s="307"/>
      <c r="AU658" s="441">
        <f t="shared" si="253"/>
        <v>0</v>
      </c>
      <c r="AV658" s="442"/>
      <c r="AW658" s="443"/>
      <c r="AX658" s="444">
        <f t="shared" si="254"/>
        <v>0</v>
      </c>
      <c r="AY658" s="307"/>
      <c r="AZ658" s="307"/>
      <c r="BA658" s="445">
        <f t="shared" si="255"/>
        <v>0</v>
      </c>
      <c r="BB658" s="442"/>
      <c r="BC658" s="443"/>
      <c r="BD658" s="444">
        <f t="shared" si="256"/>
        <v>0</v>
      </c>
      <c r="BE658" s="307"/>
      <c r="BF658" s="307"/>
      <c r="BG658" s="445">
        <f t="shared" si="257"/>
        <v>0</v>
      </c>
      <c r="BH658" s="442"/>
      <c r="BI658" s="443"/>
      <c r="BJ658" s="444">
        <f t="shared" si="258"/>
        <v>0</v>
      </c>
      <c r="BK658" s="307"/>
      <c r="BL658" s="307"/>
      <c r="BM658" s="445">
        <f t="shared" si="259"/>
        <v>0</v>
      </c>
      <c r="BN658" s="442"/>
      <c r="BO658" s="443"/>
      <c r="BP658" s="444">
        <f t="shared" si="260"/>
        <v>0</v>
      </c>
      <c r="BQ658" s="307"/>
      <c r="BR658" s="307"/>
      <c r="BS658" s="445">
        <f t="shared" si="261"/>
        <v>0</v>
      </c>
      <c r="BT658" s="442"/>
      <c r="BU658" s="443"/>
      <c r="BV658" s="444">
        <f t="shared" si="262"/>
        <v>0</v>
      </c>
      <c r="BW658" s="307"/>
      <c r="BX658" s="307"/>
      <c r="BY658" s="449">
        <f t="shared" si="263"/>
        <v>0</v>
      </c>
    </row>
    <row r="659" spans="1:77" s="308" customFormat="1" ht="12.75" customHeight="1">
      <c r="A659" s="329" t="s">
        <v>344</v>
      </c>
      <c r="B659" s="330" t="s">
        <v>554</v>
      </c>
      <c r="C659" s="330"/>
      <c r="D659" s="329">
        <v>233903</v>
      </c>
      <c r="E659" s="456">
        <v>10</v>
      </c>
      <c r="F659" s="453"/>
      <c r="G659" s="454"/>
      <c r="H659" s="439">
        <f t="shared" si="240"/>
        <v>0</v>
      </c>
      <c r="I659" s="311"/>
      <c r="J659" s="311"/>
      <c r="K659" s="441">
        <f t="shared" si="241"/>
        <v>0</v>
      </c>
      <c r="L659" s="442"/>
      <c r="M659" s="443"/>
      <c r="N659" s="444">
        <f t="shared" si="242"/>
        <v>0</v>
      </c>
      <c r="O659" s="307"/>
      <c r="P659" s="307"/>
      <c r="Q659" s="445">
        <f t="shared" si="243"/>
        <v>0</v>
      </c>
      <c r="R659" s="442"/>
      <c r="S659" s="443"/>
      <c r="T659" s="444">
        <f t="shared" si="244"/>
        <v>0</v>
      </c>
      <c r="U659" s="307"/>
      <c r="V659" s="307"/>
      <c r="W659" s="441">
        <f t="shared" si="245"/>
        <v>0</v>
      </c>
      <c r="X659" s="442"/>
      <c r="Y659" s="443"/>
      <c r="Z659" s="444">
        <f t="shared" si="246"/>
        <v>0</v>
      </c>
      <c r="AA659" s="307"/>
      <c r="AB659" s="307"/>
      <c r="AC659" s="445">
        <f t="shared" si="247"/>
        <v>0</v>
      </c>
      <c r="AD659" s="442"/>
      <c r="AE659" s="443"/>
      <c r="AF659" s="444">
        <f t="shared" si="248"/>
        <v>0</v>
      </c>
      <c r="AG659" s="307"/>
      <c r="AH659" s="307"/>
      <c r="AI659" s="445">
        <f t="shared" si="249"/>
        <v>0</v>
      </c>
      <c r="AJ659" s="446"/>
      <c r="AK659" s="443"/>
      <c r="AL659" s="444">
        <f t="shared" si="250"/>
        <v>0</v>
      </c>
      <c r="AM659" s="307"/>
      <c r="AN659" s="307"/>
      <c r="AO659" s="447">
        <f t="shared" si="251"/>
        <v>0</v>
      </c>
      <c r="AP659" s="448"/>
      <c r="AQ659" s="443"/>
      <c r="AR659" s="444">
        <f t="shared" si="252"/>
        <v>0</v>
      </c>
      <c r="AS659" s="307"/>
      <c r="AT659" s="307"/>
      <c r="AU659" s="441">
        <f t="shared" si="253"/>
        <v>0</v>
      </c>
      <c r="AV659" s="442"/>
      <c r="AW659" s="443"/>
      <c r="AX659" s="444">
        <f t="shared" si="254"/>
        <v>0</v>
      </c>
      <c r="AY659" s="307"/>
      <c r="AZ659" s="307"/>
      <c r="BA659" s="445">
        <f t="shared" si="255"/>
        <v>0</v>
      </c>
      <c r="BB659" s="442"/>
      <c r="BC659" s="443"/>
      <c r="BD659" s="444">
        <f t="shared" si="256"/>
        <v>0</v>
      </c>
      <c r="BE659" s="307"/>
      <c r="BF659" s="307"/>
      <c r="BG659" s="445">
        <f t="shared" si="257"/>
        <v>0</v>
      </c>
      <c r="BH659" s="442"/>
      <c r="BI659" s="443"/>
      <c r="BJ659" s="444">
        <f t="shared" si="258"/>
        <v>0</v>
      </c>
      <c r="BK659" s="307"/>
      <c r="BL659" s="307"/>
      <c r="BM659" s="445">
        <f t="shared" si="259"/>
        <v>0</v>
      </c>
      <c r="BN659" s="442"/>
      <c r="BO659" s="443"/>
      <c r="BP659" s="444">
        <f t="shared" si="260"/>
        <v>0</v>
      </c>
      <c r="BQ659" s="307"/>
      <c r="BR659" s="307"/>
      <c r="BS659" s="445">
        <f t="shared" si="261"/>
        <v>0</v>
      </c>
      <c r="BT659" s="442"/>
      <c r="BU659" s="443"/>
      <c r="BV659" s="444">
        <f t="shared" si="262"/>
        <v>0</v>
      </c>
      <c r="BW659" s="307"/>
      <c r="BX659" s="307"/>
      <c r="BY659" s="449">
        <f t="shared" si="263"/>
        <v>0</v>
      </c>
    </row>
    <row r="660" spans="1:77" s="308" customFormat="1" ht="12.75" customHeight="1">
      <c r="A660" s="329" t="s">
        <v>344</v>
      </c>
      <c r="B660" s="387" t="s">
        <v>555</v>
      </c>
      <c r="C660" s="563" t="s">
        <v>1093</v>
      </c>
      <c r="D660" s="329">
        <v>234377</v>
      </c>
      <c r="E660" s="456">
        <v>10</v>
      </c>
      <c r="F660" s="453"/>
      <c r="G660" s="454"/>
      <c r="H660" s="439">
        <f t="shared" si="240"/>
        <v>0</v>
      </c>
      <c r="I660" s="311"/>
      <c r="J660" s="311"/>
      <c r="K660" s="441">
        <f t="shared" si="241"/>
        <v>0</v>
      </c>
      <c r="L660" s="442"/>
      <c r="M660" s="443"/>
      <c r="N660" s="444">
        <f t="shared" si="242"/>
        <v>0</v>
      </c>
      <c r="O660" s="307"/>
      <c r="P660" s="307"/>
      <c r="Q660" s="445">
        <f t="shared" si="243"/>
        <v>0</v>
      </c>
      <c r="R660" s="442"/>
      <c r="S660" s="443"/>
      <c r="T660" s="444">
        <f t="shared" si="244"/>
        <v>0</v>
      </c>
      <c r="U660" s="307"/>
      <c r="V660" s="307"/>
      <c r="W660" s="441">
        <f t="shared" si="245"/>
        <v>0</v>
      </c>
      <c r="X660" s="442"/>
      <c r="Y660" s="443"/>
      <c r="Z660" s="444">
        <f t="shared" si="246"/>
        <v>0</v>
      </c>
      <c r="AA660" s="307"/>
      <c r="AB660" s="307"/>
      <c r="AC660" s="445">
        <f t="shared" si="247"/>
        <v>0</v>
      </c>
      <c r="AD660" s="442"/>
      <c r="AE660" s="443"/>
      <c r="AF660" s="444">
        <f t="shared" si="248"/>
        <v>0</v>
      </c>
      <c r="AG660" s="307"/>
      <c r="AH660" s="307"/>
      <c r="AI660" s="445">
        <f t="shared" si="249"/>
        <v>0</v>
      </c>
      <c r="AJ660" s="446"/>
      <c r="AK660" s="443"/>
      <c r="AL660" s="444">
        <f t="shared" si="250"/>
        <v>0</v>
      </c>
      <c r="AM660" s="307"/>
      <c r="AN660" s="307"/>
      <c r="AO660" s="447">
        <f t="shared" si="251"/>
        <v>0</v>
      </c>
      <c r="AP660" s="448"/>
      <c r="AQ660" s="443"/>
      <c r="AR660" s="444">
        <f t="shared" si="252"/>
        <v>0</v>
      </c>
      <c r="AS660" s="307"/>
      <c r="AT660" s="307"/>
      <c r="AU660" s="441">
        <f t="shared" si="253"/>
        <v>0</v>
      </c>
      <c r="AV660" s="442"/>
      <c r="AW660" s="443"/>
      <c r="AX660" s="444">
        <f t="shared" si="254"/>
        <v>0</v>
      </c>
      <c r="AY660" s="307"/>
      <c r="AZ660" s="307"/>
      <c r="BA660" s="445">
        <f t="shared" si="255"/>
        <v>0</v>
      </c>
      <c r="BB660" s="442"/>
      <c r="BC660" s="443"/>
      <c r="BD660" s="444">
        <f t="shared" si="256"/>
        <v>0</v>
      </c>
      <c r="BE660" s="307"/>
      <c r="BF660" s="307"/>
      <c r="BG660" s="445">
        <f t="shared" si="257"/>
        <v>0</v>
      </c>
      <c r="BH660" s="442"/>
      <c r="BI660" s="443"/>
      <c r="BJ660" s="444">
        <f t="shared" si="258"/>
        <v>0</v>
      </c>
      <c r="BK660" s="307"/>
      <c r="BL660" s="307"/>
      <c r="BM660" s="445">
        <f t="shared" si="259"/>
        <v>0</v>
      </c>
      <c r="BN660" s="442"/>
      <c r="BO660" s="443"/>
      <c r="BP660" s="444">
        <f t="shared" si="260"/>
        <v>0</v>
      </c>
      <c r="BQ660" s="307"/>
      <c r="BR660" s="307"/>
      <c r="BS660" s="445">
        <f t="shared" si="261"/>
        <v>0</v>
      </c>
      <c r="BT660" s="442"/>
      <c r="BU660" s="443"/>
      <c r="BV660" s="444">
        <f t="shared" si="262"/>
        <v>0</v>
      </c>
      <c r="BW660" s="307"/>
      <c r="BX660" s="307"/>
      <c r="BY660" s="449">
        <f t="shared" si="263"/>
        <v>0</v>
      </c>
    </row>
    <row r="661" spans="1:77" s="308" customFormat="1" ht="12.75" customHeight="1">
      <c r="A661" s="329" t="s">
        <v>344</v>
      </c>
      <c r="B661" s="330" t="s">
        <v>553</v>
      </c>
      <c r="C661" s="330"/>
      <c r="D661" s="329">
        <v>233338</v>
      </c>
      <c r="E661" s="456">
        <v>10</v>
      </c>
      <c r="F661" s="453">
        <v>9</v>
      </c>
      <c r="G661" s="454">
        <v>67735</v>
      </c>
      <c r="H661" s="439">
        <f t="shared" si="240"/>
        <v>609615</v>
      </c>
      <c r="I661" s="311">
        <v>9</v>
      </c>
      <c r="J661" s="311">
        <v>68644</v>
      </c>
      <c r="K661" s="441">
        <f t="shared" si="241"/>
        <v>617796</v>
      </c>
      <c r="L661" s="442">
        <v>16</v>
      </c>
      <c r="M661" s="443">
        <v>52755</v>
      </c>
      <c r="N661" s="444">
        <f t="shared" si="242"/>
        <v>844080</v>
      </c>
      <c r="O661" s="307">
        <v>13</v>
      </c>
      <c r="P661" s="307">
        <v>52611</v>
      </c>
      <c r="Q661" s="445">
        <f t="shared" si="243"/>
        <v>683943</v>
      </c>
      <c r="R661" s="442">
        <v>8</v>
      </c>
      <c r="S661" s="443">
        <v>46917</v>
      </c>
      <c r="T661" s="444">
        <f t="shared" si="244"/>
        <v>375336</v>
      </c>
      <c r="U661" s="307">
        <v>11</v>
      </c>
      <c r="V661" s="307">
        <v>44964</v>
      </c>
      <c r="W661" s="441">
        <f t="shared" si="245"/>
        <v>494604</v>
      </c>
      <c r="X661" s="442"/>
      <c r="Y661" s="443"/>
      <c r="Z661" s="444">
        <f t="shared" si="246"/>
        <v>0</v>
      </c>
      <c r="AA661" s="307"/>
      <c r="AB661" s="307"/>
      <c r="AC661" s="445">
        <f t="shared" si="247"/>
        <v>0</v>
      </c>
      <c r="AD661" s="442"/>
      <c r="AE661" s="443"/>
      <c r="AF661" s="444">
        <f t="shared" si="248"/>
        <v>0</v>
      </c>
      <c r="AG661" s="307"/>
      <c r="AH661" s="307"/>
      <c r="AI661" s="445">
        <f t="shared" si="249"/>
        <v>0</v>
      </c>
      <c r="AJ661" s="446"/>
      <c r="AK661" s="443"/>
      <c r="AL661" s="444">
        <f t="shared" si="250"/>
        <v>0</v>
      </c>
      <c r="AM661" s="307"/>
      <c r="AN661" s="307"/>
      <c r="AO661" s="447">
        <f t="shared" si="251"/>
        <v>0</v>
      </c>
      <c r="AP661" s="448"/>
      <c r="AQ661" s="443"/>
      <c r="AR661" s="444">
        <f t="shared" si="252"/>
        <v>0</v>
      </c>
      <c r="AS661" s="307"/>
      <c r="AT661" s="307"/>
      <c r="AU661" s="441">
        <f t="shared" si="253"/>
        <v>0</v>
      </c>
      <c r="AV661" s="442"/>
      <c r="AW661" s="443"/>
      <c r="AX661" s="444">
        <f t="shared" si="254"/>
        <v>0</v>
      </c>
      <c r="AY661" s="307"/>
      <c r="AZ661" s="307"/>
      <c r="BA661" s="445">
        <f t="shared" si="255"/>
        <v>0</v>
      </c>
      <c r="BB661" s="442"/>
      <c r="BC661" s="443"/>
      <c r="BD661" s="444">
        <f t="shared" si="256"/>
        <v>0</v>
      </c>
      <c r="BE661" s="307"/>
      <c r="BF661" s="307"/>
      <c r="BG661" s="445">
        <f t="shared" si="257"/>
        <v>0</v>
      </c>
      <c r="BH661" s="442"/>
      <c r="BI661" s="443"/>
      <c r="BJ661" s="444">
        <f t="shared" si="258"/>
        <v>0</v>
      </c>
      <c r="BK661" s="307"/>
      <c r="BL661" s="307"/>
      <c r="BM661" s="445">
        <f t="shared" si="259"/>
        <v>0</v>
      </c>
      <c r="BN661" s="442"/>
      <c r="BO661" s="443"/>
      <c r="BP661" s="444">
        <f t="shared" si="260"/>
        <v>0</v>
      </c>
      <c r="BQ661" s="307"/>
      <c r="BR661" s="307"/>
      <c r="BS661" s="445">
        <f t="shared" si="261"/>
        <v>0</v>
      </c>
      <c r="BT661" s="442"/>
      <c r="BU661" s="443"/>
      <c r="BV661" s="444">
        <f t="shared" si="262"/>
        <v>0</v>
      </c>
      <c r="BW661" s="307"/>
      <c r="BX661" s="307"/>
      <c r="BY661" s="449">
        <f t="shared" si="263"/>
        <v>0</v>
      </c>
    </row>
    <row r="662" spans="1:77" s="308" customFormat="1" ht="12.75" customHeight="1">
      <c r="A662" s="329" t="s">
        <v>344</v>
      </c>
      <c r="B662" s="330" t="s">
        <v>556</v>
      </c>
      <c r="C662" s="330"/>
      <c r="D662" s="390" t="s">
        <v>914</v>
      </c>
      <c r="E662" s="456" t="s">
        <v>1164</v>
      </c>
      <c r="F662" s="453">
        <v>406</v>
      </c>
      <c r="G662" s="454">
        <v>67351</v>
      </c>
      <c r="H662" s="439">
        <f t="shared" si="240"/>
        <v>27344506</v>
      </c>
      <c r="I662" s="311">
        <f>236+181</f>
        <v>417</v>
      </c>
      <c r="J662" s="311">
        <v>66796</v>
      </c>
      <c r="K662" s="441">
        <f t="shared" si="241"/>
        <v>27853932</v>
      </c>
      <c r="L662" s="442">
        <v>581</v>
      </c>
      <c r="M662" s="443">
        <v>60479</v>
      </c>
      <c r="N662" s="444">
        <f t="shared" si="242"/>
        <v>35138299</v>
      </c>
      <c r="O662" s="307">
        <v>612</v>
      </c>
      <c r="P662" s="307">
        <v>59915</v>
      </c>
      <c r="Q662" s="445">
        <f t="shared" si="243"/>
        <v>36667980</v>
      </c>
      <c r="R662" s="442">
        <v>623</v>
      </c>
      <c r="S662" s="443">
        <v>54016</v>
      </c>
      <c r="T662" s="444">
        <f t="shared" si="244"/>
        <v>33651968</v>
      </c>
      <c r="U662" s="307">
        <v>634</v>
      </c>
      <c r="V662" s="307">
        <v>53959</v>
      </c>
      <c r="W662" s="441">
        <f t="shared" si="245"/>
        <v>34210006</v>
      </c>
      <c r="X662" s="442">
        <v>362</v>
      </c>
      <c r="Y662" s="443">
        <v>47880</v>
      </c>
      <c r="Z662" s="444">
        <f t="shared" si="246"/>
        <v>17332560</v>
      </c>
      <c r="AA662" s="307">
        <v>380</v>
      </c>
      <c r="AB662" s="307">
        <v>47970</v>
      </c>
      <c r="AC662" s="445">
        <f t="shared" si="247"/>
        <v>18228600</v>
      </c>
      <c r="AD662" s="442"/>
      <c r="AE662" s="443"/>
      <c r="AF662" s="444">
        <f t="shared" si="248"/>
        <v>0</v>
      </c>
      <c r="AG662" s="307"/>
      <c r="AH662" s="307"/>
      <c r="AI662" s="445">
        <f t="shared" si="249"/>
        <v>0</v>
      </c>
      <c r="AJ662" s="446"/>
      <c r="AK662" s="443"/>
      <c r="AL662" s="444">
        <f t="shared" si="250"/>
        <v>0</v>
      </c>
      <c r="AM662" s="307"/>
      <c r="AN662" s="307"/>
      <c r="AO662" s="447">
        <f t="shared" si="251"/>
        <v>0</v>
      </c>
      <c r="AP662" s="448">
        <v>35</v>
      </c>
      <c r="AQ662" s="443">
        <v>77858</v>
      </c>
      <c r="AR662" s="444">
        <f t="shared" si="252"/>
        <v>2229619.5460000001</v>
      </c>
      <c r="AS662" s="307">
        <v>27</v>
      </c>
      <c r="AT662" s="307">
        <v>78248</v>
      </c>
      <c r="AU662" s="441">
        <f t="shared" si="253"/>
        <v>1728607.8672</v>
      </c>
      <c r="AV662" s="442">
        <v>66</v>
      </c>
      <c r="AW662" s="443">
        <v>66440</v>
      </c>
      <c r="AX662" s="444">
        <f t="shared" si="254"/>
        <v>3587839.7280000001</v>
      </c>
      <c r="AY662" s="307">
        <v>55</v>
      </c>
      <c r="AZ662" s="307">
        <v>69234</v>
      </c>
      <c r="BA662" s="445">
        <f t="shared" si="255"/>
        <v>3115599.2340000002</v>
      </c>
      <c r="BB662" s="442">
        <v>56</v>
      </c>
      <c r="BC662" s="443">
        <v>62673</v>
      </c>
      <c r="BD662" s="444">
        <f t="shared" si="256"/>
        <v>2871626.7216000003</v>
      </c>
      <c r="BE662" s="307">
        <v>49</v>
      </c>
      <c r="BF662" s="307">
        <v>62329</v>
      </c>
      <c r="BG662" s="445">
        <f t="shared" si="257"/>
        <v>2498881.8022000003</v>
      </c>
      <c r="BH662" s="442">
        <v>42</v>
      </c>
      <c r="BI662" s="443">
        <v>59723</v>
      </c>
      <c r="BJ662" s="444">
        <f t="shared" si="258"/>
        <v>2052345.0612000001</v>
      </c>
      <c r="BK662" s="307">
        <v>51</v>
      </c>
      <c r="BL662" s="307">
        <v>60754</v>
      </c>
      <c r="BM662" s="445">
        <f t="shared" si="259"/>
        <v>2535155.0628</v>
      </c>
      <c r="BN662" s="442"/>
      <c r="BO662" s="443"/>
      <c r="BP662" s="444">
        <f t="shared" si="260"/>
        <v>0</v>
      </c>
      <c r="BQ662" s="307">
        <v>1</v>
      </c>
      <c r="BR662" s="307">
        <v>88025</v>
      </c>
      <c r="BS662" s="445">
        <f t="shared" si="261"/>
        <v>72022.055000000008</v>
      </c>
      <c r="BT662" s="442"/>
      <c r="BU662" s="443"/>
      <c r="BV662" s="444">
        <f t="shared" si="262"/>
        <v>0</v>
      </c>
      <c r="BW662" s="307"/>
      <c r="BX662" s="307"/>
      <c r="BY662" s="449">
        <f t="shared" si="263"/>
        <v>0</v>
      </c>
    </row>
    <row r="663" spans="1:77" s="308" customFormat="1" ht="12.75" customHeight="1">
      <c r="A663" s="345" t="s">
        <v>343</v>
      </c>
      <c r="B663" s="346" t="s">
        <v>476</v>
      </c>
      <c r="C663" s="346"/>
      <c r="D663" s="347">
        <v>238032</v>
      </c>
      <c r="E663" s="479">
        <v>1</v>
      </c>
      <c r="F663" s="453">
        <v>216</v>
      </c>
      <c r="G663" s="454">
        <v>102012</v>
      </c>
      <c r="H663" s="439">
        <f t="shared" si="240"/>
        <v>22034592</v>
      </c>
      <c r="I663" s="311">
        <v>216</v>
      </c>
      <c r="J663" s="311">
        <v>101758</v>
      </c>
      <c r="K663" s="441">
        <f t="shared" si="241"/>
        <v>21979728</v>
      </c>
      <c r="L663" s="442">
        <v>209</v>
      </c>
      <c r="M663" s="443">
        <v>72897</v>
      </c>
      <c r="N663" s="444">
        <f t="shared" si="242"/>
        <v>15235473</v>
      </c>
      <c r="O663" s="307">
        <v>210</v>
      </c>
      <c r="P663" s="307">
        <v>73711</v>
      </c>
      <c r="Q663" s="445">
        <f t="shared" si="243"/>
        <v>15479310</v>
      </c>
      <c r="R663" s="442">
        <v>315</v>
      </c>
      <c r="S663" s="443">
        <v>59059</v>
      </c>
      <c r="T663" s="444">
        <f t="shared" si="244"/>
        <v>18603585</v>
      </c>
      <c r="U663" s="307">
        <v>313</v>
      </c>
      <c r="V663" s="307">
        <v>59289</v>
      </c>
      <c r="W663" s="441">
        <f t="shared" si="245"/>
        <v>18557457</v>
      </c>
      <c r="X663" s="442">
        <v>40</v>
      </c>
      <c r="Y663" s="443">
        <v>43357</v>
      </c>
      <c r="Z663" s="444">
        <f t="shared" si="246"/>
        <v>1734280</v>
      </c>
      <c r="AA663" s="307">
        <v>43</v>
      </c>
      <c r="AB663" s="307">
        <v>40520</v>
      </c>
      <c r="AC663" s="445">
        <f t="shared" si="247"/>
        <v>1742360</v>
      </c>
      <c r="AD663" s="442">
        <v>16</v>
      </c>
      <c r="AE663" s="443">
        <v>47867</v>
      </c>
      <c r="AF663" s="444">
        <f t="shared" si="248"/>
        <v>765872</v>
      </c>
      <c r="AG663" s="307">
        <v>17</v>
      </c>
      <c r="AH663" s="307">
        <v>49073</v>
      </c>
      <c r="AI663" s="445">
        <f t="shared" si="249"/>
        <v>834241</v>
      </c>
      <c r="AJ663" s="446"/>
      <c r="AK663" s="443"/>
      <c r="AL663" s="444">
        <f t="shared" si="250"/>
        <v>0</v>
      </c>
      <c r="AM663" s="307"/>
      <c r="AN663" s="307"/>
      <c r="AO663" s="447">
        <f t="shared" si="251"/>
        <v>0</v>
      </c>
      <c r="AP663" s="448">
        <v>73</v>
      </c>
      <c r="AQ663" s="443">
        <v>130994</v>
      </c>
      <c r="AR663" s="444">
        <f t="shared" si="252"/>
        <v>7824088.2284000004</v>
      </c>
      <c r="AS663" s="307">
        <v>77</v>
      </c>
      <c r="AT663" s="307">
        <v>129442</v>
      </c>
      <c r="AU663" s="441">
        <f t="shared" si="253"/>
        <v>8155027.2188000008</v>
      </c>
      <c r="AV663" s="442">
        <v>37</v>
      </c>
      <c r="AW663" s="443">
        <v>100103</v>
      </c>
      <c r="AX663" s="444">
        <f t="shared" si="254"/>
        <v>3030458.1602000003</v>
      </c>
      <c r="AY663" s="307">
        <v>37</v>
      </c>
      <c r="AZ663" s="307">
        <v>100167</v>
      </c>
      <c r="BA663" s="445">
        <f t="shared" si="255"/>
        <v>3032395.6578000002</v>
      </c>
      <c r="BB663" s="442">
        <v>29</v>
      </c>
      <c r="BC663" s="443">
        <v>83438</v>
      </c>
      <c r="BD663" s="444">
        <f t="shared" si="256"/>
        <v>1979800.1764</v>
      </c>
      <c r="BE663" s="307">
        <v>39</v>
      </c>
      <c r="BF663" s="307">
        <v>85752</v>
      </c>
      <c r="BG663" s="445">
        <f t="shared" si="257"/>
        <v>2736329.1696000001</v>
      </c>
      <c r="BH663" s="442">
        <v>9</v>
      </c>
      <c r="BI663" s="443">
        <v>54914</v>
      </c>
      <c r="BJ663" s="444">
        <f t="shared" si="258"/>
        <v>404375.7132</v>
      </c>
      <c r="BK663" s="307">
        <v>8</v>
      </c>
      <c r="BL663" s="307">
        <v>48554</v>
      </c>
      <c r="BM663" s="445">
        <f t="shared" si="259"/>
        <v>317815.0624</v>
      </c>
      <c r="BN663" s="442">
        <v>3</v>
      </c>
      <c r="BO663" s="443">
        <v>59276</v>
      </c>
      <c r="BP663" s="444">
        <f t="shared" si="260"/>
        <v>145498.86960000001</v>
      </c>
      <c r="BQ663" s="307">
        <v>4</v>
      </c>
      <c r="BR663" s="307">
        <v>58602</v>
      </c>
      <c r="BS663" s="445">
        <f t="shared" si="261"/>
        <v>191792.6256</v>
      </c>
      <c r="BT663" s="442"/>
      <c r="BU663" s="443"/>
      <c r="BV663" s="444">
        <f t="shared" si="262"/>
        <v>0</v>
      </c>
      <c r="BW663" s="307"/>
      <c r="BX663" s="307"/>
      <c r="BY663" s="449">
        <f t="shared" si="263"/>
        <v>0</v>
      </c>
    </row>
    <row r="664" spans="1:77" s="308" customFormat="1" ht="12.75" customHeight="1">
      <c r="A664" s="345" t="s">
        <v>343</v>
      </c>
      <c r="B664" s="346" t="s">
        <v>477</v>
      </c>
      <c r="C664" s="346"/>
      <c r="D664" s="347">
        <v>237525</v>
      </c>
      <c r="E664" s="479">
        <v>3</v>
      </c>
      <c r="F664" s="453">
        <v>179</v>
      </c>
      <c r="G664" s="454">
        <v>72740</v>
      </c>
      <c r="H664" s="439">
        <f t="shared" si="240"/>
        <v>13020460</v>
      </c>
      <c r="I664" s="311">
        <v>179</v>
      </c>
      <c r="J664" s="311">
        <v>72969</v>
      </c>
      <c r="K664" s="441">
        <f t="shared" si="241"/>
        <v>13061451</v>
      </c>
      <c r="L664" s="442">
        <v>122</v>
      </c>
      <c r="M664" s="443">
        <v>59844</v>
      </c>
      <c r="N664" s="444">
        <f t="shared" si="242"/>
        <v>7300968</v>
      </c>
      <c r="O664" s="307">
        <v>116</v>
      </c>
      <c r="P664" s="307">
        <v>60006</v>
      </c>
      <c r="Q664" s="445">
        <f t="shared" si="243"/>
        <v>6960696</v>
      </c>
      <c r="R664" s="442">
        <v>115</v>
      </c>
      <c r="S664" s="443">
        <v>48926</v>
      </c>
      <c r="T664" s="444">
        <f t="shared" si="244"/>
        <v>5626490</v>
      </c>
      <c r="U664" s="307">
        <v>114</v>
      </c>
      <c r="V664" s="307">
        <v>51708</v>
      </c>
      <c r="W664" s="441">
        <f t="shared" si="245"/>
        <v>5894712</v>
      </c>
      <c r="X664" s="442">
        <v>28</v>
      </c>
      <c r="Y664" s="443">
        <v>30326</v>
      </c>
      <c r="Z664" s="444">
        <f t="shared" si="246"/>
        <v>849128</v>
      </c>
      <c r="AA664" s="307">
        <v>42</v>
      </c>
      <c r="AB664" s="307">
        <v>34784</v>
      </c>
      <c r="AC664" s="445">
        <f t="shared" si="247"/>
        <v>1460928</v>
      </c>
      <c r="AD664" s="442"/>
      <c r="AE664" s="443"/>
      <c r="AF664" s="444">
        <f t="shared" si="248"/>
        <v>0</v>
      </c>
      <c r="AG664" s="307"/>
      <c r="AH664" s="307"/>
      <c r="AI664" s="445">
        <f t="shared" si="249"/>
        <v>0</v>
      </c>
      <c r="AJ664" s="446"/>
      <c r="AK664" s="443"/>
      <c r="AL664" s="444">
        <f t="shared" si="250"/>
        <v>0</v>
      </c>
      <c r="AM664" s="307"/>
      <c r="AN664" s="307"/>
      <c r="AO664" s="447">
        <f t="shared" si="251"/>
        <v>0</v>
      </c>
      <c r="AP664" s="448">
        <v>17</v>
      </c>
      <c r="AQ664" s="443">
        <v>99021</v>
      </c>
      <c r="AR664" s="444">
        <f t="shared" si="252"/>
        <v>1377322.6974000002</v>
      </c>
      <c r="AS664" s="307">
        <v>20</v>
      </c>
      <c r="AT664" s="307">
        <v>100885</v>
      </c>
      <c r="AU664" s="441">
        <f t="shared" si="253"/>
        <v>1650882.1400000001</v>
      </c>
      <c r="AV664" s="442">
        <v>4</v>
      </c>
      <c r="AW664" s="443">
        <v>79161</v>
      </c>
      <c r="AX664" s="444">
        <f t="shared" si="254"/>
        <v>259078.1208</v>
      </c>
      <c r="AY664" s="307">
        <v>2</v>
      </c>
      <c r="AZ664" s="307">
        <v>79081</v>
      </c>
      <c r="BA664" s="445">
        <f t="shared" si="255"/>
        <v>129408.14840000001</v>
      </c>
      <c r="BB664" s="442">
        <v>4</v>
      </c>
      <c r="BC664" s="443">
        <v>63512</v>
      </c>
      <c r="BD664" s="444">
        <f t="shared" si="256"/>
        <v>207862.0736</v>
      </c>
      <c r="BE664" s="307">
        <v>5</v>
      </c>
      <c r="BF664" s="307">
        <v>60037</v>
      </c>
      <c r="BG664" s="445">
        <f t="shared" si="257"/>
        <v>245611.367</v>
      </c>
      <c r="BH664" s="442"/>
      <c r="BI664" s="443"/>
      <c r="BJ664" s="444">
        <f t="shared" si="258"/>
        <v>0</v>
      </c>
      <c r="BK664" s="307"/>
      <c r="BL664" s="307"/>
      <c r="BM664" s="445">
        <f t="shared" si="259"/>
        <v>0</v>
      </c>
      <c r="BN664" s="442"/>
      <c r="BO664" s="443"/>
      <c r="BP664" s="444">
        <f t="shared" si="260"/>
        <v>0</v>
      </c>
      <c r="BQ664" s="307"/>
      <c r="BR664" s="307"/>
      <c r="BS664" s="445">
        <f t="shared" si="261"/>
        <v>0</v>
      </c>
      <c r="BT664" s="442"/>
      <c r="BU664" s="443"/>
      <c r="BV664" s="444">
        <f t="shared" si="262"/>
        <v>0</v>
      </c>
      <c r="BW664" s="307"/>
      <c r="BX664" s="307"/>
      <c r="BY664" s="449">
        <f t="shared" si="263"/>
        <v>0</v>
      </c>
    </row>
    <row r="665" spans="1:77" s="308" customFormat="1" ht="12.75" customHeight="1">
      <c r="A665" s="345" t="s">
        <v>343</v>
      </c>
      <c r="B665" s="346" t="s">
        <v>134</v>
      </c>
      <c r="C665" s="346"/>
      <c r="D665" s="347">
        <v>237367</v>
      </c>
      <c r="E665" s="479">
        <v>5</v>
      </c>
      <c r="F665" s="453">
        <v>45</v>
      </c>
      <c r="G665" s="454">
        <v>71134</v>
      </c>
      <c r="H665" s="439">
        <f t="shared" si="240"/>
        <v>3201030</v>
      </c>
      <c r="I665" s="311">
        <v>45</v>
      </c>
      <c r="J665" s="311">
        <v>71493</v>
      </c>
      <c r="K665" s="441">
        <f t="shared" si="241"/>
        <v>3217185</v>
      </c>
      <c r="L665" s="442">
        <v>36</v>
      </c>
      <c r="M665" s="443">
        <v>59069</v>
      </c>
      <c r="N665" s="444">
        <f t="shared" si="242"/>
        <v>2126484</v>
      </c>
      <c r="O665" s="307">
        <v>38</v>
      </c>
      <c r="P665" s="307">
        <v>59881</v>
      </c>
      <c r="Q665" s="445">
        <f t="shared" si="243"/>
        <v>2275478</v>
      </c>
      <c r="R665" s="442">
        <v>59</v>
      </c>
      <c r="S665" s="443">
        <v>50396</v>
      </c>
      <c r="T665" s="444">
        <f t="shared" si="244"/>
        <v>2973364</v>
      </c>
      <c r="U665" s="307">
        <v>54</v>
      </c>
      <c r="V665" s="307">
        <v>49639</v>
      </c>
      <c r="W665" s="441">
        <f t="shared" si="245"/>
        <v>2680506</v>
      </c>
      <c r="X665" s="442">
        <v>7</v>
      </c>
      <c r="Y665" s="443">
        <v>46012</v>
      </c>
      <c r="Z665" s="444">
        <f t="shared" si="246"/>
        <v>322084</v>
      </c>
      <c r="AA665" s="307">
        <v>9</v>
      </c>
      <c r="AB665" s="307">
        <v>42749</v>
      </c>
      <c r="AC665" s="445">
        <f t="shared" si="247"/>
        <v>384741</v>
      </c>
      <c r="AD665" s="442">
        <v>2</v>
      </c>
      <c r="AE665" s="443">
        <v>36654</v>
      </c>
      <c r="AF665" s="444">
        <f t="shared" si="248"/>
        <v>73308</v>
      </c>
      <c r="AG665" s="307"/>
      <c r="AH665" s="307"/>
      <c r="AI665" s="445">
        <f t="shared" si="249"/>
        <v>0</v>
      </c>
      <c r="AJ665" s="446"/>
      <c r="AK665" s="443"/>
      <c r="AL665" s="444">
        <f t="shared" si="250"/>
        <v>0</v>
      </c>
      <c r="AM665" s="307"/>
      <c r="AN665" s="307"/>
      <c r="AO665" s="447">
        <f t="shared" si="251"/>
        <v>0</v>
      </c>
      <c r="AP665" s="448">
        <v>6</v>
      </c>
      <c r="AQ665" s="443">
        <v>115874</v>
      </c>
      <c r="AR665" s="444">
        <f t="shared" si="252"/>
        <v>568848.64080000005</v>
      </c>
      <c r="AS665" s="307">
        <v>6</v>
      </c>
      <c r="AT665" s="307">
        <v>115621</v>
      </c>
      <c r="AU665" s="441">
        <f t="shared" si="253"/>
        <v>567606.61320000002</v>
      </c>
      <c r="AV665" s="442">
        <v>2</v>
      </c>
      <c r="AW665" s="443">
        <v>91504</v>
      </c>
      <c r="AX665" s="444">
        <f t="shared" si="254"/>
        <v>149737.14560000002</v>
      </c>
      <c r="AY665" s="307">
        <v>1</v>
      </c>
      <c r="AZ665" s="307">
        <v>77884</v>
      </c>
      <c r="BA665" s="445">
        <f t="shared" si="255"/>
        <v>63724.688800000004</v>
      </c>
      <c r="BB665" s="442">
        <v>5</v>
      </c>
      <c r="BC665" s="443">
        <v>53164</v>
      </c>
      <c r="BD665" s="444">
        <f t="shared" si="256"/>
        <v>217493.924</v>
      </c>
      <c r="BE665" s="307">
        <v>4</v>
      </c>
      <c r="BF665" s="307">
        <v>54861</v>
      </c>
      <c r="BG665" s="445">
        <f t="shared" si="257"/>
        <v>179549.0808</v>
      </c>
      <c r="BH665" s="442">
        <v>6</v>
      </c>
      <c r="BI665" s="443">
        <v>43377</v>
      </c>
      <c r="BJ665" s="444">
        <f t="shared" si="258"/>
        <v>212946.36840000001</v>
      </c>
      <c r="BK665" s="307">
        <v>6</v>
      </c>
      <c r="BL665" s="307">
        <v>45149</v>
      </c>
      <c r="BM665" s="445">
        <f t="shared" si="259"/>
        <v>221645.47080000001</v>
      </c>
      <c r="BN665" s="442"/>
      <c r="BO665" s="443"/>
      <c r="BP665" s="444">
        <f t="shared" si="260"/>
        <v>0</v>
      </c>
      <c r="BQ665" s="307"/>
      <c r="BR665" s="307"/>
      <c r="BS665" s="445">
        <f t="shared" si="261"/>
        <v>0</v>
      </c>
      <c r="BT665" s="442"/>
      <c r="BU665" s="443"/>
      <c r="BV665" s="444">
        <f t="shared" si="262"/>
        <v>0</v>
      </c>
      <c r="BW665" s="307"/>
      <c r="BX665" s="307"/>
      <c r="BY665" s="449">
        <f t="shared" si="263"/>
        <v>0</v>
      </c>
    </row>
    <row r="666" spans="1:77" s="308" customFormat="1" ht="12.75" customHeight="1">
      <c r="A666" s="345" t="s">
        <v>343</v>
      </c>
      <c r="B666" s="402" t="s">
        <v>481</v>
      </c>
      <c r="C666" s="565" t="s">
        <v>1139</v>
      </c>
      <c r="D666" s="347">
        <v>237792</v>
      </c>
      <c r="E666" s="566">
        <v>5</v>
      </c>
      <c r="F666" s="453">
        <v>28</v>
      </c>
      <c r="G666" s="454">
        <v>72192</v>
      </c>
      <c r="H666" s="439">
        <f t="shared" si="240"/>
        <v>2021376</v>
      </c>
      <c r="I666" s="311">
        <v>26</v>
      </c>
      <c r="J666" s="311">
        <v>73437</v>
      </c>
      <c r="K666" s="441">
        <f t="shared" si="241"/>
        <v>1909362</v>
      </c>
      <c r="L666" s="442">
        <v>32</v>
      </c>
      <c r="M666" s="443">
        <v>60848</v>
      </c>
      <c r="N666" s="444">
        <f t="shared" si="242"/>
        <v>1947136</v>
      </c>
      <c r="O666" s="307">
        <v>37</v>
      </c>
      <c r="P666" s="307">
        <v>62217</v>
      </c>
      <c r="Q666" s="445">
        <f t="shared" si="243"/>
        <v>2302029</v>
      </c>
      <c r="R666" s="442">
        <v>48</v>
      </c>
      <c r="S666" s="443">
        <v>52372</v>
      </c>
      <c r="T666" s="444">
        <f t="shared" si="244"/>
        <v>2513856</v>
      </c>
      <c r="U666" s="307">
        <v>45</v>
      </c>
      <c r="V666" s="307">
        <v>53109</v>
      </c>
      <c r="W666" s="441">
        <f t="shared" si="245"/>
        <v>2389905</v>
      </c>
      <c r="X666" s="442">
        <v>1</v>
      </c>
      <c r="Y666" s="443">
        <v>39000</v>
      </c>
      <c r="Z666" s="444">
        <f t="shared" si="246"/>
        <v>39000</v>
      </c>
      <c r="AA666" s="307"/>
      <c r="AB666" s="307"/>
      <c r="AC666" s="445">
        <f t="shared" si="247"/>
        <v>0</v>
      </c>
      <c r="AD666" s="442">
        <v>11</v>
      </c>
      <c r="AE666" s="443">
        <v>48577</v>
      </c>
      <c r="AF666" s="444">
        <f t="shared" si="248"/>
        <v>534347</v>
      </c>
      <c r="AG666" s="307">
        <v>13</v>
      </c>
      <c r="AH666" s="307">
        <v>48551</v>
      </c>
      <c r="AI666" s="445">
        <f t="shared" si="249"/>
        <v>631163</v>
      </c>
      <c r="AJ666" s="446"/>
      <c r="AK666" s="443"/>
      <c r="AL666" s="444">
        <f t="shared" si="250"/>
        <v>0</v>
      </c>
      <c r="AM666" s="307"/>
      <c r="AN666" s="307"/>
      <c r="AO666" s="447">
        <f t="shared" si="251"/>
        <v>0</v>
      </c>
      <c r="AP666" s="448">
        <v>2</v>
      </c>
      <c r="AQ666" s="443">
        <v>93342</v>
      </c>
      <c r="AR666" s="444">
        <f t="shared" si="252"/>
        <v>152744.84880000001</v>
      </c>
      <c r="AS666" s="307">
        <v>2</v>
      </c>
      <c r="AT666" s="307">
        <v>95952</v>
      </c>
      <c r="AU666" s="441">
        <f t="shared" si="253"/>
        <v>157015.85279999999</v>
      </c>
      <c r="AV666" s="442">
        <v>1</v>
      </c>
      <c r="AW666" s="443">
        <v>70612</v>
      </c>
      <c r="AX666" s="444">
        <f t="shared" si="254"/>
        <v>57774.738400000002</v>
      </c>
      <c r="AY666" s="307">
        <v>1</v>
      </c>
      <c r="AZ666" s="307">
        <v>71874</v>
      </c>
      <c r="BA666" s="445">
        <f t="shared" si="255"/>
        <v>58807.306800000006</v>
      </c>
      <c r="BB666" s="442"/>
      <c r="BC666" s="443"/>
      <c r="BD666" s="444">
        <f t="shared" si="256"/>
        <v>0</v>
      </c>
      <c r="BE666" s="307"/>
      <c r="BF666" s="307"/>
      <c r="BG666" s="445">
        <f t="shared" si="257"/>
        <v>0</v>
      </c>
      <c r="BH666" s="442"/>
      <c r="BI666" s="443"/>
      <c r="BJ666" s="444">
        <f t="shared" si="258"/>
        <v>0</v>
      </c>
      <c r="BK666" s="307"/>
      <c r="BL666" s="307"/>
      <c r="BM666" s="445">
        <f t="shared" si="259"/>
        <v>0</v>
      </c>
      <c r="BN666" s="442">
        <v>1</v>
      </c>
      <c r="BO666" s="443">
        <v>50180</v>
      </c>
      <c r="BP666" s="444">
        <f t="shared" si="260"/>
        <v>41057.276000000005</v>
      </c>
      <c r="BQ666" s="307">
        <v>1</v>
      </c>
      <c r="BR666" s="307">
        <v>51102</v>
      </c>
      <c r="BS666" s="445">
        <f t="shared" si="261"/>
        <v>41811.6564</v>
      </c>
      <c r="BT666" s="442"/>
      <c r="BU666" s="443"/>
      <c r="BV666" s="444">
        <f t="shared" si="262"/>
        <v>0</v>
      </c>
      <c r="BW666" s="307"/>
      <c r="BX666" s="307"/>
      <c r="BY666" s="449">
        <f t="shared" si="263"/>
        <v>0</v>
      </c>
    </row>
    <row r="667" spans="1:77" s="308" customFormat="1" ht="12.75" customHeight="1">
      <c r="A667" s="345" t="s">
        <v>343</v>
      </c>
      <c r="B667" s="346" t="s">
        <v>478</v>
      </c>
      <c r="C667" s="346"/>
      <c r="D667" s="347">
        <v>237215</v>
      </c>
      <c r="E667" s="479">
        <v>6</v>
      </c>
      <c r="F667" s="453">
        <v>25</v>
      </c>
      <c r="G667" s="454">
        <v>66415</v>
      </c>
      <c r="H667" s="439">
        <f t="shared" si="240"/>
        <v>1660375</v>
      </c>
      <c r="I667" s="311">
        <v>23</v>
      </c>
      <c r="J667" s="311">
        <v>67627</v>
      </c>
      <c r="K667" s="441">
        <f t="shared" si="241"/>
        <v>1555421</v>
      </c>
      <c r="L667" s="442">
        <v>15</v>
      </c>
      <c r="M667" s="443">
        <v>58044</v>
      </c>
      <c r="N667" s="444">
        <f t="shared" si="242"/>
        <v>870660</v>
      </c>
      <c r="O667" s="307">
        <v>16</v>
      </c>
      <c r="P667" s="307">
        <v>57152</v>
      </c>
      <c r="Q667" s="445">
        <f t="shared" si="243"/>
        <v>914432</v>
      </c>
      <c r="R667" s="442">
        <v>28</v>
      </c>
      <c r="S667" s="443">
        <v>49246</v>
      </c>
      <c r="T667" s="444">
        <f t="shared" si="244"/>
        <v>1378888</v>
      </c>
      <c r="U667" s="307">
        <v>28</v>
      </c>
      <c r="V667" s="307">
        <v>51091</v>
      </c>
      <c r="W667" s="441">
        <f t="shared" si="245"/>
        <v>1430548</v>
      </c>
      <c r="X667" s="442">
        <v>2</v>
      </c>
      <c r="Y667" s="443">
        <v>39060</v>
      </c>
      <c r="Z667" s="444">
        <f t="shared" si="246"/>
        <v>78120</v>
      </c>
      <c r="AA667" s="307">
        <v>3</v>
      </c>
      <c r="AB667" s="307">
        <v>41900</v>
      </c>
      <c r="AC667" s="445">
        <f t="shared" si="247"/>
        <v>125700</v>
      </c>
      <c r="AD667" s="442">
        <v>1</v>
      </c>
      <c r="AE667" s="443">
        <v>37644</v>
      </c>
      <c r="AF667" s="444">
        <f t="shared" si="248"/>
        <v>37644</v>
      </c>
      <c r="AG667" s="307">
        <v>1</v>
      </c>
      <c r="AH667" s="307">
        <v>39504</v>
      </c>
      <c r="AI667" s="445">
        <f t="shared" si="249"/>
        <v>39504</v>
      </c>
      <c r="AJ667" s="446"/>
      <c r="AK667" s="443"/>
      <c r="AL667" s="444">
        <f t="shared" si="250"/>
        <v>0</v>
      </c>
      <c r="AM667" s="307"/>
      <c r="AN667" s="307"/>
      <c r="AO667" s="447">
        <f t="shared" si="251"/>
        <v>0</v>
      </c>
      <c r="AP667" s="448">
        <v>3</v>
      </c>
      <c r="AQ667" s="443">
        <v>85743</v>
      </c>
      <c r="AR667" s="444">
        <f t="shared" si="252"/>
        <v>210464.7678</v>
      </c>
      <c r="AS667" s="307">
        <v>3</v>
      </c>
      <c r="AT667" s="307">
        <v>76840</v>
      </c>
      <c r="AU667" s="441">
        <f t="shared" si="253"/>
        <v>188611.46400000001</v>
      </c>
      <c r="AV667" s="442">
        <v>1</v>
      </c>
      <c r="AW667" s="443">
        <v>50244</v>
      </c>
      <c r="AX667" s="444">
        <f t="shared" si="254"/>
        <v>41109.640800000001</v>
      </c>
      <c r="AY667" s="307">
        <v>1</v>
      </c>
      <c r="AZ667" s="307">
        <v>52164</v>
      </c>
      <c r="BA667" s="445">
        <f t="shared" si="255"/>
        <v>42680.584800000004</v>
      </c>
      <c r="BB667" s="442">
        <v>1</v>
      </c>
      <c r="BC667" s="443">
        <v>71872</v>
      </c>
      <c r="BD667" s="444">
        <f t="shared" si="256"/>
        <v>58805.670400000003</v>
      </c>
      <c r="BE667" s="307">
        <v>1</v>
      </c>
      <c r="BF667" s="307">
        <v>53004</v>
      </c>
      <c r="BG667" s="445">
        <f t="shared" si="257"/>
        <v>43367.872800000005</v>
      </c>
      <c r="BH667" s="442"/>
      <c r="BI667" s="443"/>
      <c r="BJ667" s="444">
        <f t="shared" si="258"/>
        <v>0</v>
      </c>
      <c r="BK667" s="307"/>
      <c r="BL667" s="307"/>
      <c r="BM667" s="445">
        <f t="shared" si="259"/>
        <v>0</v>
      </c>
      <c r="BN667" s="442"/>
      <c r="BO667" s="443"/>
      <c r="BP667" s="444">
        <f t="shared" si="260"/>
        <v>0</v>
      </c>
      <c r="BQ667" s="307"/>
      <c r="BR667" s="307"/>
      <c r="BS667" s="445">
        <f t="shared" si="261"/>
        <v>0</v>
      </c>
      <c r="BT667" s="442"/>
      <c r="BU667" s="443"/>
      <c r="BV667" s="444">
        <f t="shared" si="262"/>
        <v>0</v>
      </c>
      <c r="BW667" s="307"/>
      <c r="BX667" s="307"/>
      <c r="BY667" s="449">
        <f t="shared" si="263"/>
        <v>0</v>
      </c>
    </row>
    <row r="668" spans="1:77" s="308" customFormat="1" ht="12.75" customHeight="1">
      <c r="A668" s="345" t="s">
        <v>343</v>
      </c>
      <c r="B668" s="346" t="s">
        <v>479</v>
      </c>
      <c r="C668" s="346"/>
      <c r="D668" s="347">
        <v>237330</v>
      </c>
      <c r="E668" s="479">
        <v>6</v>
      </c>
      <c r="F668" s="453">
        <v>19</v>
      </c>
      <c r="G668" s="454">
        <v>66109</v>
      </c>
      <c r="H668" s="439">
        <f t="shared" si="240"/>
        <v>1256071</v>
      </c>
      <c r="I668" s="311">
        <v>25</v>
      </c>
      <c r="J668" s="311">
        <v>68598</v>
      </c>
      <c r="K668" s="441">
        <f t="shared" si="241"/>
        <v>1714950</v>
      </c>
      <c r="L668" s="442">
        <v>28</v>
      </c>
      <c r="M668" s="443">
        <v>57418</v>
      </c>
      <c r="N668" s="444">
        <f t="shared" si="242"/>
        <v>1607704</v>
      </c>
      <c r="O668" s="307">
        <v>26</v>
      </c>
      <c r="P668" s="307">
        <v>57437</v>
      </c>
      <c r="Q668" s="445">
        <f t="shared" si="243"/>
        <v>1493362</v>
      </c>
      <c r="R668" s="442">
        <v>42</v>
      </c>
      <c r="S668" s="443">
        <v>48914</v>
      </c>
      <c r="T668" s="444">
        <f t="shared" si="244"/>
        <v>2054388</v>
      </c>
      <c r="U668" s="307">
        <v>41</v>
      </c>
      <c r="V668" s="307">
        <v>48591</v>
      </c>
      <c r="W668" s="441">
        <f t="shared" si="245"/>
        <v>1992231</v>
      </c>
      <c r="X668" s="442">
        <v>16</v>
      </c>
      <c r="Y668" s="443">
        <v>38452</v>
      </c>
      <c r="Z668" s="444">
        <f t="shared" si="246"/>
        <v>615232</v>
      </c>
      <c r="AA668" s="307">
        <v>15</v>
      </c>
      <c r="AB668" s="307">
        <v>41403</v>
      </c>
      <c r="AC668" s="445">
        <f t="shared" si="247"/>
        <v>621045</v>
      </c>
      <c r="AD668" s="442"/>
      <c r="AE668" s="443"/>
      <c r="AF668" s="444">
        <f t="shared" si="248"/>
        <v>0</v>
      </c>
      <c r="AG668" s="307"/>
      <c r="AH668" s="307"/>
      <c r="AI668" s="445">
        <f t="shared" si="249"/>
        <v>0</v>
      </c>
      <c r="AJ668" s="446"/>
      <c r="AK668" s="443"/>
      <c r="AL668" s="444">
        <f t="shared" si="250"/>
        <v>0</v>
      </c>
      <c r="AM668" s="307"/>
      <c r="AN668" s="307"/>
      <c r="AO668" s="447">
        <f t="shared" si="251"/>
        <v>0</v>
      </c>
      <c r="AP668" s="448">
        <v>3</v>
      </c>
      <c r="AQ668" s="443">
        <v>87045</v>
      </c>
      <c r="AR668" s="444">
        <f t="shared" si="252"/>
        <v>213660.65700000001</v>
      </c>
      <c r="AS668" s="307">
        <v>4</v>
      </c>
      <c r="AT668" s="307">
        <v>88190</v>
      </c>
      <c r="AU668" s="441">
        <f t="shared" si="253"/>
        <v>288628.23200000002</v>
      </c>
      <c r="AV668" s="442">
        <v>1</v>
      </c>
      <c r="AW668" s="443">
        <v>67687</v>
      </c>
      <c r="AX668" s="444">
        <f t="shared" si="254"/>
        <v>55381.503400000001</v>
      </c>
      <c r="AY668" s="307"/>
      <c r="AZ668" s="307"/>
      <c r="BA668" s="445">
        <f t="shared" si="255"/>
        <v>0</v>
      </c>
      <c r="BB668" s="442"/>
      <c r="BC668" s="443"/>
      <c r="BD668" s="444">
        <f t="shared" si="256"/>
        <v>0</v>
      </c>
      <c r="BE668" s="307"/>
      <c r="BF668" s="307"/>
      <c r="BG668" s="445">
        <f t="shared" si="257"/>
        <v>0</v>
      </c>
      <c r="BH668" s="442"/>
      <c r="BI668" s="443"/>
      <c r="BJ668" s="444">
        <f t="shared" si="258"/>
        <v>0</v>
      </c>
      <c r="BK668" s="307">
        <v>1</v>
      </c>
      <c r="BL668" s="307">
        <v>38500</v>
      </c>
      <c r="BM668" s="445">
        <f t="shared" si="259"/>
        <v>31500.7</v>
      </c>
      <c r="BN668" s="442"/>
      <c r="BO668" s="443"/>
      <c r="BP668" s="444">
        <f t="shared" si="260"/>
        <v>0</v>
      </c>
      <c r="BQ668" s="307"/>
      <c r="BR668" s="307"/>
      <c r="BS668" s="445">
        <f t="shared" si="261"/>
        <v>0</v>
      </c>
      <c r="BT668" s="442"/>
      <c r="BU668" s="443"/>
      <c r="BV668" s="444">
        <f t="shared" si="262"/>
        <v>0</v>
      </c>
      <c r="BW668" s="307"/>
      <c r="BX668" s="307"/>
      <c r="BY668" s="449">
        <f t="shared" si="263"/>
        <v>0</v>
      </c>
    </row>
    <row r="669" spans="1:77" s="308" customFormat="1" ht="12.75" customHeight="1">
      <c r="A669" s="345" t="s">
        <v>343</v>
      </c>
      <c r="B669" s="346" t="s">
        <v>480</v>
      </c>
      <c r="C669" s="346"/>
      <c r="D669" s="347">
        <v>237385</v>
      </c>
      <c r="E669" s="479">
        <v>6</v>
      </c>
      <c r="F669" s="453">
        <v>8</v>
      </c>
      <c r="G669" s="454">
        <v>65753</v>
      </c>
      <c r="H669" s="439">
        <f t="shared" si="240"/>
        <v>526024</v>
      </c>
      <c r="I669" s="311">
        <v>9</v>
      </c>
      <c r="J669" s="311">
        <v>66117</v>
      </c>
      <c r="K669" s="441">
        <f t="shared" si="241"/>
        <v>595053</v>
      </c>
      <c r="L669" s="442">
        <v>12</v>
      </c>
      <c r="M669" s="443">
        <v>58944</v>
      </c>
      <c r="N669" s="444">
        <f t="shared" si="242"/>
        <v>707328</v>
      </c>
      <c r="O669" s="307">
        <v>11</v>
      </c>
      <c r="P669" s="307">
        <v>60644</v>
      </c>
      <c r="Q669" s="445">
        <f t="shared" si="243"/>
        <v>667084</v>
      </c>
      <c r="R669" s="442">
        <v>21</v>
      </c>
      <c r="S669" s="443">
        <v>45229</v>
      </c>
      <c r="T669" s="444">
        <f t="shared" si="244"/>
        <v>949809</v>
      </c>
      <c r="U669" s="307">
        <v>24</v>
      </c>
      <c r="V669" s="307">
        <v>46426</v>
      </c>
      <c r="W669" s="441">
        <f t="shared" si="245"/>
        <v>1114224</v>
      </c>
      <c r="X669" s="442">
        <v>15</v>
      </c>
      <c r="Y669" s="443">
        <v>37096</v>
      </c>
      <c r="Z669" s="444">
        <f t="shared" si="246"/>
        <v>556440</v>
      </c>
      <c r="AA669" s="307">
        <v>19</v>
      </c>
      <c r="AB669" s="307">
        <v>37939</v>
      </c>
      <c r="AC669" s="445">
        <f t="shared" si="247"/>
        <v>720841</v>
      </c>
      <c r="AD669" s="442">
        <v>1</v>
      </c>
      <c r="AE669" s="443">
        <v>32604</v>
      </c>
      <c r="AF669" s="444">
        <f t="shared" si="248"/>
        <v>32604</v>
      </c>
      <c r="AG669" s="307"/>
      <c r="AH669" s="307"/>
      <c r="AI669" s="445">
        <f t="shared" si="249"/>
        <v>0</v>
      </c>
      <c r="AJ669" s="446"/>
      <c r="AK669" s="443"/>
      <c r="AL669" s="444">
        <f t="shared" si="250"/>
        <v>0</v>
      </c>
      <c r="AM669" s="307"/>
      <c r="AN669" s="307"/>
      <c r="AO669" s="447">
        <f t="shared" si="251"/>
        <v>0</v>
      </c>
      <c r="AP669" s="448"/>
      <c r="AQ669" s="443"/>
      <c r="AR669" s="444">
        <f t="shared" si="252"/>
        <v>0</v>
      </c>
      <c r="AS669" s="307"/>
      <c r="AT669" s="307"/>
      <c r="AU669" s="441">
        <f t="shared" si="253"/>
        <v>0</v>
      </c>
      <c r="AV669" s="442">
        <v>2</v>
      </c>
      <c r="AW669" s="443">
        <v>70566</v>
      </c>
      <c r="AX669" s="444">
        <f t="shared" si="254"/>
        <v>115474.20240000001</v>
      </c>
      <c r="AY669" s="307">
        <v>2</v>
      </c>
      <c r="AZ669" s="307">
        <v>71898</v>
      </c>
      <c r="BA669" s="445">
        <f t="shared" si="255"/>
        <v>117653.88720000001</v>
      </c>
      <c r="BB669" s="442"/>
      <c r="BC669" s="443"/>
      <c r="BD669" s="444">
        <f t="shared" si="256"/>
        <v>0</v>
      </c>
      <c r="BE669" s="307"/>
      <c r="BF669" s="307"/>
      <c r="BG669" s="445">
        <f t="shared" si="257"/>
        <v>0</v>
      </c>
      <c r="BH669" s="442"/>
      <c r="BI669" s="443"/>
      <c r="BJ669" s="444">
        <f t="shared" si="258"/>
        <v>0</v>
      </c>
      <c r="BK669" s="307">
        <v>1</v>
      </c>
      <c r="BL669" s="307">
        <v>32760</v>
      </c>
      <c r="BM669" s="445">
        <f t="shared" si="259"/>
        <v>26804.232</v>
      </c>
      <c r="BN669" s="442">
        <v>1</v>
      </c>
      <c r="BO669" s="443">
        <v>41700</v>
      </c>
      <c r="BP669" s="444">
        <f t="shared" si="260"/>
        <v>34118.94</v>
      </c>
      <c r="BQ669" s="307">
        <v>1</v>
      </c>
      <c r="BR669" s="307">
        <v>42816</v>
      </c>
      <c r="BS669" s="445">
        <f t="shared" si="261"/>
        <v>35032.051200000002</v>
      </c>
      <c r="BT669" s="442"/>
      <c r="BU669" s="443"/>
      <c r="BV669" s="444">
        <f t="shared" si="262"/>
        <v>0</v>
      </c>
      <c r="BW669" s="307"/>
      <c r="BX669" s="307"/>
      <c r="BY669" s="449">
        <f t="shared" si="263"/>
        <v>0</v>
      </c>
    </row>
    <row r="670" spans="1:77" s="308" customFormat="1" ht="12.75" customHeight="1">
      <c r="A670" s="345" t="s">
        <v>343</v>
      </c>
      <c r="B670" s="482" t="s">
        <v>5</v>
      </c>
      <c r="C670" s="482"/>
      <c r="D670" s="347">
        <v>237932</v>
      </c>
      <c r="E670" s="479">
        <v>6</v>
      </c>
      <c r="F670" s="453">
        <v>14</v>
      </c>
      <c r="G670" s="454">
        <v>64408</v>
      </c>
      <c r="H670" s="439">
        <f t="shared" si="240"/>
        <v>901712</v>
      </c>
      <c r="I670" s="311">
        <v>15</v>
      </c>
      <c r="J670" s="311">
        <v>67650</v>
      </c>
      <c r="K670" s="441">
        <f t="shared" si="241"/>
        <v>1014750</v>
      </c>
      <c r="L670" s="442">
        <v>33</v>
      </c>
      <c r="M670" s="443">
        <v>55079</v>
      </c>
      <c r="N670" s="444">
        <f t="shared" si="242"/>
        <v>1817607</v>
      </c>
      <c r="O670" s="307">
        <v>30</v>
      </c>
      <c r="P670" s="307">
        <v>57070</v>
      </c>
      <c r="Q670" s="445">
        <f t="shared" si="243"/>
        <v>1712100</v>
      </c>
      <c r="R670" s="442">
        <v>30</v>
      </c>
      <c r="S670" s="443">
        <v>47087</v>
      </c>
      <c r="T670" s="444">
        <f t="shared" si="244"/>
        <v>1412610</v>
      </c>
      <c r="U670" s="307">
        <v>35</v>
      </c>
      <c r="V670" s="307">
        <v>50316</v>
      </c>
      <c r="W670" s="441">
        <f t="shared" si="245"/>
        <v>1761060</v>
      </c>
      <c r="X670" s="442">
        <v>27</v>
      </c>
      <c r="Y670" s="443">
        <v>42283</v>
      </c>
      <c r="Z670" s="444">
        <f t="shared" si="246"/>
        <v>1141641</v>
      </c>
      <c r="AA670" s="307">
        <v>26</v>
      </c>
      <c r="AB670" s="307">
        <v>43529</v>
      </c>
      <c r="AC670" s="445">
        <f t="shared" si="247"/>
        <v>1131754</v>
      </c>
      <c r="AD670" s="442">
        <v>3</v>
      </c>
      <c r="AE670" s="443">
        <v>44003</v>
      </c>
      <c r="AF670" s="444">
        <f t="shared" si="248"/>
        <v>132009</v>
      </c>
      <c r="AG670" s="307">
        <v>3</v>
      </c>
      <c r="AH670" s="307">
        <v>37457</v>
      </c>
      <c r="AI670" s="445">
        <f t="shared" si="249"/>
        <v>112371</v>
      </c>
      <c r="AJ670" s="446"/>
      <c r="AK670" s="443"/>
      <c r="AL670" s="444">
        <f t="shared" si="250"/>
        <v>0</v>
      </c>
      <c r="AM670" s="307"/>
      <c r="AN670" s="307"/>
      <c r="AO670" s="447">
        <f t="shared" si="251"/>
        <v>0</v>
      </c>
      <c r="AP670" s="448">
        <v>1</v>
      </c>
      <c r="AQ670" s="443">
        <v>60315</v>
      </c>
      <c r="AR670" s="444">
        <f t="shared" si="252"/>
        <v>49349.733</v>
      </c>
      <c r="AS670" s="307">
        <v>1</v>
      </c>
      <c r="AT670" s="307">
        <v>61750</v>
      </c>
      <c r="AU670" s="441">
        <f t="shared" si="253"/>
        <v>50523.850000000006</v>
      </c>
      <c r="AV670" s="442">
        <v>3</v>
      </c>
      <c r="AW670" s="443">
        <v>58892</v>
      </c>
      <c r="AX670" s="444">
        <f t="shared" si="254"/>
        <v>144556.30319999999</v>
      </c>
      <c r="AY670" s="307">
        <v>2</v>
      </c>
      <c r="AZ670" s="307">
        <v>57583</v>
      </c>
      <c r="BA670" s="445">
        <f t="shared" si="255"/>
        <v>94228.821200000006</v>
      </c>
      <c r="BB670" s="442">
        <v>2</v>
      </c>
      <c r="BC670" s="443">
        <v>88777</v>
      </c>
      <c r="BD670" s="444">
        <f t="shared" si="256"/>
        <v>145274.68280000001</v>
      </c>
      <c r="BE670" s="307">
        <v>2</v>
      </c>
      <c r="BF670" s="307">
        <v>88837</v>
      </c>
      <c r="BG670" s="445">
        <f t="shared" si="257"/>
        <v>145372.86680000002</v>
      </c>
      <c r="BH670" s="442">
        <v>4</v>
      </c>
      <c r="BI670" s="443">
        <v>48069</v>
      </c>
      <c r="BJ670" s="444">
        <f t="shared" si="258"/>
        <v>157320.22320000001</v>
      </c>
      <c r="BK670" s="307">
        <v>4</v>
      </c>
      <c r="BL670" s="307">
        <v>48729</v>
      </c>
      <c r="BM670" s="445">
        <f t="shared" si="259"/>
        <v>159480.27120000002</v>
      </c>
      <c r="BN670" s="442"/>
      <c r="BO670" s="443"/>
      <c r="BP670" s="444">
        <f t="shared" si="260"/>
        <v>0</v>
      </c>
      <c r="BQ670" s="307"/>
      <c r="BR670" s="307"/>
      <c r="BS670" s="445">
        <f t="shared" si="261"/>
        <v>0</v>
      </c>
      <c r="BT670" s="442"/>
      <c r="BU670" s="443"/>
      <c r="BV670" s="444">
        <f t="shared" si="262"/>
        <v>0</v>
      </c>
      <c r="BW670" s="307"/>
      <c r="BX670" s="307"/>
      <c r="BY670" s="449">
        <f t="shared" si="263"/>
        <v>0</v>
      </c>
    </row>
    <row r="671" spans="1:77" s="308" customFormat="1" ht="12.75" customHeight="1">
      <c r="A671" s="345" t="s">
        <v>343</v>
      </c>
      <c r="B671" s="346" t="s">
        <v>482</v>
      </c>
      <c r="C671" s="346"/>
      <c r="D671" s="347">
        <v>237899</v>
      </c>
      <c r="E671" s="479">
        <v>6</v>
      </c>
      <c r="F671" s="453">
        <v>22</v>
      </c>
      <c r="G671" s="454">
        <v>62291</v>
      </c>
      <c r="H671" s="439">
        <f t="shared" si="240"/>
        <v>1370402</v>
      </c>
      <c r="I671" s="311">
        <v>19</v>
      </c>
      <c r="J671" s="311">
        <v>62118</v>
      </c>
      <c r="K671" s="441">
        <f t="shared" si="241"/>
        <v>1180242</v>
      </c>
      <c r="L671" s="442">
        <v>34</v>
      </c>
      <c r="M671" s="443">
        <v>57591</v>
      </c>
      <c r="N671" s="444">
        <f t="shared" si="242"/>
        <v>1958094</v>
      </c>
      <c r="O671" s="307">
        <v>35</v>
      </c>
      <c r="P671" s="307">
        <v>57950</v>
      </c>
      <c r="Q671" s="445">
        <f t="shared" si="243"/>
        <v>2028250</v>
      </c>
      <c r="R671" s="442">
        <v>50</v>
      </c>
      <c r="S671" s="443">
        <v>47635</v>
      </c>
      <c r="T671" s="444">
        <f t="shared" si="244"/>
        <v>2381750</v>
      </c>
      <c r="U671" s="307">
        <v>52</v>
      </c>
      <c r="V671" s="307">
        <v>48101</v>
      </c>
      <c r="W671" s="441">
        <f t="shared" si="245"/>
        <v>2501252</v>
      </c>
      <c r="X671" s="442">
        <v>12</v>
      </c>
      <c r="Y671" s="443">
        <v>38600</v>
      </c>
      <c r="Z671" s="444">
        <f t="shared" si="246"/>
        <v>463200</v>
      </c>
      <c r="AA671" s="307">
        <v>11</v>
      </c>
      <c r="AB671" s="307">
        <v>37433</v>
      </c>
      <c r="AC671" s="445">
        <f t="shared" si="247"/>
        <v>411763</v>
      </c>
      <c r="AD671" s="442">
        <v>1</v>
      </c>
      <c r="AE671" s="443">
        <v>55000</v>
      </c>
      <c r="AF671" s="444">
        <f t="shared" si="248"/>
        <v>55000</v>
      </c>
      <c r="AG671" s="307">
        <v>1</v>
      </c>
      <c r="AH671" s="307">
        <v>65000</v>
      </c>
      <c r="AI671" s="445">
        <f t="shared" si="249"/>
        <v>65000</v>
      </c>
      <c r="AJ671" s="446"/>
      <c r="AK671" s="443"/>
      <c r="AL671" s="444">
        <f t="shared" si="250"/>
        <v>0</v>
      </c>
      <c r="AM671" s="307"/>
      <c r="AN671" s="307"/>
      <c r="AO671" s="447">
        <f t="shared" si="251"/>
        <v>0</v>
      </c>
      <c r="AP671" s="448"/>
      <c r="AQ671" s="443"/>
      <c r="AR671" s="444">
        <f t="shared" si="252"/>
        <v>0</v>
      </c>
      <c r="AS671" s="307"/>
      <c r="AT671" s="307"/>
      <c r="AU671" s="441">
        <f t="shared" si="253"/>
        <v>0</v>
      </c>
      <c r="AV671" s="442">
        <v>1</v>
      </c>
      <c r="AW671" s="443">
        <v>69570</v>
      </c>
      <c r="AX671" s="444">
        <f t="shared" si="254"/>
        <v>56922.173999999999</v>
      </c>
      <c r="AY671" s="307">
        <v>1</v>
      </c>
      <c r="AZ671" s="307">
        <v>74753</v>
      </c>
      <c r="BA671" s="445">
        <f t="shared" si="255"/>
        <v>61162.904600000002</v>
      </c>
      <c r="BB671" s="442">
        <v>1</v>
      </c>
      <c r="BC671" s="443">
        <v>51894</v>
      </c>
      <c r="BD671" s="444">
        <f t="shared" si="256"/>
        <v>42459.6708</v>
      </c>
      <c r="BE671" s="307">
        <v>1</v>
      </c>
      <c r="BF671" s="307">
        <v>51954</v>
      </c>
      <c r="BG671" s="445">
        <f t="shared" si="257"/>
        <v>42508.762800000004</v>
      </c>
      <c r="BH671" s="442"/>
      <c r="BI671" s="443"/>
      <c r="BJ671" s="444">
        <f t="shared" si="258"/>
        <v>0</v>
      </c>
      <c r="BK671" s="307"/>
      <c r="BL671" s="307"/>
      <c r="BM671" s="445">
        <f t="shared" si="259"/>
        <v>0</v>
      </c>
      <c r="BN671" s="442"/>
      <c r="BO671" s="443"/>
      <c r="BP671" s="444">
        <f t="shared" si="260"/>
        <v>0</v>
      </c>
      <c r="BQ671" s="307"/>
      <c r="BR671" s="307"/>
      <c r="BS671" s="445">
        <f t="shared" si="261"/>
        <v>0</v>
      </c>
      <c r="BT671" s="442"/>
      <c r="BU671" s="443"/>
      <c r="BV671" s="444">
        <f t="shared" si="262"/>
        <v>0</v>
      </c>
      <c r="BW671" s="307"/>
      <c r="BX671" s="307"/>
      <c r="BY671" s="449">
        <f t="shared" si="263"/>
        <v>0</v>
      </c>
    </row>
    <row r="672" spans="1:77" s="308" customFormat="1" ht="12.75" customHeight="1">
      <c r="A672" s="345" t="s">
        <v>343</v>
      </c>
      <c r="B672" s="346" t="s">
        <v>483</v>
      </c>
      <c r="C672" s="346"/>
      <c r="D672" s="347">
        <v>237950</v>
      </c>
      <c r="E672" s="479">
        <v>6</v>
      </c>
      <c r="F672" s="453">
        <v>29</v>
      </c>
      <c r="G672" s="454">
        <v>73463</v>
      </c>
      <c r="H672" s="439">
        <f t="shared" si="240"/>
        <v>2130427</v>
      </c>
      <c r="I672" s="311">
        <v>28</v>
      </c>
      <c r="J672" s="311">
        <v>73632</v>
      </c>
      <c r="K672" s="441">
        <f t="shared" si="241"/>
        <v>2061696</v>
      </c>
      <c r="L672" s="442">
        <v>17</v>
      </c>
      <c r="M672" s="443">
        <v>55249</v>
      </c>
      <c r="N672" s="444">
        <f t="shared" si="242"/>
        <v>939233</v>
      </c>
      <c r="O672" s="307">
        <v>19</v>
      </c>
      <c r="P672" s="307">
        <v>56662</v>
      </c>
      <c r="Q672" s="445">
        <f t="shared" si="243"/>
        <v>1076578</v>
      </c>
      <c r="R672" s="442">
        <v>23</v>
      </c>
      <c r="S672" s="443">
        <v>50337</v>
      </c>
      <c r="T672" s="444">
        <f t="shared" si="244"/>
        <v>1157751</v>
      </c>
      <c r="U672" s="307">
        <v>26</v>
      </c>
      <c r="V672" s="307">
        <v>51214</v>
      </c>
      <c r="W672" s="441">
        <f t="shared" si="245"/>
        <v>1331564</v>
      </c>
      <c r="X672" s="442">
        <v>6</v>
      </c>
      <c r="Y672" s="443">
        <v>45351</v>
      </c>
      <c r="Z672" s="444">
        <f t="shared" si="246"/>
        <v>272106</v>
      </c>
      <c r="AA672" s="307">
        <v>2</v>
      </c>
      <c r="AB672" s="307">
        <v>39960</v>
      </c>
      <c r="AC672" s="445">
        <f t="shared" si="247"/>
        <v>79920</v>
      </c>
      <c r="AD672" s="442">
        <v>5</v>
      </c>
      <c r="AE672" s="443">
        <v>44063</v>
      </c>
      <c r="AF672" s="444">
        <f t="shared" si="248"/>
        <v>220315</v>
      </c>
      <c r="AG672" s="307">
        <v>9</v>
      </c>
      <c r="AH672" s="307">
        <v>46680</v>
      </c>
      <c r="AI672" s="445">
        <f t="shared" si="249"/>
        <v>420120</v>
      </c>
      <c r="AJ672" s="446"/>
      <c r="AK672" s="443"/>
      <c r="AL672" s="444">
        <f t="shared" si="250"/>
        <v>0</v>
      </c>
      <c r="AM672" s="307"/>
      <c r="AN672" s="307"/>
      <c r="AO672" s="447">
        <f t="shared" si="251"/>
        <v>0</v>
      </c>
      <c r="AP672" s="448"/>
      <c r="AQ672" s="443"/>
      <c r="AR672" s="444">
        <f t="shared" si="252"/>
        <v>0</v>
      </c>
      <c r="AS672" s="307"/>
      <c r="AT672" s="307"/>
      <c r="AU672" s="441">
        <f t="shared" si="253"/>
        <v>0</v>
      </c>
      <c r="AV672" s="442">
        <v>3</v>
      </c>
      <c r="AW672" s="443">
        <v>63713</v>
      </c>
      <c r="AX672" s="444">
        <f t="shared" si="254"/>
        <v>156389.92980000001</v>
      </c>
      <c r="AY672" s="307">
        <v>3</v>
      </c>
      <c r="AZ672" s="307">
        <v>63773</v>
      </c>
      <c r="BA672" s="445">
        <f t="shared" si="255"/>
        <v>156537.2058</v>
      </c>
      <c r="BB672" s="442">
        <v>3</v>
      </c>
      <c r="BC672" s="443">
        <v>58064</v>
      </c>
      <c r="BD672" s="444">
        <f t="shared" si="256"/>
        <v>142523.89440000002</v>
      </c>
      <c r="BE672" s="307">
        <v>3</v>
      </c>
      <c r="BF672" s="307">
        <v>56097</v>
      </c>
      <c r="BG672" s="445">
        <f t="shared" si="257"/>
        <v>137695.69620000001</v>
      </c>
      <c r="BH672" s="442"/>
      <c r="BI672" s="443"/>
      <c r="BJ672" s="444">
        <f t="shared" si="258"/>
        <v>0</v>
      </c>
      <c r="BK672" s="307"/>
      <c r="BL672" s="307"/>
      <c r="BM672" s="445">
        <f t="shared" si="259"/>
        <v>0</v>
      </c>
      <c r="BN672" s="442">
        <v>1</v>
      </c>
      <c r="BO672" s="443">
        <v>45080</v>
      </c>
      <c r="BP672" s="444">
        <f t="shared" si="260"/>
        <v>36884.455999999998</v>
      </c>
      <c r="BQ672" s="307"/>
      <c r="BR672" s="307"/>
      <c r="BS672" s="445">
        <f t="shared" si="261"/>
        <v>0</v>
      </c>
      <c r="BT672" s="442"/>
      <c r="BU672" s="443"/>
      <c r="BV672" s="444">
        <f t="shared" si="262"/>
        <v>0</v>
      </c>
      <c r="BW672" s="307"/>
      <c r="BX672" s="307"/>
      <c r="BY672" s="449">
        <f t="shared" si="263"/>
        <v>0</v>
      </c>
    </row>
    <row r="673" spans="1:77" s="308" customFormat="1" ht="12.75" customHeight="1">
      <c r="A673" s="345" t="s">
        <v>343</v>
      </c>
      <c r="B673" s="391" t="s">
        <v>135</v>
      </c>
      <c r="C673" s="391"/>
      <c r="D673" s="347">
        <v>237701</v>
      </c>
      <c r="E673" s="479">
        <v>7</v>
      </c>
      <c r="F673" s="453">
        <v>13</v>
      </c>
      <c r="G673" s="454">
        <v>65025</v>
      </c>
      <c r="H673" s="439">
        <f t="shared" si="240"/>
        <v>845325</v>
      </c>
      <c r="I673" s="311">
        <v>13</v>
      </c>
      <c r="J673" s="311">
        <v>66239</v>
      </c>
      <c r="K673" s="441">
        <f t="shared" si="241"/>
        <v>861107</v>
      </c>
      <c r="L673" s="442">
        <v>3</v>
      </c>
      <c r="M673" s="443">
        <v>42987</v>
      </c>
      <c r="N673" s="444">
        <f t="shared" si="242"/>
        <v>128961</v>
      </c>
      <c r="O673" s="307">
        <v>4</v>
      </c>
      <c r="P673" s="307">
        <v>48469</v>
      </c>
      <c r="Q673" s="445">
        <f t="shared" si="243"/>
        <v>193876</v>
      </c>
      <c r="R673" s="442">
        <v>9</v>
      </c>
      <c r="S673" s="443">
        <v>41762</v>
      </c>
      <c r="T673" s="444">
        <f t="shared" si="244"/>
        <v>375858</v>
      </c>
      <c r="U673" s="307">
        <v>11</v>
      </c>
      <c r="V673" s="307">
        <v>42574</v>
      </c>
      <c r="W673" s="441">
        <f t="shared" si="245"/>
        <v>468314</v>
      </c>
      <c r="X673" s="442">
        <v>16</v>
      </c>
      <c r="Y673" s="443">
        <v>37625</v>
      </c>
      <c r="Z673" s="444">
        <f t="shared" si="246"/>
        <v>602000</v>
      </c>
      <c r="AA673" s="307">
        <v>13</v>
      </c>
      <c r="AB673" s="307">
        <v>38090</v>
      </c>
      <c r="AC673" s="445">
        <f t="shared" si="247"/>
        <v>495170</v>
      </c>
      <c r="AD673" s="442"/>
      <c r="AE673" s="443"/>
      <c r="AF673" s="444">
        <f t="shared" si="248"/>
        <v>0</v>
      </c>
      <c r="AG673" s="307"/>
      <c r="AH673" s="307"/>
      <c r="AI673" s="445">
        <f t="shared" si="249"/>
        <v>0</v>
      </c>
      <c r="AJ673" s="446"/>
      <c r="AK673" s="443"/>
      <c r="AL673" s="444">
        <f t="shared" si="250"/>
        <v>0</v>
      </c>
      <c r="AM673" s="307"/>
      <c r="AN673" s="307"/>
      <c r="AO673" s="447">
        <f t="shared" si="251"/>
        <v>0</v>
      </c>
      <c r="AP673" s="448"/>
      <c r="AQ673" s="443"/>
      <c r="AR673" s="444">
        <f t="shared" si="252"/>
        <v>0</v>
      </c>
      <c r="AS673" s="307"/>
      <c r="AT673" s="307"/>
      <c r="AU673" s="441">
        <f t="shared" si="253"/>
        <v>0</v>
      </c>
      <c r="AV673" s="442"/>
      <c r="AW673" s="443"/>
      <c r="AX673" s="444">
        <f t="shared" si="254"/>
        <v>0</v>
      </c>
      <c r="AY673" s="307"/>
      <c r="AZ673" s="307"/>
      <c r="BA673" s="445">
        <f t="shared" si="255"/>
        <v>0</v>
      </c>
      <c r="BB673" s="442"/>
      <c r="BC673" s="443"/>
      <c r="BD673" s="444">
        <f t="shared" si="256"/>
        <v>0</v>
      </c>
      <c r="BE673" s="307"/>
      <c r="BF673" s="307"/>
      <c r="BG673" s="445">
        <f t="shared" si="257"/>
        <v>0</v>
      </c>
      <c r="BH673" s="442"/>
      <c r="BI673" s="443"/>
      <c r="BJ673" s="444">
        <f t="shared" si="258"/>
        <v>0</v>
      </c>
      <c r="BK673" s="307"/>
      <c r="BL673" s="307"/>
      <c r="BM673" s="445">
        <f t="shared" si="259"/>
        <v>0</v>
      </c>
      <c r="BN673" s="442"/>
      <c r="BO673" s="443"/>
      <c r="BP673" s="444">
        <f t="shared" si="260"/>
        <v>0</v>
      </c>
      <c r="BQ673" s="307"/>
      <c r="BR673" s="307"/>
      <c r="BS673" s="445">
        <f t="shared" si="261"/>
        <v>0</v>
      </c>
      <c r="BT673" s="442"/>
      <c r="BU673" s="443"/>
      <c r="BV673" s="444">
        <f t="shared" si="262"/>
        <v>0</v>
      </c>
      <c r="BW673" s="307"/>
      <c r="BX673" s="307"/>
      <c r="BY673" s="449">
        <f t="shared" si="263"/>
        <v>0</v>
      </c>
    </row>
    <row r="674" spans="1:77" s="308" customFormat="1" ht="12.75" customHeight="1">
      <c r="A674" s="345" t="s">
        <v>343</v>
      </c>
      <c r="B674" s="346" t="s">
        <v>484</v>
      </c>
      <c r="C674" s="346"/>
      <c r="D674" s="347">
        <v>237686</v>
      </c>
      <c r="E674" s="479">
        <v>7</v>
      </c>
      <c r="F674" s="453">
        <v>28</v>
      </c>
      <c r="G674" s="454">
        <v>55312</v>
      </c>
      <c r="H674" s="439">
        <f t="shared" si="240"/>
        <v>1548736</v>
      </c>
      <c r="I674" s="311">
        <v>28</v>
      </c>
      <c r="J674" s="311">
        <v>55679</v>
      </c>
      <c r="K674" s="441">
        <f t="shared" si="241"/>
        <v>1559012</v>
      </c>
      <c r="L674" s="442">
        <v>12</v>
      </c>
      <c r="M674" s="443">
        <v>52333</v>
      </c>
      <c r="N674" s="444">
        <f t="shared" si="242"/>
        <v>627996</v>
      </c>
      <c r="O674" s="307">
        <v>9</v>
      </c>
      <c r="P674" s="307">
        <v>52504</v>
      </c>
      <c r="Q674" s="445">
        <f t="shared" si="243"/>
        <v>472536</v>
      </c>
      <c r="R674" s="442">
        <v>11</v>
      </c>
      <c r="S674" s="443">
        <v>43178</v>
      </c>
      <c r="T674" s="444">
        <f t="shared" si="244"/>
        <v>474958</v>
      </c>
      <c r="U674" s="307">
        <v>11</v>
      </c>
      <c r="V674" s="307">
        <v>43689</v>
      </c>
      <c r="W674" s="441">
        <f t="shared" si="245"/>
        <v>480579</v>
      </c>
      <c r="X674" s="442">
        <v>29</v>
      </c>
      <c r="Y674" s="443">
        <v>36988</v>
      </c>
      <c r="Z674" s="444">
        <f t="shared" si="246"/>
        <v>1072652</v>
      </c>
      <c r="AA674" s="307">
        <v>33</v>
      </c>
      <c r="AB674" s="307">
        <v>36833</v>
      </c>
      <c r="AC674" s="445">
        <f t="shared" si="247"/>
        <v>1215489</v>
      </c>
      <c r="AD674" s="442"/>
      <c r="AE674" s="443"/>
      <c r="AF674" s="444">
        <f t="shared" si="248"/>
        <v>0</v>
      </c>
      <c r="AG674" s="307">
        <v>4</v>
      </c>
      <c r="AH674" s="307">
        <v>36070</v>
      </c>
      <c r="AI674" s="445">
        <f t="shared" si="249"/>
        <v>144280</v>
      </c>
      <c r="AJ674" s="446"/>
      <c r="AK674" s="443"/>
      <c r="AL674" s="444">
        <f t="shared" si="250"/>
        <v>0</v>
      </c>
      <c r="AM674" s="307"/>
      <c r="AN674" s="307"/>
      <c r="AO674" s="447">
        <f t="shared" si="251"/>
        <v>0</v>
      </c>
      <c r="AP674" s="448">
        <v>2</v>
      </c>
      <c r="AQ674" s="443">
        <v>69371</v>
      </c>
      <c r="AR674" s="444">
        <f t="shared" si="252"/>
        <v>113518.7044</v>
      </c>
      <c r="AS674" s="307">
        <v>2</v>
      </c>
      <c r="AT674" s="307">
        <v>69431</v>
      </c>
      <c r="AU674" s="441">
        <f t="shared" si="253"/>
        <v>113616.88840000001</v>
      </c>
      <c r="AV674" s="442">
        <v>1</v>
      </c>
      <c r="AW674" s="443">
        <v>71021</v>
      </c>
      <c r="AX674" s="444">
        <f t="shared" si="254"/>
        <v>58109.3822</v>
      </c>
      <c r="AY674" s="307">
        <v>1</v>
      </c>
      <c r="AZ674" s="307">
        <v>71081</v>
      </c>
      <c r="BA674" s="445">
        <f t="shared" si="255"/>
        <v>58158.474200000004</v>
      </c>
      <c r="BB674" s="442">
        <v>2</v>
      </c>
      <c r="BC674" s="443">
        <v>59197</v>
      </c>
      <c r="BD674" s="444">
        <f t="shared" si="256"/>
        <v>96869.97080000001</v>
      </c>
      <c r="BE674" s="307">
        <v>2</v>
      </c>
      <c r="BF674" s="307">
        <v>59257</v>
      </c>
      <c r="BG674" s="445">
        <f t="shared" si="257"/>
        <v>96968.154800000004</v>
      </c>
      <c r="BH674" s="442"/>
      <c r="BI674" s="443"/>
      <c r="BJ674" s="444">
        <f t="shared" si="258"/>
        <v>0</v>
      </c>
      <c r="BK674" s="307"/>
      <c r="BL674" s="307"/>
      <c r="BM674" s="445">
        <f t="shared" si="259"/>
        <v>0</v>
      </c>
      <c r="BN674" s="442">
        <v>1</v>
      </c>
      <c r="BO674" s="443">
        <v>48096</v>
      </c>
      <c r="BP674" s="444">
        <f t="shared" si="260"/>
        <v>39352.147199999999</v>
      </c>
      <c r="BQ674" s="307">
        <v>2</v>
      </c>
      <c r="BR674" s="307">
        <v>47348</v>
      </c>
      <c r="BS674" s="445">
        <f t="shared" si="261"/>
        <v>77480.267200000002</v>
      </c>
      <c r="BT674" s="442"/>
      <c r="BU674" s="443"/>
      <c r="BV674" s="444">
        <f t="shared" si="262"/>
        <v>0</v>
      </c>
      <c r="BW674" s="307"/>
      <c r="BX674" s="307"/>
      <c r="BY674" s="449">
        <f t="shared" si="263"/>
        <v>0</v>
      </c>
    </row>
    <row r="675" spans="1:77" s="308" customFormat="1" ht="12.75" customHeight="1">
      <c r="A675" s="345" t="s">
        <v>343</v>
      </c>
      <c r="B675" s="346" t="s">
        <v>486</v>
      </c>
      <c r="C675" s="346"/>
      <c r="D675" s="347">
        <v>446774</v>
      </c>
      <c r="E675" s="479">
        <v>10</v>
      </c>
      <c r="F675" s="453"/>
      <c r="G675" s="454"/>
      <c r="H675" s="439">
        <f t="shared" si="240"/>
        <v>0</v>
      </c>
      <c r="I675" s="311"/>
      <c r="J675" s="311"/>
      <c r="K675" s="441">
        <f t="shared" si="241"/>
        <v>0</v>
      </c>
      <c r="L675" s="442">
        <v>3</v>
      </c>
      <c r="M675" s="443">
        <v>61490</v>
      </c>
      <c r="N675" s="444">
        <f t="shared" si="242"/>
        <v>184470</v>
      </c>
      <c r="O675" s="307">
        <v>3</v>
      </c>
      <c r="P675" s="307">
        <v>61550</v>
      </c>
      <c r="Q675" s="445">
        <f t="shared" si="243"/>
        <v>184650</v>
      </c>
      <c r="R675" s="442">
        <v>2</v>
      </c>
      <c r="S675" s="443">
        <v>53853</v>
      </c>
      <c r="T675" s="444">
        <f t="shared" si="244"/>
        <v>107706</v>
      </c>
      <c r="U675" s="307">
        <v>7</v>
      </c>
      <c r="V675" s="307">
        <v>47243</v>
      </c>
      <c r="W675" s="441">
        <f t="shared" si="245"/>
        <v>330701</v>
      </c>
      <c r="X675" s="442">
        <v>3</v>
      </c>
      <c r="Y675" s="443">
        <v>42553</v>
      </c>
      <c r="Z675" s="444">
        <f t="shared" si="246"/>
        <v>127659</v>
      </c>
      <c r="AA675" s="307">
        <v>6</v>
      </c>
      <c r="AB675" s="307">
        <v>40363</v>
      </c>
      <c r="AC675" s="445">
        <f t="shared" si="247"/>
        <v>242178</v>
      </c>
      <c r="AD675" s="442">
        <v>11</v>
      </c>
      <c r="AE675" s="443">
        <v>39185</v>
      </c>
      <c r="AF675" s="444">
        <f t="shared" si="248"/>
        <v>431035</v>
      </c>
      <c r="AG675" s="307">
        <v>7</v>
      </c>
      <c r="AH675" s="307">
        <v>36975</v>
      </c>
      <c r="AI675" s="445">
        <f t="shared" si="249"/>
        <v>258825</v>
      </c>
      <c r="AJ675" s="446"/>
      <c r="AK675" s="443"/>
      <c r="AL675" s="444">
        <f t="shared" si="250"/>
        <v>0</v>
      </c>
      <c r="AM675" s="307"/>
      <c r="AN675" s="307"/>
      <c r="AO675" s="447">
        <f t="shared" si="251"/>
        <v>0</v>
      </c>
      <c r="AP675" s="448"/>
      <c r="AQ675" s="443"/>
      <c r="AR675" s="444">
        <f t="shared" si="252"/>
        <v>0</v>
      </c>
      <c r="AS675" s="307"/>
      <c r="AT675" s="307"/>
      <c r="AU675" s="441">
        <f t="shared" si="253"/>
        <v>0</v>
      </c>
      <c r="AV675" s="442"/>
      <c r="AW675" s="443"/>
      <c r="AX675" s="444">
        <f t="shared" si="254"/>
        <v>0</v>
      </c>
      <c r="AY675" s="307">
        <v>1</v>
      </c>
      <c r="AZ675" s="307">
        <v>84670</v>
      </c>
      <c r="BA675" s="445">
        <f t="shared" si="255"/>
        <v>69276.994000000006</v>
      </c>
      <c r="BB675" s="442">
        <v>1</v>
      </c>
      <c r="BC675" s="443">
        <v>48504</v>
      </c>
      <c r="BD675" s="444">
        <f t="shared" si="256"/>
        <v>39685.972800000003</v>
      </c>
      <c r="BE675" s="307">
        <v>2</v>
      </c>
      <c r="BF675" s="307">
        <v>55944</v>
      </c>
      <c r="BG675" s="445">
        <f t="shared" si="257"/>
        <v>91546.761599999998</v>
      </c>
      <c r="BH675" s="442">
        <v>6</v>
      </c>
      <c r="BI675" s="443">
        <v>53272</v>
      </c>
      <c r="BJ675" s="444">
        <f t="shared" si="258"/>
        <v>261522.90240000002</v>
      </c>
      <c r="BK675" s="307">
        <v>9</v>
      </c>
      <c r="BL675" s="307">
        <v>46606</v>
      </c>
      <c r="BM675" s="445">
        <f t="shared" si="259"/>
        <v>343197.26280000003</v>
      </c>
      <c r="BN675" s="442">
        <v>9</v>
      </c>
      <c r="BO675" s="443">
        <v>43718</v>
      </c>
      <c r="BP675" s="444">
        <f t="shared" si="260"/>
        <v>321930.60840000003</v>
      </c>
      <c r="BQ675" s="307">
        <v>6</v>
      </c>
      <c r="BR675" s="307">
        <v>41610</v>
      </c>
      <c r="BS675" s="445">
        <f t="shared" si="261"/>
        <v>204271.81200000001</v>
      </c>
      <c r="BT675" s="442"/>
      <c r="BU675" s="443"/>
      <c r="BV675" s="444">
        <f t="shared" si="262"/>
        <v>0</v>
      </c>
      <c r="BW675" s="307"/>
      <c r="BX675" s="307"/>
      <c r="BY675" s="449">
        <f t="shared" si="263"/>
        <v>0</v>
      </c>
    </row>
    <row r="676" spans="1:77" s="308" customFormat="1" ht="12.75" customHeight="1">
      <c r="A676" s="345" t="s">
        <v>343</v>
      </c>
      <c r="B676" s="346" t="s">
        <v>752</v>
      </c>
      <c r="C676" s="346"/>
      <c r="D676" s="347">
        <v>445674</v>
      </c>
      <c r="E676" s="479">
        <v>10</v>
      </c>
      <c r="F676" s="453">
        <v>6</v>
      </c>
      <c r="G676" s="454">
        <v>65707</v>
      </c>
      <c r="H676" s="439">
        <f t="shared" si="240"/>
        <v>394242</v>
      </c>
      <c r="I676" s="311">
        <v>5</v>
      </c>
      <c r="J676" s="311">
        <v>77867</v>
      </c>
      <c r="K676" s="441">
        <f t="shared" si="241"/>
        <v>389335</v>
      </c>
      <c r="L676" s="442">
        <v>5</v>
      </c>
      <c r="M676" s="443">
        <v>53982</v>
      </c>
      <c r="N676" s="444">
        <f t="shared" si="242"/>
        <v>269910</v>
      </c>
      <c r="O676" s="307">
        <v>5</v>
      </c>
      <c r="P676" s="307">
        <v>62327</v>
      </c>
      <c r="Q676" s="445">
        <f t="shared" si="243"/>
        <v>311635</v>
      </c>
      <c r="R676" s="442">
        <v>5</v>
      </c>
      <c r="S676" s="443">
        <v>41278</v>
      </c>
      <c r="T676" s="444">
        <f t="shared" si="244"/>
        <v>206390</v>
      </c>
      <c r="U676" s="307">
        <v>8</v>
      </c>
      <c r="V676" s="307">
        <v>52798</v>
      </c>
      <c r="W676" s="441">
        <f t="shared" si="245"/>
        <v>422384</v>
      </c>
      <c r="X676" s="442">
        <v>9</v>
      </c>
      <c r="Y676" s="443">
        <v>37483</v>
      </c>
      <c r="Z676" s="444">
        <f t="shared" si="246"/>
        <v>337347</v>
      </c>
      <c r="AA676" s="307">
        <v>9</v>
      </c>
      <c r="AB676" s="307">
        <v>41928</v>
      </c>
      <c r="AC676" s="445">
        <f t="shared" si="247"/>
        <v>377352</v>
      </c>
      <c r="AD676" s="442"/>
      <c r="AE676" s="443"/>
      <c r="AF676" s="444">
        <f t="shared" si="248"/>
        <v>0</v>
      </c>
      <c r="AG676" s="307"/>
      <c r="AH676" s="307"/>
      <c r="AI676" s="445">
        <f t="shared" si="249"/>
        <v>0</v>
      </c>
      <c r="AJ676" s="446"/>
      <c r="AK676" s="443"/>
      <c r="AL676" s="444">
        <f t="shared" si="250"/>
        <v>0</v>
      </c>
      <c r="AM676" s="307"/>
      <c r="AN676" s="307"/>
      <c r="AO676" s="447">
        <f t="shared" si="251"/>
        <v>0</v>
      </c>
      <c r="AP676" s="448">
        <v>3</v>
      </c>
      <c r="AQ676" s="443">
        <v>77893</v>
      </c>
      <c r="AR676" s="444">
        <f t="shared" si="252"/>
        <v>191196.15780000002</v>
      </c>
      <c r="AS676" s="307">
        <v>4</v>
      </c>
      <c r="AT676" s="307">
        <v>78735</v>
      </c>
      <c r="AU676" s="441">
        <f t="shared" si="253"/>
        <v>257683.90800000002</v>
      </c>
      <c r="AV676" s="442"/>
      <c r="AW676" s="443"/>
      <c r="AX676" s="444">
        <f t="shared" si="254"/>
        <v>0</v>
      </c>
      <c r="AY676" s="307"/>
      <c r="AZ676" s="307"/>
      <c r="BA676" s="445">
        <f t="shared" si="255"/>
        <v>0</v>
      </c>
      <c r="BB676" s="442">
        <v>1</v>
      </c>
      <c r="BC676" s="443">
        <v>65533</v>
      </c>
      <c r="BD676" s="444">
        <f t="shared" si="256"/>
        <v>53619.100600000005</v>
      </c>
      <c r="BE676" s="307">
        <v>1</v>
      </c>
      <c r="BF676" s="307">
        <v>66135</v>
      </c>
      <c r="BG676" s="445">
        <f t="shared" si="257"/>
        <v>54111.656999999999</v>
      </c>
      <c r="BH676" s="442">
        <v>3</v>
      </c>
      <c r="BI676" s="443">
        <v>51728</v>
      </c>
      <c r="BJ676" s="444">
        <f t="shared" si="258"/>
        <v>126971.5488</v>
      </c>
      <c r="BK676" s="307">
        <v>3</v>
      </c>
      <c r="BL676" s="307">
        <v>54884</v>
      </c>
      <c r="BM676" s="445">
        <f t="shared" si="259"/>
        <v>134718.26639999999</v>
      </c>
      <c r="BN676" s="442"/>
      <c r="BO676" s="443"/>
      <c r="BP676" s="444">
        <f t="shared" si="260"/>
        <v>0</v>
      </c>
      <c r="BQ676" s="307"/>
      <c r="BR676" s="307"/>
      <c r="BS676" s="445">
        <f t="shared" si="261"/>
        <v>0</v>
      </c>
      <c r="BT676" s="442"/>
      <c r="BU676" s="443"/>
      <c r="BV676" s="444">
        <f t="shared" si="262"/>
        <v>0</v>
      </c>
      <c r="BW676" s="307"/>
      <c r="BX676" s="307"/>
      <c r="BY676" s="449">
        <f t="shared" si="263"/>
        <v>0</v>
      </c>
    </row>
    <row r="677" spans="1:77" s="308" customFormat="1" ht="12.75" customHeight="1">
      <c r="A677" s="345" t="s">
        <v>343</v>
      </c>
      <c r="B677" s="346" t="s">
        <v>487</v>
      </c>
      <c r="C677" s="346"/>
      <c r="D677" s="347">
        <v>438708</v>
      </c>
      <c r="E677" s="479">
        <v>10</v>
      </c>
      <c r="F677" s="453"/>
      <c r="G677" s="454"/>
      <c r="H677" s="439">
        <f t="shared" si="240"/>
        <v>0</v>
      </c>
      <c r="I677" s="311"/>
      <c r="J677" s="311"/>
      <c r="K677" s="441">
        <f t="shared" si="241"/>
        <v>0</v>
      </c>
      <c r="L677" s="442"/>
      <c r="M677" s="443"/>
      <c r="N677" s="444">
        <f t="shared" si="242"/>
        <v>0</v>
      </c>
      <c r="O677" s="307"/>
      <c r="P677" s="307"/>
      <c r="Q677" s="445">
        <f t="shared" si="243"/>
        <v>0</v>
      </c>
      <c r="R677" s="442"/>
      <c r="S677" s="443"/>
      <c r="T677" s="444">
        <f t="shared" si="244"/>
        <v>0</v>
      </c>
      <c r="U677" s="307"/>
      <c r="V677" s="307"/>
      <c r="W677" s="441">
        <f t="shared" si="245"/>
        <v>0</v>
      </c>
      <c r="X677" s="442"/>
      <c r="Y677" s="443"/>
      <c r="Z677" s="444">
        <f t="shared" si="246"/>
        <v>0</v>
      </c>
      <c r="AA677" s="307"/>
      <c r="AB677" s="307"/>
      <c r="AC677" s="445">
        <f t="shared" si="247"/>
        <v>0</v>
      </c>
      <c r="AD677" s="442"/>
      <c r="AE677" s="443"/>
      <c r="AF677" s="444">
        <f t="shared" si="248"/>
        <v>0</v>
      </c>
      <c r="AG677" s="307"/>
      <c r="AH677" s="307"/>
      <c r="AI677" s="445">
        <f t="shared" si="249"/>
        <v>0</v>
      </c>
      <c r="AJ677" s="446"/>
      <c r="AK677" s="443"/>
      <c r="AL677" s="444">
        <f t="shared" si="250"/>
        <v>0</v>
      </c>
      <c r="AM677" s="307"/>
      <c r="AN677" s="307"/>
      <c r="AO677" s="447">
        <f t="shared" si="251"/>
        <v>0</v>
      </c>
      <c r="AP677" s="448"/>
      <c r="AQ677" s="443"/>
      <c r="AR677" s="444">
        <f t="shared" si="252"/>
        <v>0</v>
      </c>
      <c r="AS677" s="307"/>
      <c r="AT677" s="307"/>
      <c r="AU677" s="441">
        <f t="shared" si="253"/>
        <v>0</v>
      </c>
      <c r="AV677" s="442"/>
      <c r="AW677" s="443"/>
      <c r="AX677" s="444">
        <f t="shared" si="254"/>
        <v>0</v>
      </c>
      <c r="AY677" s="307"/>
      <c r="AZ677" s="307"/>
      <c r="BA677" s="445">
        <f t="shared" si="255"/>
        <v>0</v>
      </c>
      <c r="BB677" s="442"/>
      <c r="BC677" s="443"/>
      <c r="BD677" s="444">
        <f t="shared" si="256"/>
        <v>0</v>
      </c>
      <c r="BE677" s="307"/>
      <c r="BF677" s="307"/>
      <c r="BG677" s="445">
        <f t="shared" si="257"/>
        <v>0</v>
      </c>
      <c r="BH677" s="442"/>
      <c r="BI677" s="443"/>
      <c r="BJ677" s="444">
        <f t="shared" si="258"/>
        <v>0</v>
      </c>
      <c r="BK677" s="307"/>
      <c r="BL677" s="307"/>
      <c r="BM677" s="445">
        <f t="shared" si="259"/>
        <v>0</v>
      </c>
      <c r="BN677" s="442"/>
      <c r="BO677" s="443"/>
      <c r="BP677" s="444">
        <f t="shared" si="260"/>
        <v>0</v>
      </c>
      <c r="BQ677" s="307">
        <v>5</v>
      </c>
      <c r="BR677" s="307">
        <v>45497</v>
      </c>
      <c r="BS677" s="445">
        <f t="shared" si="261"/>
        <v>186128.22700000001</v>
      </c>
      <c r="BT677" s="442"/>
      <c r="BU677" s="443"/>
      <c r="BV677" s="444">
        <f t="shared" si="262"/>
        <v>0</v>
      </c>
      <c r="BW677" s="307"/>
      <c r="BX677" s="307"/>
      <c r="BY677" s="449">
        <f t="shared" si="263"/>
        <v>0</v>
      </c>
    </row>
    <row r="678" spans="1:77" s="308" customFormat="1" ht="12.75" customHeight="1">
      <c r="A678" s="345" t="s">
        <v>343</v>
      </c>
      <c r="B678" s="346" t="s">
        <v>753</v>
      </c>
      <c r="C678" s="346"/>
      <c r="D678" s="347">
        <v>445018</v>
      </c>
      <c r="E678" s="479">
        <v>10</v>
      </c>
      <c r="F678" s="453">
        <v>4</v>
      </c>
      <c r="G678" s="454">
        <v>66012</v>
      </c>
      <c r="H678" s="439">
        <f t="shared" si="240"/>
        <v>264048</v>
      </c>
      <c r="I678" s="311">
        <v>2</v>
      </c>
      <c r="J678" s="311">
        <v>62865</v>
      </c>
      <c r="K678" s="441">
        <f t="shared" si="241"/>
        <v>125730</v>
      </c>
      <c r="L678" s="442">
        <v>5</v>
      </c>
      <c r="M678" s="443">
        <v>56645</v>
      </c>
      <c r="N678" s="444">
        <f t="shared" si="242"/>
        <v>283225</v>
      </c>
      <c r="O678" s="307">
        <v>3</v>
      </c>
      <c r="P678" s="307">
        <v>62516</v>
      </c>
      <c r="Q678" s="445">
        <f t="shared" si="243"/>
        <v>187548</v>
      </c>
      <c r="R678" s="442">
        <v>9</v>
      </c>
      <c r="S678" s="443">
        <v>48003</v>
      </c>
      <c r="T678" s="444">
        <f t="shared" si="244"/>
        <v>432027</v>
      </c>
      <c r="U678" s="307">
        <v>8</v>
      </c>
      <c r="V678" s="307">
        <v>54709</v>
      </c>
      <c r="W678" s="441">
        <f t="shared" si="245"/>
        <v>437672</v>
      </c>
      <c r="X678" s="442">
        <v>13</v>
      </c>
      <c r="Y678" s="443">
        <v>41580</v>
      </c>
      <c r="Z678" s="444">
        <f t="shared" si="246"/>
        <v>540540</v>
      </c>
      <c r="AA678" s="307">
        <v>12</v>
      </c>
      <c r="AB678" s="307">
        <v>45465</v>
      </c>
      <c r="AC678" s="445">
        <f t="shared" si="247"/>
        <v>545580</v>
      </c>
      <c r="AD678" s="442"/>
      <c r="AE678" s="443"/>
      <c r="AF678" s="444">
        <f t="shared" si="248"/>
        <v>0</v>
      </c>
      <c r="AG678" s="307">
        <v>11</v>
      </c>
      <c r="AH678" s="307">
        <v>43521</v>
      </c>
      <c r="AI678" s="445">
        <f t="shared" si="249"/>
        <v>478731</v>
      </c>
      <c r="AJ678" s="446"/>
      <c r="AK678" s="443"/>
      <c r="AL678" s="444">
        <f t="shared" si="250"/>
        <v>0</v>
      </c>
      <c r="AM678" s="307"/>
      <c r="AN678" s="307"/>
      <c r="AO678" s="447">
        <f t="shared" si="251"/>
        <v>0</v>
      </c>
      <c r="AP678" s="448"/>
      <c r="AQ678" s="443"/>
      <c r="AR678" s="444">
        <f t="shared" si="252"/>
        <v>0</v>
      </c>
      <c r="AS678" s="307"/>
      <c r="AT678" s="307"/>
      <c r="AU678" s="441">
        <f t="shared" si="253"/>
        <v>0</v>
      </c>
      <c r="AV678" s="442">
        <v>2</v>
      </c>
      <c r="AW678" s="443">
        <v>63802</v>
      </c>
      <c r="AX678" s="444">
        <f t="shared" si="254"/>
        <v>104405.5928</v>
      </c>
      <c r="AY678" s="307">
        <v>1</v>
      </c>
      <c r="AZ678" s="307">
        <v>63538</v>
      </c>
      <c r="BA678" s="445">
        <f t="shared" si="255"/>
        <v>51986.791600000004</v>
      </c>
      <c r="BB678" s="442">
        <v>1</v>
      </c>
      <c r="BC678" s="443">
        <v>51207</v>
      </c>
      <c r="BD678" s="444">
        <f t="shared" si="256"/>
        <v>41897.5674</v>
      </c>
      <c r="BE678" s="307">
        <v>1</v>
      </c>
      <c r="BF678" s="307">
        <v>53828</v>
      </c>
      <c r="BG678" s="445">
        <f t="shared" si="257"/>
        <v>44042.069600000003</v>
      </c>
      <c r="BH678" s="442">
        <v>6</v>
      </c>
      <c r="BI678" s="443">
        <v>54992</v>
      </c>
      <c r="BJ678" s="444">
        <f t="shared" si="258"/>
        <v>269966.72639999999</v>
      </c>
      <c r="BK678" s="307">
        <v>6</v>
      </c>
      <c r="BL678" s="307">
        <v>53679</v>
      </c>
      <c r="BM678" s="445">
        <f t="shared" si="259"/>
        <v>263520.94680000003</v>
      </c>
      <c r="BN678" s="442"/>
      <c r="BO678" s="443"/>
      <c r="BP678" s="444">
        <f t="shared" si="260"/>
        <v>0</v>
      </c>
      <c r="BQ678" s="307"/>
      <c r="BR678" s="307"/>
      <c r="BS678" s="445">
        <f t="shared" si="261"/>
        <v>0</v>
      </c>
      <c r="BT678" s="442"/>
      <c r="BU678" s="443"/>
      <c r="BV678" s="444">
        <f t="shared" si="262"/>
        <v>0</v>
      </c>
      <c r="BW678" s="307"/>
      <c r="BX678" s="307"/>
      <c r="BY678" s="449">
        <f t="shared" si="263"/>
        <v>0</v>
      </c>
    </row>
    <row r="679" spans="1:77" s="308" customFormat="1" ht="12.75" customHeight="1">
      <c r="A679" s="345" t="s">
        <v>343</v>
      </c>
      <c r="B679" s="395" t="s">
        <v>925</v>
      </c>
      <c r="C679" s="567" t="s">
        <v>1140</v>
      </c>
      <c r="D679" s="347">
        <v>444954</v>
      </c>
      <c r="E679" s="479">
        <v>10</v>
      </c>
      <c r="F679" s="453">
        <v>11</v>
      </c>
      <c r="G679" s="454">
        <v>64537</v>
      </c>
      <c r="H679" s="439">
        <f t="shared" si="240"/>
        <v>709907</v>
      </c>
      <c r="I679" s="311">
        <v>11</v>
      </c>
      <c r="J679" s="311">
        <v>63055</v>
      </c>
      <c r="K679" s="441">
        <f t="shared" si="241"/>
        <v>693605</v>
      </c>
      <c r="L679" s="442">
        <v>7</v>
      </c>
      <c r="M679" s="443">
        <v>57959</v>
      </c>
      <c r="N679" s="444">
        <f t="shared" si="242"/>
        <v>405713</v>
      </c>
      <c r="O679" s="307">
        <v>10</v>
      </c>
      <c r="P679" s="307">
        <v>55605</v>
      </c>
      <c r="Q679" s="445">
        <f t="shared" si="243"/>
        <v>556050</v>
      </c>
      <c r="R679" s="442">
        <v>21</v>
      </c>
      <c r="S679" s="443">
        <v>42181</v>
      </c>
      <c r="T679" s="444">
        <f t="shared" si="244"/>
        <v>885801</v>
      </c>
      <c r="U679" s="307">
        <v>19</v>
      </c>
      <c r="V679" s="307">
        <v>42584</v>
      </c>
      <c r="W679" s="441">
        <f t="shared" si="245"/>
        <v>809096</v>
      </c>
      <c r="X679" s="442">
        <v>9</v>
      </c>
      <c r="Y679" s="443">
        <v>41533</v>
      </c>
      <c r="Z679" s="444">
        <f t="shared" si="246"/>
        <v>373797</v>
      </c>
      <c r="AA679" s="307">
        <v>8</v>
      </c>
      <c r="AB679" s="307">
        <v>38894</v>
      </c>
      <c r="AC679" s="445">
        <f t="shared" si="247"/>
        <v>311152</v>
      </c>
      <c r="AD679" s="442"/>
      <c r="AE679" s="443"/>
      <c r="AF679" s="444">
        <f t="shared" si="248"/>
        <v>0</v>
      </c>
      <c r="AG679" s="307"/>
      <c r="AH679" s="307"/>
      <c r="AI679" s="445">
        <f t="shared" si="249"/>
        <v>0</v>
      </c>
      <c r="AJ679" s="446"/>
      <c r="AK679" s="443"/>
      <c r="AL679" s="444">
        <f t="shared" si="250"/>
        <v>0</v>
      </c>
      <c r="AM679" s="307"/>
      <c r="AN679" s="307"/>
      <c r="AO679" s="447">
        <f t="shared" si="251"/>
        <v>0</v>
      </c>
      <c r="AP679" s="448"/>
      <c r="AQ679" s="443"/>
      <c r="AR679" s="444">
        <f t="shared" si="252"/>
        <v>0</v>
      </c>
      <c r="AS679" s="307"/>
      <c r="AT679" s="307"/>
      <c r="AU679" s="441">
        <f t="shared" si="253"/>
        <v>0</v>
      </c>
      <c r="AV679" s="442"/>
      <c r="AW679" s="443"/>
      <c r="AX679" s="444">
        <f t="shared" si="254"/>
        <v>0</v>
      </c>
      <c r="AY679" s="307"/>
      <c r="AZ679" s="307"/>
      <c r="BA679" s="445">
        <f t="shared" si="255"/>
        <v>0</v>
      </c>
      <c r="BB679" s="442">
        <v>3</v>
      </c>
      <c r="BC679" s="443">
        <v>48017</v>
      </c>
      <c r="BD679" s="444">
        <f t="shared" si="256"/>
        <v>117862.5282</v>
      </c>
      <c r="BE679" s="307">
        <v>2</v>
      </c>
      <c r="BF679" s="307">
        <v>50465</v>
      </c>
      <c r="BG679" s="445">
        <f t="shared" si="257"/>
        <v>82580.926000000007</v>
      </c>
      <c r="BH679" s="442">
        <v>4</v>
      </c>
      <c r="BI679" s="443">
        <v>44900</v>
      </c>
      <c r="BJ679" s="444">
        <f t="shared" si="258"/>
        <v>146948.72</v>
      </c>
      <c r="BK679" s="307">
        <v>3</v>
      </c>
      <c r="BL679" s="307">
        <v>43285</v>
      </c>
      <c r="BM679" s="445">
        <f t="shared" si="259"/>
        <v>106247.361</v>
      </c>
      <c r="BN679" s="442"/>
      <c r="BO679" s="443"/>
      <c r="BP679" s="444">
        <f t="shared" si="260"/>
        <v>0</v>
      </c>
      <c r="BQ679" s="307"/>
      <c r="BR679" s="307"/>
      <c r="BS679" s="445">
        <f t="shared" si="261"/>
        <v>0</v>
      </c>
      <c r="BT679" s="442"/>
      <c r="BU679" s="443"/>
      <c r="BV679" s="444">
        <f t="shared" si="262"/>
        <v>0</v>
      </c>
      <c r="BW679" s="307"/>
      <c r="BX679" s="307"/>
      <c r="BY679" s="449">
        <f t="shared" si="263"/>
        <v>0</v>
      </c>
    </row>
    <row r="680" spans="1:77" s="308" customFormat="1" ht="12.75" customHeight="1">
      <c r="A680" s="345" t="s">
        <v>343</v>
      </c>
      <c r="B680" s="394" t="s">
        <v>488</v>
      </c>
      <c r="C680" s="568" t="s">
        <v>1141</v>
      </c>
      <c r="D680" s="347">
        <v>447582</v>
      </c>
      <c r="E680" s="479">
        <v>10</v>
      </c>
      <c r="F680" s="453">
        <v>4</v>
      </c>
      <c r="G680" s="454">
        <v>63971</v>
      </c>
      <c r="H680" s="439">
        <f t="shared" si="240"/>
        <v>255884</v>
      </c>
      <c r="I680" s="311">
        <v>7</v>
      </c>
      <c r="J680" s="311">
        <v>64179</v>
      </c>
      <c r="K680" s="441">
        <f t="shared" si="241"/>
        <v>449253</v>
      </c>
      <c r="L680" s="442">
        <v>8</v>
      </c>
      <c r="M680" s="443">
        <v>53276</v>
      </c>
      <c r="N680" s="444">
        <f t="shared" si="242"/>
        <v>426208</v>
      </c>
      <c r="O680" s="307">
        <v>5</v>
      </c>
      <c r="P680" s="307">
        <v>55255</v>
      </c>
      <c r="Q680" s="445">
        <f t="shared" si="243"/>
        <v>276275</v>
      </c>
      <c r="R680" s="442">
        <v>6</v>
      </c>
      <c r="S680" s="443">
        <v>42624</v>
      </c>
      <c r="T680" s="444">
        <f t="shared" si="244"/>
        <v>255744</v>
      </c>
      <c r="U680" s="307">
        <v>7</v>
      </c>
      <c r="V680" s="307">
        <v>45132</v>
      </c>
      <c r="W680" s="441">
        <f t="shared" si="245"/>
        <v>315924</v>
      </c>
      <c r="X680" s="442">
        <v>15</v>
      </c>
      <c r="Y680" s="443">
        <v>38160</v>
      </c>
      <c r="Z680" s="444">
        <f t="shared" si="246"/>
        <v>572400</v>
      </c>
      <c r="AA680" s="307">
        <v>15</v>
      </c>
      <c r="AB680" s="307">
        <v>39267</v>
      </c>
      <c r="AC680" s="445">
        <f t="shared" si="247"/>
        <v>589005</v>
      </c>
      <c r="AD680" s="442"/>
      <c r="AE680" s="443"/>
      <c r="AF680" s="444">
        <f t="shared" si="248"/>
        <v>0</v>
      </c>
      <c r="AG680" s="307"/>
      <c r="AH680" s="307"/>
      <c r="AI680" s="445">
        <f t="shared" si="249"/>
        <v>0</v>
      </c>
      <c r="AJ680" s="446"/>
      <c r="AK680" s="443"/>
      <c r="AL680" s="444">
        <f t="shared" si="250"/>
        <v>0</v>
      </c>
      <c r="AM680" s="307"/>
      <c r="AN680" s="307"/>
      <c r="AO680" s="447">
        <f t="shared" si="251"/>
        <v>0</v>
      </c>
      <c r="AP680" s="448"/>
      <c r="AQ680" s="443"/>
      <c r="AR680" s="444">
        <f t="shared" si="252"/>
        <v>0</v>
      </c>
      <c r="AS680" s="307"/>
      <c r="AT680" s="307"/>
      <c r="AU680" s="441">
        <f t="shared" si="253"/>
        <v>0</v>
      </c>
      <c r="AV680" s="442">
        <v>1</v>
      </c>
      <c r="AW680" s="443">
        <v>66120</v>
      </c>
      <c r="AX680" s="444">
        <f t="shared" si="254"/>
        <v>54099.384000000005</v>
      </c>
      <c r="AY680" s="307">
        <v>1</v>
      </c>
      <c r="AZ680" s="307">
        <v>67380</v>
      </c>
      <c r="BA680" s="445">
        <f t="shared" si="255"/>
        <v>55130.316000000006</v>
      </c>
      <c r="BB680" s="442"/>
      <c r="BC680" s="443"/>
      <c r="BD680" s="444">
        <f t="shared" si="256"/>
        <v>0</v>
      </c>
      <c r="BE680" s="307"/>
      <c r="BF680" s="307"/>
      <c r="BG680" s="445">
        <f t="shared" si="257"/>
        <v>0</v>
      </c>
      <c r="BH680" s="442">
        <v>5</v>
      </c>
      <c r="BI680" s="443">
        <v>49063</v>
      </c>
      <c r="BJ680" s="444">
        <f t="shared" si="258"/>
        <v>200716.73300000001</v>
      </c>
      <c r="BK680" s="307">
        <v>9</v>
      </c>
      <c r="BL680" s="307">
        <v>47189</v>
      </c>
      <c r="BM680" s="445">
        <f t="shared" si="259"/>
        <v>347490.35820000002</v>
      </c>
      <c r="BN680" s="442"/>
      <c r="BO680" s="443"/>
      <c r="BP680" s="444">
        <f t="shared" si="260"/>
        <v>0</v>
      </c>
      <c r="BQ680" s="307"/>
      <c r="BR680" s="307"/>
      <c r="BS680" s="445">
        <f t="shared" si="261"/>
        <v>0</v>
      </c>
      <c r="BT680" s="442"/>
      <c r="BU680" s="443"/>
      <c r="BV680" s="444">
        <f t="shared" si="262"/>
        <v>0</v>
      </c>
      <c r="BW680" s="307"/>
      <c r="BX680" s="307"/>
      <c r="BY680" s="449">
        <f t="shared" si="263"/>
        <v>0</v>
      </c>
    </row>
    <row r="681" spans="1:77" s="308" customFormat="1" ht="12.75" customHeight="1">
      <c r="A681" s="345" t="s">
        <v>343</v>
      </c>
      <c r="B681" s="414" t="s">
        <v>485</v>
      </c>
      <c r="C681" s="569" t="s">
        <v>1141</v>
      </c>
      <c r="D681" s="347">
        <v>443492</v>
      </c>
      <c r="E681" s="479">
        <v>10</v>
      </c>
      <c r="F681" s="453">
        <v>4</v>
      </c>
      <c r="G681" s="454">
        <v>69988</v>
      </c>
      <c r="H681" s="439">
        <f t="shared" si="240"/>
        <v>279952</v>
      </c>
      <c r="I681" s="311">
        <v>4</v>
      </c>
      <c r="J681" s="311">
        <v>70135</v>
      </c>
      <c r="K681" s="441">
        <f t="shared" si="241"/>
        <v>280540</v>
      </c>
      <c r="L681" s="442">
        <v>4</v>
      </c>
      <c r="M681" s="443">
        <v>64240</v>
      </c>
      <c r="N681" s="444">
        <f t="shared" si="242"/>
        <v>256960</v>
      </c>
      <c r="O681" s="307">
        <v>4</v>
      </c>
      <c r="P681" s="307">
        <v>54143</v>
      </c>
      <c r="Q681" s="445">
        <f t="shared" si="243"/>
        <v>216572</v>
      </c>
      <c r="R681" s="442">
        <v>23</v>
      </c>
      <c r="S681" s="443">
        <v>48957</v>
      </c>
      <c r="T681" s="444">
        <f t="shared" si="244"/>
        <v>1126011</v>
      </c>
      <c r="U681" s="307">
        <v>29</v>
      </c>
      <c r="V681" s="307">
        <v>48554</v>
      </c>
      <c r="W681" s="441">
        <f t="shared" si="245"/>
        <v>1408066</v>
      </c>
      <c r="X681" s="442">
        <v>8</v>
      </c>
      <c r="Y681" s="443">
        <v>45568</v>
      </c>
      <c r="Z681" s="444">
        <f t="shared" si="246"/>
        <v>364544</v>
      </c>
      <c r="AA681" s="307">
        <v>12</v>
      </c>
      <c r="AB681" s="307">
        <v>45014</v>
      </c>
      <c r="AC681" s="445">
        <f t="shared" si="247"/>
        <v>540168</v>
      </c>
      <c r="AD681" s="442">
        <v>8</v>
      </c>
      <c r="AE681" s="443">
        <v>47588</v>
      </c>
      <c r="AF681" s="444">
        <f t="shared" si="248"/>
        <v>380704</v>
      </c>
      <c r="AG681" s="307"/>
      <c r="AH681" s="307"/>
      <c r="AI681" s="445">
        <f t="shared" si="249"/>
        <v>0</v>
      </c>
      <c r="AJ681" s="446"/>
      <c r="AK681" s="443"/>
      <c r="AL681" s="444">
        <f t="shared" si="250"/>
        <v>0</v>
      </c>
      <c r="AM681" s="307"/>
      <c r="AN681" s="307"/>
      <c r="AO681" s="447">
        <f t="shared" si="251"/>
        <v>0</v>
      </c>
      <c r="AP681" s="448">
        <v>4</v>
      </c>
      <c r="AQ681" s="443">
        <v>96087</v>
      </c>
      <c r="AR681" s="444">
        <f t="shared" si="252"/>
        <v>314473.53360000002</v>
      </c>
      <c r="AS681" s="307">
        <v>4</v>
      </c>
      <c r="AT681" s="307">
        <v>98217</v>
      </c>
      <c r="AU681" s="441">
        <f t="shared" si="253"/>
        <v>321444.59760000004</v>
      </c>
      <c r="AV681" s="442">
        <v>1</v>
      </c>
      <c r="AW681" s="443">
        <v>76082</v>
      </c>
      <c r="AX681" s="444">
        <f t="shared" si="254"/>
        <v>62250.292400000006</v>
      </c>
      <c r="AY681" s="307"/>
      <c r="AZ681" s="307"/>
      <c r="BA681" s="445">
        <f t="shared" si="255"/>
        <v>0</v>
      </c>
      <c r="BB681" s="442">
        <v>4</v>
      </c>
      <c r="BC681" s="443">
        <v>59043</v>
      </c>
      <c r="BD681" s="444">
        <f t="shared" si="256"/>
        <v>193235.93040000001</v>
      </c>
      <c r="BE681" s="307">
        <v>3</v>
      </c>
      <c r="BF681" s="307">
        <v>58671</v>
      </c>
      <c r="BG681" s="445">
        <f t="shared" si="257"/>
        <v>144013.83660000001</v>
      </c>
      <c r="BH681" s="442">
        <v>2</v>
      </c>
      <c r="BI681" s="443">
        <v>58248</v>
      </c>
      <c r="BJ681" s="444">
        <f t="shared" si="258"/>
        <v>95317.027200000011</v>
      </c>
      <c r="BK681" s="307">
        <v>6</v>
      </c>
      <c r="BL681" s="307">
        <v>53942</v>
      </c>
      <c r="BM681" s="445">
        <f t="shared" si="259"/>
        <v>264812.06640000001</v>
      </c>
      <c r="BN681" s="442">
        <v>4</v>
      </c>
      <c r="BO681" s="443">
        <v>50504</v>
      </c>
      <c r="BP681" s="444">
        <f t="shared" si="260"/>
        <v>165289.49120000002</v>
      </c>
      <c r="BQ681" s="307"/>
      <c r="BR681" s="307"/>
      <c r="BS681" s="445">
        <f t="shared" si="261"/>
        <v>0</v>
      </c>
      <c r="BT681" s="442"/>
      <c r="BU681" s="443"/>
      <c r="BV681" s="444">
        <f t="shared" si="262"/>
        <v>0</v>
      </c>
      <c r="BW681" s="307"/>
      <c r="BX681" s="307"/>
      <c r="BY681" s="449">
        <f t="shared" si="263"/>
        <v>0</v>
      </c>
    </row>
    <row r="682" spans="1:77" s="308" customFormat="1" ht="12.75" customHeight="1">
      <c r="A682" s="345" t="s">
        <v>343</v>
      </c>
      <c r="B682" s="346" t="s">
        <v>136</v>
      </c>
      <c r="C682" s="346"/>
      <c r="D682" s="347">
        <v>237817</v>
      </c>
      <c r="E682" s="479">
        <v>10</v>
      </c>
      <c r="F682" s="453">
        <v>20</v>
      </c>
      <c r="G682" s="454">
        <v>58683</v>
      </c>
      <c r="H682" s="439">
        <f t="shared" si="240"/>
        <v>1173660</v>
      </c>
      <c r="I682" s="311">
        <v>18</v>
      </c>
      <c r="J682" s="311">
        <v>60295</v>
      </c>
      <c r="K682" s="441">
        <f t="shared" si="241"/>
        <v>1085310</v>
      </c>
      <c r="L682" s="442">
        <v>11</v>
      </c>
      <c r="M682" s="443">
        <v>47535</v>
      </c>
      <c r="N682" s="444">
        <f t="shared" si="242"/>
        <v>522885</v>
      </c>
      <c r="O682" s="307">
        <v>11</v>
      </c>
      <c r="P682" s="307">
        <v>48425</v>
      </c>
      <c r="Q682" s="445">
        <f t="shared" si="243"/>
        <v>532675</v>
      </c>
      <c r="R682" s="442">
        <v>21</v>
      </c>
      <c r="S682" s="443">
        <v>39558</v>
      </c>
      <c r="T682" s="444">
        <f t="shared" si="244"/>
        <v>830718</v>
      </c>
      <c r="U682" s="307">
        <v>19</v>
      </c>
      <c r="V682" s="307">
        <v>40668</v>
      </c>
      <c r="W682" s="441">
        <f t="shared" si="245"/>
        <v>772692</v>
      </c>
      <c r="X682" s="442">
        <v>28</v>
      </c>
      <c r="Y682" s="443">
        <v>34519</v>
      </c>
      <c r="Z682" s="444">
        <f t="shared" si="246"/>
        <v>966532</v>
      </c>
      <c r="AA682" s="307">
        <v>27</v>
      </c>
      <c r="AB682" s="307">
        <v>33769</v>
      </c>
      <c r="AC682" s="445">
        <f t="shared" si="247"/>
        <v>911763</v>
      </c>
      <c r="AD682" s="442"/>
      <c r="AE682" s="443"/>
      <c r="AF682" s="444">
        <f t="shared" si="248"/>
        <v>0</v>
      </c>
      <c r="AG682" s="307"/>
      <c r="AH682" s="307"/>
      <c r="AI682" s="445">
        <f t="shared" si="249"/>
        <v>0</v>
      </c>
      <c r="AJ682" s="446"/>
      <c r="AK682" s="443"/>
      <c r="AL682" s="444">
        <f t="shared" si="250"/>
        <v>0</v>
      </c>
      <c r="AM682" s="307"/>
      <c r="AN682" s="307"/>
      <c r="AO682" s="447">
        <f t="shared" si="251"/>
        <v>0</v>
      </c>
      <c r="AP682" s="448"/>
      <c r="AQ682" s="443"/>
      <c r="AR682" s="444">
        <f t="shared" si="252"/>
        <v>0</v>
      </c>
      <c r="AS682" s="307"/>
      <c r="AT682" s="307"/>
      <c r="AU682" s="441">
        <f t="shared" si="253"/>
        <v>0</v>
      </c>
      <c r="AV682" s="442"/>
      <c r="AW682" s="443"/>
      <c r="AX682" s="444">
        <f t="shared" si="254"/>
        <v>0</v>
      </c>
      <c r="AY682" s="307"/>
      <c r="AZ682" s="307"/>
      <c r="BA682" s="445">
        <f t="shared" si="255"/>
        <v>0</v>
      </c>
      <c r="BB682" s="442"/>
      <c r="BC682" s="443"/>
      <c r="BD682" s="444">
        <f t="shared" si="256"/>
        <v>0</v>
      </c>
      <c r="BE682" s="307"/>
      <c r="BF682" s="307"/>
      <c r="BG682" s="445">
        <f t="shared" si="257"/>
        <v>0</v>
      </c>
      <c r="BH682" s="442"/>
      <c r="BI682" s="443"/>
      <c r="BJ682" s="444">
        <f t="shared" si="258"/>
        <v>0</v>
      </c>
      <c r="BK682" s="307">
        <v>1</v>
      </c>
      <c r="BL682" s="307">
        <v>39408</v>
      </c>
      <c r="BM682" s="445">
        <f t="shared" si="259"/>
        <v>32243.625600000003</v>
      </c>
      <c r="BN682" s="442"/>
      <c r="BO682" s="443"/>
      <c r="BP682" s="444">
        <f t="shared" si="260"/>
        <v>0</v>
      </c>
      <c r="BQ682" s="307"/>
      <c r="BR682" s="307"/>
      <c r="BS682" s="445">
        <f t="shared" si="261"/>
        <v>0</v>
      </c>
      <c r="BT682" s="442"/>
      <c r="BU682" s="443"/>
      <c r="BV682" s="444">
        <f t="shared" si="262"/>
        <v>0</v>
      </c>
      <c r="BW682" s="307"/>
      <c r="BX682" s="307"/>
      <c r="BY682" s="449">
        <f t="shared" si="263"/>
        <v>0</v>
      </c>
    </row>
    <row r="683" spans="1:77" s="308" customFormat="1" ht="12.75" customHeight="1">
      <c r="A683" s="345" t="s">
        <v>343</v>
      </c>
      <c r="B683" s="395" t="s">
        <v>489</v>
      </c>
      <c r="C683" s="567" t="s">
        <v>1142</v>
      </c>
      <c r="D683" s="347">
        <v>238014</v>
      </c>
      <c r="E683" s="479">
        <v>10</v>
      </c>
      <c r="F683" s="453">
        <v>23</v>
      </c>
      <c r="G683" s="454">
        <v>55814</v>
      </c>
      <c r="H683" s="439">
        <f t="shared" si="240"/>
        <v>1283722</v>
      </c>
      <c r="I683" s="311">
        <v>23</v>
      </c>
      <c r="J683" s="311">
        <v>56966</v>
      </c>
      <c r="K683" s="441">
        <f t="shared" si="241"/>
        <v>1310218</v>
      </c>
      <c r="L683" s="442">
        <v>10</v>
      </c>
      <c r="M683" s="443">
        <v>44351</v>
      </c>
      <c r="N683" s="444">
        <f t="shared" si="242"/>
        <v>443510</v>
      </c>
      <c r="O683" s="307">
        <v>10</v>
      </c>
      <c r="P683" s="307">
        <v>45621</v>
      </c>
      <c r="Q683" s="445">
        <f t="shared" si="243"/>
        <v>456210</v>
      </c>
      <c r="R683" s="442">
        <v>9</v>
      </c>
      <c r="S683" s="443">
        <v>38321</v>
      </c>
      <c r="T683" s="444">
        <f t="shared" si="244"/>
        <v>344889</v>
      </c>
      <c r="U683" s="307">
        <v>8</v>
      </c>
      <c r="V683" s="307">
        <v>39465</v>
      </c>
      <c r="W683" s="441">
        <f t="shared" si="245"/>
        <v>315720</v>
      </c>
      <c r="X683" s="442">
        <v>20</v>
      </c>
      <c r="Y683" s="443">
        <v>32373</v>
      </c>
      <c r="Z683" s="444">
        <f t="shared" si="246"/>
        <v>647460</v>
      </c>
      <c r="AA683" s="307">
        <v>20</v>
      </c>
      <c r="AB683" s="307">
        <v>33318</v>
      </c>
      <c r="AC683" s="445">
        <f t="shared" si="247"/>
        <v>666360</v>
      </c>
      <c r="AD683" s="442"/>
      <c r="AE683" s="443"/>
      <c r="AF683" s="444">
        <f t="shared" si="248"/>
        <v>0</v>
      </c>
      <c r="AG683" s="307"/>
      <c r="AH683" s="307"/>
      <c r="AI683" s="445">
        <f t="shared" si="249"/>
        <v>0</v>
      </c>
      <c r="AJ683" s="446"/>
      <c r="AK683" s="443"/>
      <c r="AL683" s="444">
        <f t="shared" si="250"/>
        <v>0</v>
      </c>
      <c r="AM683" s="307"/>
      <c r="AN683" s="307"/>
      <c r="AO683" s="447">
        <f t="shared" si="251"/>
        <v>0</v>
      </c>
      <c r="AP683" s="448"/>
      <c r="AQ683" s="443"/>
      <c r="AR683" s="444">
        <f t="shared" si="252"/>
        <v>0</v>
      </c>
      <c r="AS683" s="307"/>
      <c r="AT683" s="307"/>
      <c r="AU683" s="441">
        <f t="shared" si="253"/>
        <v>0</v>
      </c>
      <c r="AV683" s="442"/>
      <c r="AW683" s="443"/>
      <c r="AX683" s="444">
        <f t="shared" si="254"/>
        <v>0</v>
      </c>
      <c r="AY683" s="307"/>
      <c r="AZ683" s="307"/>
      <c r="BA683" s="445">
        <f t="shared" si="255"/>
        <v>0</v>
      </c>
      <c r="BB683" s="442"/>
      <c r="BC683" s="443"/>
      <c r="BD683" s="444">
        <f t="shared" si="256"/>
        <v>0</v>
      </c>
      <c r="BE683" s="307"/>
      <c r="BF683" s="307"/>
      <c r="BG683" s="445">
        <f t="shared" si="257"/>
        <v>0</v>
      </c>
      <c r="BH683" s="442"/>
      <c r="BI683" s="443"/>
      <c r="BJ683" s="444">
        <f t="shared" si="258"/>
        <v>0</v>
      </c>
      <c r="BK683" s="307">
        <v>1</v>
      </c>
      <c r="BL683" s="307">
        <v>31500</v>
      </c>
      <c r="BM683" s="445">
        <f t="shared" si="259"/>
        <v>25773.300000000003</v>
      </c>
      <c r="BN683" s="442"/>
      <c r="BO683" s="443"/>
      <c r="BP683" s="444">
        <f t="shared" si="260"/>
        <v>0</v>
      </c>
      <c r="BQ683" s="307"/>
      <c r="BR683" s="307"/>
      <c r="BS683" s="445">
        <f t="shared" si="261"/>
        <v>0</v>
      </c>
      <c r="BT683" s="442"/>
      <c r="BU683" s="443"/>
      <c r="BV683" s="444">
        <f t="shared" si="262"/>
        <v>0</v>
      </c>
      <c r="BW683" s="307"/>
      <c r="BX683" s="307"/>
      <c r="BY683" s="449">
        <f t="shared" si="263"/>
        <v>0</v>
      </c>
    </row>
  </sheetData>
  <sortState ref="A9:BY683">
    <sortCondition ref="A9:A683"/>
    <sortCondition ref="E9:E683"/>
    <sortCondition ref="B9:B683"/>
  </sortState>
  <mergeCells count="20">
    <mergeCell ref="BN2:BS4"/>
    <mergeCell ref="BT2:BY4"/>
    <mergeCell ref="A3:E3"/>
    <mergeCell ref="A4:E4"/>
    <mergeCell ref="A5:E5"/>
    <mergeCell ref="A6:E6"/>
    <mergeCell ref="AP1:BY1"/>
    <mergeCell ref="A2:E2"/>
    <mergeCell ref="F2:K4"/>
    <mergeCell ref="L2:Q4"/>
    <mergeCell ref="R2:W4"/>
    <mergeCell ref="X2:AC4"/>
    <mergeCell ref="AD2:AI4"/>
    <mergeCell ref="AJ2:AO4"/>
    <mergeCell ref="AP2:AU4"/>
    <mergeCell ref="AV2:BA4"/>
    <mergeCell ref="A1:E1"/>
    <mergeCell ref="F1:AO1"/>
    <mergeCell ref="BB2:BG4"/>
    <mergeCell ref="BH2:BM4"/>
  </mergeCells>
  <phoneticPr fontId="15" type="noConversion"/>
  <conditionalFormatting sqref="U9 AA9 AG9 AM9 AS9 AY9 BE9 I9 O9 BW9 BK9 BQ9 U390:U468 AA390:AA468 AG390:AG468 AM390:AM468 AS390:AS468 AY390:AY468 BE390:BE468 BK390:BK468 BQ390:BQ468 BW390:BW468 O390:O468 I390:I468 O157:O182 U157:U182 AA157:AA182 AG157:AG182 AS157:AS182 AY157:AY182 BE157:BE182 BK157:BK182 BQ157:BQ182 BW157:BW182 I157:I182 AM143:AM206">
    <cfRule type="expression" dxfId="173" priority="287">
      <formula xml:space="preserve"> I9&gt;(F9+(F9*0.1))</formula>
    </cfRule>
    <cfRule type="expression" dxfId="172" priority="288">
      <formula xml:space="preserve"> I9&lt;(F9-(F9*0.1))</formula>
    </cfRule>
  </conditionalFormatting>
  <conditionalFormatting sqref="V9 AB9 AH9 AN9 AT9 AZ9 BF9 J9 P9 BX9 BL9 BR9 V390:V468 AB390:AB468 AH390:AH468 AN390:AN468 AT390:AT468 AZ390:AZ468 BF390:BF468 BL390:BL468 BR390:BR468 BX390:BX468 P390:P468 J390:J468 P157:P182 V157:V182 AB157:AB182 AH157:AH182 AN124:AN192 AT157:AT182 AZ157:AZ182 BF157:BF182 BL157:BL182 BR157:BR182 BX157:BX182 J157:J182">
    <cfRule type="expression" dxfId="171" priority="285">
      <formula xml:space="preserve"> J9&gt;(G9+(G9*0.05))</formula>
    </cfRule>
    <cfRule type="expression" dxfId="170" priority="286">
      <formula xml:space="preserve"> J9&lt;(G9-(G9*0.05))</formula>
    </cfRule>
  </conditionalFormatting>
  <conditionalFormatting sqref="U9:U47 AA9:AA47 AG9:AG47 AS9:AS47 AY9:AY47 BE9:BE47 BK9:BK47 AM9:AM47 I9:I47 O9:O47 BQ19:BQ20 BQ22:BQ47 BW22:BW47 BW9:BW20 BQ9:BQ17">
    <cfRule type="expression" dxfId="169" priority="179">
      <formula xml:space="preserve"> I9&gt;(F9+(F9*0.1))</formula>
    </cfRule>
    <cfRule type="expression" dxfId="168" priority="180">
      <formula xml:space="preserve"> I9&lt;(F9-(F9*0.1))</formula>
    </cfRule>
  </conditionalFormatting>
  <conditionalFormatting sqref="V9:V47 AB9:AB47 AH9:AH47 AN9:AN47 AT9:AT47 AZ9:AZ47 BF9:BF47 BL9:BL47 P9:P47 J9:J47 BR9:BR17 BX9:BX17 BR19:BR20 BR22:BR47 BX19:BX20 BX22:BX47">
    <cfRule type="expression" dxfId="167" priority="177">
      <formula xml:space="preserve"> J9&gt;(G9+(G9*0.05))</formula>
    </cfRule>
    <cfRule type="expression" dxfId="166" priority="178">
      <formula xml:space="preserve"> J9&lt;(G9-(G9*0.05))</formula>
    </cfRule>
  </conditionalFormatting>
  <conditionalFormatting sqref="BQ18 BQ21">
    <cfRule type="expression" dxfId="165" priority="175">
      <formula xml:space="preserve"> BQ18&gt;(BT18+(BT18*0.1))</formula>
    </cfRule>
    <cfRule type="expression" dxfId="164" priority="176">
      <formula xml:space="preserve"> BQ18&lt;(BT18-(BT18*0.1))</formula>
    </cfRule>
  </conditionalFormatting>
  <conditionalFormatting sqref="BR18 BR21">
    <cfRule type="expression" dxfId="163" priority="173">
      <formula xml:space="preserve"> BR18&gt;(BU18+(BU18*0.05))</formula>
    </cfRule>
    <cfRule type="expression" dxfId="162" priority="174">
      <formula xml:space="preserve"> BR18&lt;(BU18-(BU18*0.05))</formula>
    </cfRule>
  </conditionalFormatting>
  <conditionalFormatting sqref="U48:U79 AA48:AA79 AG48:AG79 AM48:AM79 AS48:AS79 AY48:AY79 BE48:BE79 BK48:BK79 BQ48:BQ79 BW48:BW79 I48:I79 O48:O79">
    <cfRule type="expression" dxfId="161" priority="171">
      <formula xml:space="preserve"> I48&gt;(F48+(F48*0.1))</formula>
    </cfRule>
    <cfRule type="expression" dxfId="160" priority="172">
      <formula xml:space="preserve"> I48&lt;(F48-(F48*0.1))</formula>
    </cfRule>
  </conditionalFormatting>
  <conditionalFormatting sqref="V48:V79 AB48:AB79 AH48:AH79 AN48:AN79 AT48:AT79 AZ48:AZ79 BF48:BF79 BL48:BL79 BR48:BR79 BX48:BX79 J48:J79 P48:P79">
    <cfRule type="expression" dxfId="159" priority="169">
      <formula xml:space="preserve"> J48&gt;(G48+(G48*0.05))</formula>
    </cfRule>
    <cfRule type="expression" dxfId="158" priority="170">
      <formula xml:space="preserve"> J48&lt;(G48-(G48*0.05))</formula>
    </cfRule>
  </conditionalFormatting>
  <conditionalFormatting sqref="U80:U84 AA80:AA84 AG80:AG84 AM80:AM84 AS80:AS84 AY80:AY84 BE80:BE84 BK80:BK84 BQ80:BQ84 BW80:BW84 O80:O84 I73:I104">
    <cfRule type="expression" dxfId="157" priority="167">
      <formula xml:space="preserve"> I73&gt;(F73+(F73*0.1))</formula>
    </cfRule>
    <cfRule type="expression" dxfId="156" priority="168">
      <formula xml:space="preserve"> I73&lt;(F73-(F73*0.1))</formula>
    </cfRule>
  </conditionalFormatting>
  <conditionalFormatting sqref="V80:V84 AB80:AB84 AH80:AH84 AN80:AN84 AT80:AT84 AZ80:AZ84 BF80:BF84 BL80:BL84 BR80:BR84 BX80:BX84 P80:P84 J78:J102">
    <cfRule type="expression" dxfId="155" priority="165">
      <formula xml:space="preserve"> J78&gt;(G78+(G78*0.05))</formula>
    </cfRule>
    <cfRule type="expression" dxfId="154" priority="166">
      <formula xml:space="preserve"> J78&lt;(G78-(G78*0.05))</formula>
    </cfRule>
  </conditionalFormatting>
  <conditionalFormatting sqref="U85:U95 AA85:AA95 O85:O95 AM85:AM95 AS85:AS95 I85:I95 BW85:BW95 BE95">
    <cfRule type="expression" dxfId="153" priority="163">
      <formula xml:space="preserve"> I85&gt;(F85+(F85*0.1))</formula>
    </cfRule>
    <cfRule type="expression" dxfId="152" priority="164">
      <formula xml:space="preserve"> I85&lt;(F85-(F85*0.1))</formula>
    </cfRule>
  </conditionalFormatting>
  <conditionalFormatting sqref="V85:V95 AB85:AB95 P85:P95 AT85:AT95 AZ85:AZ95 BF85:BF95 BX85:BX95 BR85:BR95 BL95 AN85:AN127">
    <cfRule type="expression" dxfId="151" priority="161">
      <formula xml:space="preserve"> P85&gt;(M85+(M85*0.05))</formula>
    </cfRule>
    <cfRule type="expression" dxfId="150" priority="162">
      <formula xml:space="preserve"> P85&lt;(M85-(M85*0.05))</formula>
    </cfRule>
  </conditionalFormatting>
  <conditionalFormatting sqref="U96:U123 AA96:AA123 AG96:AG123 AM96:AM123 AS96:AS123 AY96:AY123 BE96:BE123 BK96:BK123 BQ96:BQ123 BW96:BW123 I96:I123 O96:O123">
    <cfRule type="expression" dxfId="149" priority="159">
      <formula xml:space="preserve"> I96&gt;(F96+(F96*0.1))</formula>
    </cfRule>
    <cfRule type="expression" dxfId="148" priority="160">
      <formula xml:space="preserve"> I96&lt;(F96-(F96*0.1))</formula>
    </cfRule>
  </conditionalFormatting>
  <conditionalFormatting sqref="V96:V123 AB96:AB123 AH96:AH123 AN96:AN123 AT96:AT123 AZ96:AZ123 BF96:BF123 BL96:BL123 BR96:BR123 BX96:BX123 J96:J123 P96:P123">
    <cfRule type="expression" dxfId="147" priority="157">
      <formula xml:space="preserve"> J96&gt;(G96+(G96*0.05))</formula>
    </cfRule>
    <cfRule type="expression" dxfId="146" priority="158">
      <formula xml:space="preserve"> J96&lt;(G96-(G96*0.05))</formula>
    </cfRule>
  </conditionalFormatting>
  <conditionalFormatting sqref="U124:U156 AA124:AA156 AG124:AG156 AM124:AM156 AS124:AS156 AY124:AY156 BE124:BE156 BK124:BK156 BQ124:BQ156 BW124:BW156 I124:I156 O124:O156">
    <cfRule type="expression" dxfId="145" priority="155">
      <formula xml:space="preserve"> I124&gt;(F124+(F124*0.1))</formula>
    </cfRule>
    <cfRule type="expression" dxfId="144" priority="156">
      <formula xml:space="preserve"> I124&lt;(F124-(F124*0.1))</formula>
    </cfRule>
  </conditionalFormatting>
  <conditionalFormatting sqref="V124:V156 AB124:AB156 AH124:AH156 AT124:AT156 AZ124:AZ156 BF124:BF156 BL124:BL156 BR124:BR156 BX124:BX156 J124:J156 P124:P156">
    <cfRule type="expression" dxfId="143" priority="153">
      <formula xml:space="preserve"> J124&gt;(G124+(G124*0.05))</formula>
    </cfRule>
    <cfRule type="expression" dxfId="142" priority="154">
      <formula xml:space="preserve"> J124&lt;(G124-(G124*0.05))</formula>
    </cfRule>
  </conditionalFormatting>
  <conditionalFormatting sqref="AB131">
    <cfRule type="expression" dxfId="141" priority="151">
      <formula xml:space="preserve"> AB131&gt;(Y131+(Y131*0.1))</formula>
    </cfRule>
    <cfRule type="expression" dxfId="140" priority="152">
      <formula xml:space="preserve"> AB131&lt;(Y131-(Y131*0.1))</formula>
    </cfRule>
  </conditionalFormatting>
  <conditionalFormatting sqref="AB132">
    <cfRule type="expression" dxfId="139" priority="149">
      <formula xml:space="preserve"> AB132&gt;(Y132+(Y132*0.1))</formula>
    </cfRule>
    <cfRule type="expression" dxfId="138" priority="150">
      <formula xml:space="preserve"> AB132&lt;(Y132-(Y132*0.1))</formula>
    </cfRule>
  </conditionalFormatting>
  <conditionalFormatting sqref="U183:U206 AA183:AA206 AG183:AG206 AS183:AS206 AY183:AY206 BE183:BE206 BK183:BK206 BQ183:BQ206 BW183:BW206 I183:I206 O183:O206">
    <cfRule type="expression" dxfId="137" priority="143">
      <formula xml:space="preserve"> I183&gt;(F183+(F183*0.1))</formula>
    </cfRule>
    <cfRule type="expression" dxfId="136" priority="144">
      <formula xml:space="preserve"> I183&lt;(F183-(F183*0.1))</formula>
    </cfRule>
  </conditionalFormatting>
  <conditionalFormatting sqref="V183:V206 AB183:AB206 AH183:AH206 AN183:AN206 AT183:AT206 AZ183:AZ206 BF183:BF206 BL183:BL206 BR183:BR206 BX183:BX206 J183:J206 P183:P206">
    <cfRule type="expression" dxfId="135" priority="141">
      <formula xml:space="preserve"> J183&gt;(G183+(G183*0.05))</formula>
    </cfRule>
    <cfRule type="expression" dxfId="134" priority="142">
      <formula xml:space="preserve"> J183&lt;(G183-(G183*0.05))</formula>
    </cfRule>
  </conditionalFormatting>
  <conditionalFormatting sqref="BE207:BE239 AY207:AY239 AS207:AS239 AM207:AM239 AG207:AG239 AA207:AA239 U207:U239 O207:O239 I207:I239 BW207:BW239 BQ207:BQ239 BK207:BK239">
    <cfRule type="expression" dxfId="133" priority="139">
      <formula xml:space="preserve"> I207&gt;(F207+(F207*0.1))</formula>
    </cfRule>
    <cfRule type="expression" dxfId="132" priority="140">
      <formula xml:space="preserve"> I207&lt;(F207-(F207*0.1))</formula>
    </cfRule>
  </conditionalFormatting>
  <conditionalFormatting sqref="BF207:BF239 AZ207:AZ239 AT207:AT239 AN207:AN239 AH207:AH239 AB207:AB239 V207:V239 P207:P239 J207:J239 BX207:BX239 BR207:BR239 BL207:BL239">
    <cfRule type="expression" dxfId="131" priority="137">
      <formula xml:space="preserve"> J207&gt;(G207+(G207*0.05))</formula>
    </cfRule>
    <cfRule type="expression" dxfId="130" priority="138">
      <formula xml:space="preserve"> J207&lt;(G207-(G207*0.05))</formula>
    </cfRule>
  </conditionalFormatting>
  <conditionalFormatting sqref="U240:U266 AA240:AA266 AG240:AG266 AM240:AM266 AS240:AS266 AY240:AY266 BE240:BE266 BK240:BK266 BQ240:BQ266 BW240:BW266 I240:I266 O240:O266">
    <cfRule type="expression" dxfId="129" priority="135">
      <formula xml:space="preserve"> I240&gt;(F240+(F240*0.1))</formula>
    </cfRule>
    <cfRule type="expression" dxfId="128" priority="136">
      <formula xml:space="preserve"> I240&lt;(F240-(F240*0.1))</formula>
    </cfRule>
  </conditionalFormatting>
  <conditionalFormatting sqref="V240:V266 AB240:AB266 AH240:AH266 AN240:AN266 AT240:AT266 AZ240:AZ266 BF240:BF266 BL240:BL266 BR240:BR266 BX240:BX266 J240:J266 P240:P266">
    <cfRule type="expression" dxfId="127" priority="133">
      <formula xml:space="preserve"> J240&gt;(G240+(G240*0.05))</formula>
    </cfRule>
    <cfRule type="expression" dxfId="126" priority="134">
      <formula xml:space="preserve"> J240&lt;(G240-(G240*0.05))</formula>
    </cfRule>
  </conditionalFormatting>
  <conditionalFormatting sqref="U267:U274 AA267:AA274 AG267:AG274 AM267:AM274 AS267:AS274 AY267:AY274 BE267:BE274 BK267:BK274 BQ267:BQ274 BW267:BW274 I267:I274 O267:O274">
    <cfRule type="expression" dxfId="125" priority="131">
      <formula xml:space="preserve"> I267&gt;(F267+(F267*0.1))</formula>
    </cfRule>
    <cfRule type="expression" dxfId="124" priority="132">
      <formula xml:space="preserve"> I267&lt;(F267-(F267*0.1))</formula>
    </cfRule>
  </conditionalFormatting>
  <conditionalFormatting sqref="V267:V274 AB267:AB274 AH267:AH274 AN267:AN274 AT267:AT274 AZ267:AZ274 BF267:BF274 BL267:BL274 BR267:BR274 BX267:BX274 J267:J274 P267:P274">
    <cfRule type="expression" dxfId="123" priority="129">
      <formula xml:space="preserve"> J267&gt;(G267+(G267*0.05))</formula>
    </cfRule>
    <cfRule type="expression" dxfId="122" priority="130">
      <formula xml:space="preserve"> J267&lt;(G267-(G267*0.05))</formula>
    </cfRule>
  </conditionalFormatting>
  <conditionalFormatting sqref="U275:U289 AA275:AA289 AG275:AG289 AM275:AM289 AS275:AS289 AY275:AY289 BE275:BE289 BK275:BK289 BQ275:BQ289 BW275:BW289 I275:I289 O275:O289">
    <cfRule type="expression" dxfId="121" priority="127">
      <formula xml:space="preserve"> I275&gt;(F275+(F275*0.1))</formula>
    </cfRule>
    <cfRule type="expression" dxfId="120" priority="128">
      <formula xml:space="preserve"> I275&lt;(F275-(F275*0.1))</formula>
    </cfRule>
  </conditionalFormatting>
  <conditionalFormatting sqref="V275:V289 AB275:AB289 AH275:AH289 AN275:AN289 AT275:AT289 AZ275:AZ289 BF275:BF289 BL275:BL289 BR275:BR289 BX275:BX289 J275:J289 P275:P289">
    <cfRule type="expression" dxfId="119" priority="125">
      <formula xml:space="preserve"> J275&gt;(G275+(G275*0.05))</formula>
    </cfRule>
    <cfRule type="expression" dxfId="118" priority="126">
      <formula xml:space="preserve"> J275&lt;(G275-(G275*0.05))</formula>
    </cfRule>
  </conditionalFormatting>
  <conditionalFormatting sqref="U290:U304 AA290:AA304 AG290:AG304 AM290:AM304 AS290:AS304 AY290:AY304 BE290:BE304 BK290:BK304 BQ290:BQ304 BW290:BW304 I290:I304 O290:O304">
    <cfRule type="expression" dxfId="117" priority="123">
      <formula xml:space="preserve"> I290&gt;(F290+(F290*0.1))</formula>
    </cfRule>
    <cfRule type="expression" dxfId="116" priority="124">
      <formula xml:space="preserve"> I290&lt;(F290-(F290*0.1))</formula>
    </cfRule>
  </conditionalFormatting>
  <conditionalFormatting sqref="V290:V304 AB290:AB304 AH290:AH304 AN290:AN304 AT290:AT304 AZ290:AZ304 BF290:BF304 BL290:BL304 BR290:BR304 BX290:BX304 J290:J304 P290:P304">
    <cfRule type="expression" dxfId="115" priority="121">
      <formula xml:space="preserve"> J290&gt;(G290+(G290*0.05))</formula>
    </cfRule>
    <cfRule type="expression" dxfId="114" priority="122">
      <formula xml:space="preserve"> J290&lt;(G290-(G290*0.05))</formula>
    </cfRule>
  </conditionalFormatting>
  <conditionalFormatting sqref="U305:U362 AA305:AA362 AG305:AG362 AM305:AM362 AS305:AS362 AY305:AY362 BE305:BE362 BK305:BK362 BQ305:BQ362 BW305:BW362 I305:I362 O305:O362">
    <cfRule type="expression" dxfId="113" priority="119">
      <formula xml:space="preserve"> I305&gt;(F305+(F305*0.1))</formula>
    </cfRule>
    <cfRule type="expression" dxfId="112" priority="120">
      <formula xml:space="preserve"> I305&lt;(F305-(F305*0.1))</formula>
    </cfRule>
  </conditionalFormatting>
  <conditionalFormatting sqref="V305:V362 AB305:AB362 AH305:AH362 AN305:AN362 AT305:AT362 AZ305:AZ362 BF305:BF362 BL305:BL362 BR305:BR362 BX305:BX362 J305:J362 P305:P362">
    <cfRule type="expression" dxfId="111" priority="117">
      <formula xml:space="preserve"> J305&gt;(G305+(G305*0.05))</formula>
    </cfRule>
    <cfRule type="expression" dxfId="110" priority="118">
      <formula xml:space="preserve"> J305&lt;(G305-(G305*0.05))</formula>
    </cfRule>
  </conditionalFormatting>
  <conditionalFormatting sqref="U363:U389 AA363:AA389 AG363:AG389 AM363:AM389 AS363:AS389 AY363:AY389 BE363:BE389 BK363:BK389 BQ363:BQ389 BW363:BW389 I363:I389 O363:O389">
    <cfRule type="expression" dxfId="109" priority="115" stopIfTrue="1">
      <formula xml:space="preserve"> I363&gt;(F363+(F363*0.1))</formula>
    </cfRule>
    <cfRule type="expression" dxfId="108" priority="116" stopIfTrue="1">
      <formula xml:space="preserve"> I363&lt;(F363-(F363*0.1))</formula>
    </cfRule>
  </conditionalFormatting>
  <conditionalFormatting sqref="V363:V389 AB363:AB389 AH363:AH389 AN363:AN389 AT363:AT389 AZ363:AZ389 BF363:BF389 BL363:BL389 BR363:BR389 BX363:BX389 J363:J389 P363:P389">
    <cfRule type="expression" dxfId="107" priority="113" stopIfTrue="1">
      <formula xml:space="preserve"> J363&gt;(G363+(G363*0.05))</formula>
    </cfRule>
    <cfRule type="expression" dxfId="106" priority="114" stopIfTrue="1">
      <formula xml:space="preserve"> J363&lt;(G363-(G363*0.05))</formula>
    </cfRule>
  </conditionalFormatting>
  <conditionalFormatting sqref="U469:U517 AA469:AA517 AG469:AG517 AM469:AM517 AS469:AS517 AY469:AY517 BE469:BE517 BK469:BK517 BQ469:BQ517 BW469:BW517 I469:I517 O469:O517">
    <cfRule type="expression" dxfId="105" priority="107">
      <formula xml:space="preserve"> I469&gt;(F469+(F469*0.1))</formula>
    </cfRule>
    <cfRule type="expression" dxfId="104" priority="108">
      <formula xml:space="preserve"> I469&lt;(F469-(F469*0.1))</formula>
    </cfRule>
  </conditionalFormatting>
  <conditionalFormatting sqref="V469:V517 AB469:AB517 AH469:AH517 AN469:AN517 AT469:AT517 AZ469:AZ517 BF469:BF517 BL469:BL517 BR469:BR517 BX469:BX517 J469:J517 P469:P517">
    <cfRule type="expression" dxfId="103" priority="105">
      <formula xml:space="preserve"> J469&gt;(G469+(G469*0.05))</formula>
    </cfRule>
    <cfRule type="expression" dxfId="102" priority="106">
      <formula xml:space="preserve"> J469&lt;(G469-(G469*0.05))</formula>
    </cfRule>
  </conditionalFormatting>
  <conditionalFormatting sqref="U518:U623 AA518:AA623 AG518:AG623 AM518:AM623 AS518:AS623 AY518:AY623 BK518:BK623 BQ518:BQ623 BW518:BW623 I518:I623 O518:O623 BE469:BE623">
    <cfRule type="expression" dxfId="101" priority="103">
      <formula xml:space="preserve"> I469&gt;(F469+(F469*0.1))</formula>
    </cfRule>
    <cfRule type="expression" dxfId="100" priority="104">
      <formula xml:space="preserve"> I469&lt;(F469-(F469*0.1))</formula>
    </cfRule>
  </conditionalFormatting>
  <conditionalFormatting sqref="V518:V623 AB518:AB623 AH518:AH623 AN518:AN623 AT518:AT623 AZ518:AZ623 BL518:BL623 BR518:BR623 BX518:BX623 J518:J623 P518:P623 BF469:BF623">
    <cfRule type="expression" dxfId="99" priority="101">
      <formula xml:space="preserve"> J469&gt;(G469+(G469*0.05))</formula>
    </cfRule>
    <cfRule type="expression" dxfId="98" priority="102">
      <formula xml:space="preserve"> J469&lt;(G469-(G469*0.05))</formula>
    </cfRule>
  </conditionalFormatting>
  <conditionalFormatting sqref="U624:U662 AA624:AA662 AG624:AG662 AM624:AM662 AS624:AS662 AY624:AY662 BE624:BE662 BK624:BK662 BQ624:BQ662 BW624:BW662 I624:I662 O624:O662">
    <cfRule type="expression" dxfId="97" priority="99">
      <formula xml:space="preserve"> I624&gt;(F624+(F624*0.1))</formula>
    </cfRule>
    <cfRule type="expression" dxfId="96" priority="100">
      <formula xml:space="preserve"> I624&lt;(F624-(F624*0.1))</formula>
    </cfRule>
  </conditionalFormatting>
  <conditionalFormatting sqref="V624:V662 AB624:AB662 AH624:AH662 AN624:AN662 AT624:AT662 AZ624:AZ662 BF624:BF662 BL624:BL662 BR624:BR662 BX624:BX662 J624:J662 P624:P662">
    <cfRule type="expression" dxfId="95" priority="97">
      <formula xml:space="preserve"> J624&gt;(G624+(G624*0.05))</formula>
    </cfRule>
    <cfRule type="expression" dxfId="94" priority="98">
      <formula xml:space="preserve"> J624&lt;(G624-(G624*0.05))</formula>
    </cfRule>
  </conditionalFormatting>
  <conditionalFormatting sqref="U663:U683 AA663:AA683 AG663:AG683 AM663:AM683 AS663:AS683 AY663:AY683 BE663:BE683 BK663:BK683 BQ663:BQ683 BW663:BW683 I663:I683 O663:O683">
    <cfRule type="expression" dxfId="93" priority="95">
      <formula xml:space="preserve"> I663&gt;(F663+(F663*0.1))</formula>
    </cfRule>
    <cfRule type="expression" dxfId="92" priority="96">
      <formula xml:space="preserve"> I663&lt;(F663-(F663*0.1))</formula>
    </cfRule>
  </conditionalFormatting>
  <conditionalFormatting sqref="V663:V683 AB663:AB683 AH663:AH683 AN663:AN683 AT663:AT683 AZ663:AZ683 BF663:BF683 BL663:BL683 BR663:BR683 BX663:BX683 J663:J683 P663:P683">
    <cfRule type="expression" dxfId="91" priority="93">
      <formula xml:space="preserve"> J663&gt;(G663+(G663*0.05))</formula>
    </cfRule>
    <cfRule type="expression" dxfId="90" priority="94">
      <formula xml:space="preserve"> J663&lt;(G663-(G663*0.05))</formula>
    </cfRule>
  </conditionalFormatting>
  <conditionalFormatting sqref="V437:V454 AB437:AB454 AH437:AH454 AN437:AN454 AT437:AT454 AZ437:AZ454 BF437:BF454 BL437:BL454 BR437:BR454 BX437:BX454 P437:P454 J437:J454">
    <cfRule type="expression" dxfId="89" priority="85">
      <formula xml:space="preserve"> J437&gt;(G437+(G437*0.05))</formula>
    </cfRule>
    <cfRule type="expression" dxfId="88" priority="86">
      <formula xml:space="preserve"> J437&lt;(G437-(G437*0.05))</formula>
    </cfRule>
  </conditionalFormatting>
  <conditionalFormatting sqref="Y437:Y454 AE437:AE454 AK437:AK454 AQ437:AQ454 AW437:AW454 BC437:BC454 BI437:BI454 BO437:BO454 BU437:BU454 M437:M454 S437:S454">
    <cfRule type="expression" dxfId="87" priority="91">
      <formula xml:space="preserve"> M437&gt;(J437+(J437*0.1))</formula>
    </cfRule>
    <cfRule type="expression" dxfId="86" priority="92">
      <formula xml:space="preserve"> M437&lt;(J437-(J437*0.1))</formula>
    </cfRule>
  </conditionalFormatting>
  <conditionalFormatting sqref="P363:P390">
    <cfRule type="expression" dxfId="85" priority="25">
      <formula xml:space="preserve"> P363&gt;(M363+(M363*0.05))</formula>
    </cfRule>
    <cfRule type="expression" dxfId="84" priority="26">
      <formula xml:space="preserve"> P363&lt;(M363-(M363*0.05))</formula>
    </cfRule>
  </conditionalFormatting>
  <conditionalFormatting sqref="U437:U454 AA437:AA454 AG437:AG454 AM437:AM454 AS437:AS454 AY437:AY454 BE437:BE454 BK437:BK454 BQ437:BQ454 BW437:BW454 O437:O454 I437:I454">
    <cfRule type="expression" dxfId="83" priority="87">
      <formula xml:space="preserve"> I437&gt;(F437+(F437*0.1))</formula>
    </cfRule>
    <cfRule type="expression" dxfId="82" priority="88">
      <formula xml:space="preserve"> I437&lt;(F437-(F437*0.1))</formula>
    </cfRule>
  </conditionalFormatting>
  <conditionalFormatting sqref="U437:U468 AA437:AA468 AG437:AG468 AM437:AM468 AS437:AS468 AY437:AY468 BE437:BE468 BK437:BK468 BQ437:BQ468 BW437:BW468 O437:O468 I437:I468">
    <cfRule type="expression" dxfId="81" priority="83">
      <formula xml:space="preserve"> I437&gt;(F437+(F437*0.1))</formula>
    </cfRule>
    <cfRule type="expression" dxfId="80" priority="84">
      <formula xml:space="preserve"> I437&lt;(F437-(F437*0.1))</formula>
    </cfRule>
  </conditionalFormatting>
  <conditionalFormatting sqref="V437:V468 AB437:AB468 AH437:AH468 AN437:AN468 AT437:AT468 AZ437:AZ468 BF437:BF468 BL437:BL468 BR437:BR468 BX437:BX468 P437:P468 J437:J468">
    <cfRule type="expression" dxfId="79" priority="81">
      <formula xml:space="preserve"> J437&gt;(G437+(G437*0.05))</formula>
    </cfRule>
    <cfRule type="expression" dxfId="78" priority="82">
      <formula xml:space="preserve"> J437&lt;(G437-(G437*0.05))</formula>
    </cfRule>
  </conditionalFormatting>
  <conditionalFormatting sqref="BE363:BE389">
    <cfRule type="expression" dxfId="77" priority="79">
      <formula xml:space="preserve"> BE363&gt;(BB363+(BB363*0.1))</formula>
    </cfRule>
    <cfRule type="expression" dxfId="76" priority="80">
      <formula xml:space="preserve"> BE363&lt;(BB363-(BB363*0.1))</formula>
    </cfRule>
  </conditionalFormatting>
  <conditionalFormatting sqref="BF363:BF389">
    <cfRule type="expression" dxfId="75" priority="77">
      <formula xml:space="preserve"> BF363&gt;(BC363+(BC363*0.05))</formula>
    </cfRule>
    <cfRule type="expression" dxfId="74" priority="78">
      <formula xml:space="preserve"> BF363&lt;(BC363-(BC363*0.05))</formula>
    </cfRule>
  </conditionalFormatting>
  <conditionalFormatting sqref="AS240:AS266">
    <cfRule type="expression" dxfId="73" priority="75">
      <formula xml:space="preserve"> AS240&gt;(AP240+(AP240*0.1))</formula>
    </cfRule>
    <cfRule type="expression" dxfId="72" priority="76">
      <formula xml:space="preserve"> AS240&lt;(AP240-(AP240*0.1))</formula>
    </cfRule>
  </conditionalFormatting>
  <conditionalFormatting sqref="AT240:AT266">
    <cfRule type="expression" dxfId="71" priority="73">
      <formula xml:space="preserve"> AT240&gt;(AQ240+(AQ240*0.05))</formula>
    </cfRule>
    <cfRule type="expression" dxfId="70" priority="74">
      <formula xml:space="preserve"> AT240&lt;(AQ240-(AQ240*0.05))</formula>
    </cfRule>
  </conditionalFormatting>
  <conditionalFormatting sqref="AM305:AM362">
    <cfRule type="expression" dxfId="69" priority="71">
      <formula xml:space="preserve"> AM305&gt;(AJ305+(AJ305*0.1))</formula>
    </cfRule>
    <cfRule type="expression" dxfId="68" priority="72">
      <formula xml:space="preserve"> AM305&lt;(AJ305-(AJ305*0.1))</formula>
    </cfRule>
  </conditionalFormatting>
  <conditionalFormatting sqref="AN305:AN362">
    <cfRule type="expression" dxfId="67" priority="69">
      <formula xml:space="preserve"> AN305&gt;(AK305+(AK305*0.05))</formula>
    </cfRule>
    <cfRule type="expression" dxfId="66" priority="70">
      <formula xml:space="preserve"> AN305&lt;(AK305-(AK305*0.05))</formula>
    </cfRule>
  </conditionalFormatting>
  <conditionalFormatting sqref="AM363:AM389 AS363:AS389">
    <cfRule type="expression" dxfId="65" priority="67">
      <formula xml:space="preserve"> AM363&gt;(AJ363+(AJ363*0.1))</formula>
    </cfRule>
    <cfRule type="expression" dxfId="64" priority="68">
      <formula xml:space="preserve"> AM363&lt;(AJ363-(AJ363*0.1))</formula>
    </cfRule>
  </conditionalFormatting>
  <conditionalFormatting sqref="AN363:AN389 AT363:AT389">
    <cfRule type="expression" dxfId="63" priority="65">
      <formula xml:space="preserve"> AN363&gt;(AK363+(AK363*0.05))</formula>
    </cfRule>
    <cfRule type="expression" dxfId="62" priority="66">
      <formula xml:space="preserve"> AN363&lt;(AK363-(AK363*0.05))</formula>
    </cfRule>
  </conditionalFormatting>
  <conditionalFormatting sqref="AM363:AM389">
    <cfRule type="expression" dxfId="61" priority="63">
      <formula xml:space="preserve"> AM363&gt;(AJ363+(AJ363*0.1))</formula>
    </cfRule>
    <cfRule type="expression" dxfId="60" priority="64">
      <formula xml:space="preserve"> AM363&lt;(AJ363-(AJ363*0.1))</formula>
    </cfRule>
  </conditionalFormatting>
  <conditionalFormatting sqref="AN363:AN389">
    <cfRule type="expression" dxfId="59" priority="61">
      <formula xml:space="preserve"> AN363&gt;(AK363+(AK363*0.05))</formula>
    </cfRule>
    <cfRule type="expression" dxfId="58" priority="62">
      <formula xml:space="preserve"> AN363&lt;(AK363-(AK363*0.05))</formula>
    </cfRule>
  </conditionalFormatting>
  <conditionalFormatting sqref="AM469:AM521 AS469:AS521">
    <cfRule type="expression" dxfId="57" priority="59">
      <formula xml:space="preserve"> AM469&gt;(AJ469+(AJ469*0.1))</formula>
    </cfRule>
    <cfRule type="expression" dxfId="56" priority="60">
      <formula xml:space="preserve"> AM469&lt;(AJ469-(AJ469*0.1))</formula>
    </cfRule>
  </conditionalFormatting>
  <conditionalFormatting sqref="AN469:AN521 AT469:AT521">
    <cfRule type="expression" dxfId="55" priority="57">
      <formula xml:space="preserve"> AN469&gt;(AK469+(AK469*0.05))</formula>
    </cfRule>
    <cfRule type="expression" dxfId="54" priority="58">
      <formula xml:space="preserve"> AN469&lt;(AK469-(AK469*0.05))</formula>
    </cfRule>
  </conditionalFormatting>
  <conditionalFormatting sqref="AM469:AM521 AS469:AS521">
    <cfRule type="expression" dxfId="53" priority="55">
      <formula xml:space="preserve"> AM469&gt;(AJ469+(AJ469*0.1))</formula>
    </cfRule>
    <cfRule type="expression" dxfId="52" priority="56">
      <formula xml:space="preserve"> AM469&lt;(AJ469-(AJ469*0.1))</formula>
    </cfRule>
  </conditionalFormatting>
  <conditionalFormatting sqref="AN469:AN521 AT469:AT521">
    <cfRule type="expression" dxfId="51" priority="53">
      <formula xml:space="preserve"> AN469&gt;(AK469+(AK469*0.05))</formula>
    </cfRule>
    <cfRule type="expression" dxfId="50" priority="54">
      <formula xml:space="preserve"> AN469&lt;(AK469-(AK469*0.05))</formula>
    </cfRule>
  </conditionalFormatting>
  <conditionalFormatting sqref="AA469:AA522 AG469:AG522">
    <cfRule type="expression" dxfId="49" priority="51">
      <formula xml:space="preserve"> AA469&gt;(X469+(X469*0.1))</formula>
    </cfRule>
    <cfRule type="expression" dxfId="48" priority="52">
      <formula xml:space="preserve"> AA469&lt;(X469-(X469*0.1))</formula>
    </cfRule>
  </conditionalFormatting>
  <conditionalFormatting sqref="AB469:AB522 AH469:AH522">
    <cfRule type="expression" dxfId="47" priority="49">
      <formula xml:space="preserve"> AB469&gt;(Y469+(Y469*0.05))</formula>
    </cfRule>
    <cfRule type="expression" dxfId="46" priority="50">
      <formula xml:space="preserve"> AB469&lt;(Y469-(Y469*0.05))</formula>
    </cfRule>
  </conditionalFormatting>
  <conditionalFormatting sqref="AA469:AA522 AG469:AG522">
    <cfRule type="expression" dxfId="45" priority="47">
      <formula xml:space="preserve"> AA469&gt;(X469+(X469*0.1))</formula>
    </cfRule>
    <cfRule type="expression" dxfId="44" priority="48">
      <formula xml:space="preserve"> AA469&lt;(X469-(X469*0.1))</formula>
    </cfRule>
  </conditionalFormatting>
  <conditionalFormatting sqref="AB469:AB522 AH469:AH522">
    <cfRule type="expression" dxfId="43" priority="45">
      <formula xml:space="preserve"> AB469&gt;(Y469+(Y469*0.05))</formula>
    </cfRule>
    <cfRule type="expression" dxfId="42" priority="46">
      <formula xml:space="preserve"> AB469&lt;(Y469-(Y469*0.05))</formula>
    </cfRule>
  </conditionalFormatting>
  <conditionalFormatting sqref="AA363:AA390 AG363:AG390">
    <cfRule type="expression" dxfId="41" priority="43">
      <formula xml:space="preserve"> AA363&gt;(X363+(X363*0.1))</formula>
    </cfRule>
    <cfRule type="expression" dxfId="40" priority="44">
      <formula xml:space="preserve"> AA363&lt;(X363-(X363*0.1))</formula>
    </cfRule>
  </conditionalFormatting>
  <conditionalFormatting sqref="AB363:AB390 AH363:AH390">
    <cfRule type="expression" dxfId="39" priority="41">
      <formula xml:space="preserve"> AB363&gt;(Y363+(Y363*0.05))</formula>
    </cfRule>
    <cfRule type="expression" dxfId="38" priority="42">
      <formula xml:space="preserve"> AB363&lt;(Y363-(Y363*0.05))</formula>
    </cfRule>
  </conditionalFormatting>
  <conditionalFormatting sqref="AG240:AG266 AA240:AA266">
    <cfRule type="expression" dxfId="37" priority="39">
      <formula xml:space="preserve"> AA240&gt;(X240+(X240*0.1))</formula>
    </cfRule>
    <cfRule type="expression" dxfId="36" priority="40">
      <formula xml:space="preserve"> AA240&lt;(X240-(X240*0.1))</formula>
    </cfRule>
  </conditionalFormatting>
  <conditionalFormatting sqref="AH240:AH266 AB240:AB266">
    <cfRule type="expression" dxfId="35" priority="37">
      <formula xml:space="preserve"> AB240&gt;(Y240+(Y240*0.05))</formula>
    </cfRule>
    <cfRule type="expression" dxfId="34" priority="38">
      <formula xml:space="preserve"> AB240&lt;(Y240-(Y240*0.05))</formula>
    </cfRule>
  </conditionalFormatting>
  <conditionalFormatting sqref="U85:U100 O85:O100">
    <cfRule type="expression" dxfId="33" priority="35">
      <formula xml:space="preserve"> O85&gt;(L85+(L85*0.1))</formula>
    </cfRule>
    <cfRule type="expression" dxfId="32" priority="36">
      <formula xml:space="preserve"> O85&lt;(L85-(L85*0.1))</formula>
    </cfRule>
  </conditionalFormatting>
  <conditionalFormatting sqref="V85:V100 P85:P100">
    <cfRule type="expression" dxfId="31" priority="33">
      <formula xml:space="preserve"> P85&gt;(M85+(M85*0.05))</formula>
    </cfRule>
    <cfRule type="expression" dxfId="30" priority="34">
      <formula xml:space="preserve"> P85&lt;(M85-(M85*0.05))</formula>
    </cfRule>
  </conditionalFormatting>
  <conditionalFormatting sqref="O240:O268">
    <cfRule type="expression" dxfId="29" priority="31">
      <formula xml:space="preserve"> O240&gt;(L240+(L240*0.1))</formula>
    </cfRule>
    <cfRule type="expression" dxfId="28" priority="32">
      <formula xml:space="preserve"> O240&lt;(L240-(L240*0.1))</formula>
    </cfRule>
  </conditionalFormatting>
  <conditionalFormatting sqref="P240:P268">
    <cfRule type="expression" dxfId="27" priority="29">
      <formula xml:space="preserve"> P240&gt;(M240+(M240*0.05))</formula>
    </cfRule>
    <cfRule type="expression" dxfId="26" priority="30">
      <formula xml:space="preserve"> P240&lt;(M240-(M240*0.05))</formula>
    </cfRule>
  </conditionalFormatting>
  <conditionalFormatting sqref="O363:O390">
    <cfRule type="expression" dxfId="25" priority="27">
      <formula xml:space="preserve"> O363&gt;(L363+(L363*0.1))</formula>
    </cfRule>
    <cfRule type="expression" dxfId="24" priority="28">
      <formula xml:space="preserve"> O363&lt;(L363-(L363*0.1))</formula>
    </cfRule>
  </conditionalFormatting>
  <conditionalFormatting sqref="O469:O519">
    <cfRule type="expression" dxfId="23" priority="23">
      <formula xml:space="preserve"> O469&gt;(L469+(L469*0.1))</formula>
    </cfRule>
    <cfRule type="expression" dxfId="22" priority="24">
      <formula xml:space="preserve"> O469&lt;(L469-(L469*0.1))</formula>
    </cfRule>
  </conditionalFormatting>
  <conditionalFormatting sqref="P469:P519">
    <cfRule type="expression" dxfId="21" priority="21">
      <formula xml:space="preserve"> P469&gt;(M469+(M469*0.05))</formula>
    </cfRule>
    <cfRule type="expression" dxfId="20" priority="22">
      <formula xml:space="preserve"> P469&lt;(M469-(M469*0.05))</formula>
    </cfRule>
  </conditionalFormatting>
  <conditionalFormatting sqref="O469:O519">
    <cfRule type="expression" dxfId="19" priority="19">
      <formula xml:space="preserve"> O469&gt;(L469+(L469*0.1))</formula>
    </cfRule>
    <cfRule type="expression" dxfId="18" priority="20">
      <formula xml:space="preserve"> O469&lt;(L469-(L469*0.1))</formula>
    </cfRule>
  </conditionalFormatting>
  <conditionalFormatting sqref="P469:P519">
    <cfRule type="expression" dxfId="17" priority="17">
      <formula xml:space="preserve"> P469&gt;(M469+(M469*0.05))</formula>
    </cfRule>
    <cfRule type="expression" dxfId="16" priority="18">
      <formula xml:space="preserve"> P469&lt;(M469-(M469*0.05))</formula>
    </cfRule>
  </conditionalFormatting>
  <conditionalFormatting sqref="BW157:BW187">
    <cfRule type="expression" dxfId="15" priority="15">
      <formula xml:space="preserve"> BW157&gt;(BT157+(BT157*0.1))</formula>
    </cfRule>
    <cfRule type="expression" dxfId="14" priority="16">
      <formula xml:space="preserve"> BW157&lt;(BT157-(BT157*0.1))</formula>
    </cfRule>
  </conditionalFormatting>
  <conditionalFormatting sqref="BX157:BX187">
    <cfRule type="expression" dxfId="13" priority="13">
      <formula xml:space="preserve"> BX157&gt;(BU157+(BU157*0.05))</formula>
    </cfRule>
    <cfRule type="expression" dxfId="12" priority="14">
      <formula xml:space="preserve"> BX157&lt;(BU157-(BU157*0.05))</formula>
    </cfRule>
  </conditionalFormatting>
  <conditionalFormatting sqref="BE48:BE57">
    <cfRule type="expression" dxfId="11" priority="11">
      <formula xml:space="preserve"> BE48&gt;(BB48+(BB48*0.1))</formula>
    </cfRule>
    <cfRule type="expression" dxfId="10" priority="12">
      <formula xml:space="preserve"> BE48&lt;(BB48-(BB48*0.1))</formula>
    </cfRule>
  </conditionalFormatting>
  <conditionalFormatting sqref="BF48:BF57">
    <cfRule type="expression" dxfId="9" priority="9">
      <formula xml:space="preserve"> BF48&gt;(BC48+(BC48*0.05))</formula>
    </cfRule>
    <cfRule type="expression" dxfId="8" priority="10">
      <formula xml:space="preserve"> BF48&lt;(BC48-(BC48*0.05))</formula>
    </cfRule>
  </conditionalFormatting>
  <conditionalFormatting sqref="BK48:BK58">
    <cfRule type="expression" dxfId="7" priority="7">
      <formula xml:space="preserve"> BK48&gt;(BH48+(BH48*0.1))</formula>
    </cfRule>
    <cfRule type="expression" dxfId="6" priority="8">
      <formula xml:space="preserve"> BK48&lt;(BH48-(BH48*0.1))</formula>
    </cfRule>
  </conditionalFormatting>
  <conditionalFormatting sqref="BL48:BL58">
    <cfRule type="expression" dxfId="5" priority="5">
      <formula xml:space="preserve"> BL48&gt;(BI48+(BI48*0.05))</formula>
    </cfRule>
    <cfRule type="expression" dxfId="4" priority="6">
      <formula xml:space="preserve"> BL48&lt;(BI48-(BI48*0.05))</formula>
    </cfRule>
  </conditionalFormatting>
  <conditionalFormatting sqref="BQ48:BQ57">
    <cfRule type="expression" dxfId="3" priority="3">
      <formula xml:space="preserve"> BQ48&gt;(BN48+(BN48*0.1))</formula>
    </cfRule>
    <cfRule type="expression" dxfId="2" priority="4">
      <formula xml:space="preserve"> BQ48&lt;(BN48-(BN48*0.1))</formula>
    </cfRule>
  </conditionalFormatting>
  <conditionalFormatting sqref="BR48:BR57">
    <cfRule type="expression" dxfId="1" priority="1">
      <formula xml:space="preserve"> BR48&gt;(BO48+(BO48*0.05))</formula>
    </cfRule>
    <cfRule type="expression" dxfId="0" priority="2">
      <formula xml:space="preserve"> BR48&lt;(BO48-(BO48*0.05))</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sheetPr codeName="Sheet8">
    <tabColor rgb="FFFFFF00"/>
  </sheetPr>
  <dimension ref="A1:X363"/>
  <sheetViews>
    <sheetView workbookViewId="0">
      <selection sqref="A1:XFD1048576"/>
    </sheetView>
  </sheetViews>
  <sheetFormatPr defaultColWidth="8.625" defaultRowHeight="12.75"/>
  <cols>
    <col min="1" max="1" width="8.625" style="587"/>
    <col min="2" max="2" width="24" style="587" customWidth="1"/>
    <col min="3" max="22" width="8.625" style="587"/>
    <col min="23" max="24" width="8.625" style="186"/>
    <col min="25" max="16384" width="8.625" style="587"/>
  </cols>
  <sheetData>
    <row r="1" spans="1:24">
      <c r="A1" s="586"/>
    </row>
    <row r="2" spans="1:24">
      <c r="A2" s="588"/>
    </row>
    <row r="3" spans="1:24">
      <c r="A3" s="589"/>
      <c r="B3" s="590"/>
      <c r="C3" s="589"/>
      <c r="D3" s="590"/>
      <c r="E3" s="590"/>
      <c r="F3" s="590"/>
      <c r="G3" s="590"/>
      <c r="H3" s="590"/>
      <c r="I3" s="590"/>
      <c r="J3" s="590"/>
      <c r="K3" s="590"/>
      <c r="L3" s="590"/>
      <c r="M3" s="590"/>
      <c r="N3" s="590"/>
      <c r="O3" s="590"/>
      <c r="P3" s="590"/>
      <c r="Q3" s="590"/>
      <c r="R3" s="590"/>
      <c r="S3" s="590"/>
      <c r="T3" s="590"/>
      <c r="U3" s="590"/>
      <c r="V3" s="590"/>
      <c r="W3" s="604"/>
      <c r="X3" s="604"/>
    </row>
    <row r="4" spans="1:24">
      <c r="A4" s="591"/>
      <c r="B4" s="592"/>
      <c r="C4" s="589"/>
      <c r="D4" s="590"/>
      <c r="E4" s="590"/>
      <c r="F4" s="590"/>
      <c r="G4" s="590"/>
      <c r="H4" s="590"/>
      <c r="I4" s="589"/>
      <c r="J4" s="589"/>
      <c r="K4" s="590"/>
      <c r="L4" s="590"/>
      <c r="M4" s="590"/>
      <c r="N4" s="589"/>
      <c r="O4" s="589"/>
      <c r="P4" s="589"/>
      <c r="Q4" s="590"/>
      <c r="R4" s="589"/>
      <c r="S4" s="589"/>
      <c r="T4" s="589"/>
      <c r="U4" s="589"/>
      <c r="V4" s="589"/>
      <c r="W4" s="604"/>
      <c r="X4" s="604"/>
    </row>
    <row r="5" spans="1:24">
      <c r="A5" s="589"/>
      <c r="B5" s="589"/>
      <c r="C5" s="593"/>
      <c r="D5" s="594"/>
      <c r="E5" s="594"/>
      <c r="F5" s="594"/>
      <c r="G5" s="594"/>
      <c r="H5" s="594"/>
      <c r="I5" s="591"/>
      <c r="J5" s="593"/>
      <c r="K5" s="594"/>
      <c r="L5" s="594"/>
      <c r="M5" s="594"/>
      <c r="N5" s="591"/>
      <c r="O5" s="591"/>
      <c r="P5" s="593"/>
      <c r="Q5" s="594"/>
      <c r="R5" s="591"/>
      <c r="S5" s="591"/>
      <c r="T5" s="593"/>
      <c r="U5" s="591"/>
      <c r="V5" s="591"/>
      <c r="W5" s="604"/>
      <c r="X5" s="605"/>
    </row>
    <row r="6" spans="1:24">
      <c r="A6" s="595"/>
      <c r="B6" s="589"/>
      <c r="C6" s="596"/>
      <c r="D6" s="597"/>
      <c r="E6" s="597"/>
      <c r="F6" s="597"/>
      <c r="G6" s="597"/>
      <c r="H6" s="597"/>
      <c r="I6" s="596"/>
      <c r="J6" s="596"/>
      <c r="K6" s="597"/>
      <c r="L6" s="597"/>
      <c r="M6" s="597"/>
      <c r="N6" s="596"/>
      <c r="O6" s="596"/>
      <c r="P6" s="596"/>
      <c r="Q6" s="597"/>
      <c r="R6" s="596"/>
      <c r="S6" s="596"/>
      <c r="T6" s="596"/>
      <c r="U6" s="596"/>
      <c r="V6" s="596"/>
      <c r="W6" s="151"/>
      <c r="X6" s="151"/>
    </row>
    <row r="7" spans="1:24">
      <c r="A7" s="591"/>
      <c r="B7" s="598"/>
      <c r="C7" s="599"/>
      <c r="D7" s="151"/>
      <c r="E7" s="151"/>
      <c r="F7" s="151"/>
      <c r="G7" s="151"/>
      <c r="H7" s="151"/>
      <c r="I7" s="599"/>
      <c r="J7" s="599"/>
      <c r="K7" s="151"/>
      <c r="L7" s="151"/>
      <c r="M7" s="151"/>
      <c r="N7" s="599"/>
      <c r="O7" s="599"/>
      <c r="P7" s="599"/>
      <c r="Q7" s="151"/>
      <c r="R7" s="599"/>
      <c r="S7" s="599"/>
      <c r="T7" s="599"/>
      <c r="U7" s="599"/>
      <c r="V7" s="599"/>
      <c r="W7" s="151"/>
      <c r="X7" s="151"/>
    </row>
    <row r="8" spans="1:24">
      <c r="A8" s="591"/>
      <c r="B8" s="600"/>
      <c r="C8" s="602"/>
      <c r="D8" s="601"/>
      <c r="E8" s="601"/>
      <c r="F8" s="601"/>
      <c r="G8" s="601"/>
      <c r="H8" s="601"/>
      <c r="I8" s="602"/>
      <c r="J8" s="602"/>
      <c r="K8" s="601"/>
      <c r="L8" s="601"/>
      <c r="M8" s="601"/>
      <c r="N8" s="602"/>
      <c r="O8" s="602"/>
      <c r="P8" s="602"/>
      <c r="Q8" s="601"/>
      <c r="R8" s="602"/>
      <c r="S8" s="602"/>
      <c r="T8" s="602"/>
      <c r="U8" s="602"/>
      <c r="V8" s="602"/>
      <c r="W8" s="606"/>
      <c r="X8" s="606"/>
    </row>
    <row r="9" spans="1:24">
      <c r="A9" s="591"/>
      <c r="B9" s="589"/>
      <c r="C9" s="596"/>
      <c r="D9" s="597"/>
      <c r="E9" s="597"/>
      <c r="F9" s="597"/>
      <c r="G9" s="597"/>
      <c r="H9" s="597"/>
      <c r="I9" s="596"/>
      <c r="J9" s="596"/>
      <c r="K9" s="597"/>
      <c r="L9" s="597"/>
      <c r="M9" s="597"/>
      <c r="N9" s="596"/>
      <c r="O9" s="596"/>
      <c r="P9" s="596"/>
      <c r="Q9" s="597"/>
      <c r="R9" s="596"/>
      <c r="S9" s="596"/>
      <c r="T9" s="596"/>
      <c r="U9" s="596"/>
      <c r="V9" s="596"/>
      <c r="W9" s="151"/>
      <c r="X9" s="151"/>
    </row>
    <row r="10" spans="1:24">
      <c r="A10" s="591"/>
      <c r="B10" s="598"/>
      <c r="C10" s="599"/>
      <c r="D10" s="151"/>
      <c r="E10" s="151"/>
      <c r="F10" s="151"/>
      <c r="G10" s="151"/>
      <c r="H10" s="151"/>
      <c r="I10" s="599"/>
      <c r="J10" s="599"/>
      <c r="K10" s="151"/>
      <c r="L10" s="151"/>
      <c r="M10" s="151"/>
      <c r="N10" s="599"/>
      <c r="O10" s="599"/>
      <c r="P10" s="599"/>
      <c r="Q10" s="151"/>
      <c r="R10" s="599"/>
      <c r="S10" s="599"/>
      <c r="T10" s="599"/>
      <c r="U10" s="599"/>
      <c r="V10" s="599"/>
      <c r="W10" s="151"/>
      <c r="X10" s="151"/>
    </row>
    <row r="11" spans="1:24">
      <c r="A11" s="591"/>
      <c r="B11" s="600"/>
      <c r="C11" s="602"/>
      <c r="D11" s="601"/>
      <c r="E11" s="601"/>
      <c r="F11" s="601"/>
      <c r="G11" s="601"/>
      <c r="H11" s="601"/>
      <c r="I11" s="602"/>
      <c r="J11" s="602"/>
      <c r="K11" s="601"/>
      <c r="L11" s="601"/>
      <c r="M11" s="601"/>
      <c r="N11" s="602"/>
      <c r="O11" s="602"/>
      <c r="P11" s="602"/>
      <c r="Q11" s="601"/>
      <c r="R11" s="602"/>
      <c r="S11" s="602"/>
      <c r="T11" s="602"/>
      <c r="U11" s="602"/>
      <c r="V11" s="602"/>
      <c r="W11" s="606"/>
      <c r="X11" s="606"/>
    </row>
    <row r="12" spans="1:24">
      <c r="A12" s="591"/>
      <c r="B12" s="589"/>
      <c r="C12" s="596"/>
      <c r="D12" s="597"/>
      <c r="E12" s="597"/>
      <c r="F12" s="597"/>
      <c r="G12" s="597"/>
      <c r="H12" s="597"/>
      <c r="I12" s="596"/>
      <c r="J12" s="596"/>
      <c r="K12" s="597"/>
      <c r="L12" s="597"/>
      <c r="M12" s="597"/>
      <c r="N12" s="596"/>
      <c r="O12" s="596"/>
      <c r="P12" s="596"/>
      <c r="Q12" s="597"/>
      <c r="R12" s="596"/>
      <c r="S12" s="596"/>
      <c r="T12" s="596"/>
      <c r="U12" s="596"/>
      <c r="V12" s="596"/>
      <c r="W12" s="151"/>
      <c r="X12" s="151"/>
    </row>
    <row r="13" spans="1:24">
      <c r="A13" s="591"/>
      <c r="B13" s="598"/>
      <c r="C13" s="599"/>
      <c r="D13" s="151"/>
      <c r="E13" s="151"/>
      <c r="F13" s="151"/>
      <c r="G13" s="151"/>
      <c r="H13" s="151"/>
      <c r="I13" s="599"/>
      <c r="J13" s="599"/>
      <c r="K13" s="151"/>
      <c r="L13" s="151"/>
      <c r="M13" s="151"/>
      <c r="N13" s="599"/>
      <c r="O13" s="599"/>
      <c r="P13" s="599"/>
      <c r="Q13" s="151"/>
      <c r="R13" s="599"/>
      <c r="S13" s="599"/>
      <c r="T13" s="599"/>
      <c r="U13" s="599"/>
      <c r="V13" s="599"/>
      <c r="W13" s="151"/>
      <c r="X13" s="151"/>
    </row>
    <row r="14" spans="1:24">
      <c r="A14" s="591"/>
      <c r="B14" s="600"/>
      <c r="C14" s="602"/>
      <c r="D14" s="601"/>
      <c r="E14" s="601"/>
      <c r="F14" s="601"/>
      <c r="G14" s="601"/>
      <c r="H14" s="601"/>
      <c r="I14" s="602"/>
      <c r="J14" s="602"/>
      <c r="K14" s="601"/>
      <c r="L14" s="601"/>
      <c r="M14" s="601"/>
      <c r="N14" s="602"/>
      <c r="O14" s="602"/>
      <c r="P14" s="602"/>
      <c r="Q14" s="601"/>
      <c r="R14" s="602"/>
      <c r="S14" s="602"/>
      <c r="T14" s="602"/>
      <c r="U14" s="602"/>
      <c r="V14" s="602"/>
      <c r="W14" s="606"/>
      <c r="X14" s="606"/>
    </row>
    <row r="15" spans="1:24">
      <c r="A15" s="591"/>
      <c r="B15" s="589"/>
      <c r="C15" s="596"/>
      <c r="D15" s="597"/>
      <c r="E15" s="597"/>
      <c r="F15" s="597"/>
      <c r="G15" s="597"/>
      <c r="H15" s="597"/>
      <c r="I15" s="596"/>
      <c r="J15" s="596"/>
      <c r="K15" s="597"/>
      <c r="L15" s="597"/>
      <c r="M15" s="597"/>
      <c r="N15" s="596"/>
      <c r="O15" s="596"/>
      <c r="P15" s="596"/>
      <c r="Q15" s="597"/>
      <c r="R15" s="596"/>
      <c r="S15" s="596"/>
      <c r="T15" s="596"/>
      <c r="U15" s="596"/>
      <c r="V15" s="596"/>
      <c r="W15" s="151"/>
      <c r="X15" s="151"/>
    </row>
    <row r="16" spans="1:24">
      <c r="A16" s="591"/>
      <c r="B16" s="598"/>
      <c r="C16" s="599"/>
      <c r="D16" s="151"/>
      <c r="E16" s="151"/>
      <c r="F16" s="151"/>
      <c r="G16" s="151"/>
      <c r="H16" s="151"/>
      <c r="I16" s="599"/>
      <c r="J16" s="599"/>
      <c r="K16" s="151"/>
      <c r="L16" s="151"/>
      <c r="M16" s="151"/>
      <c r="N16" s="599"/>
      <c r="O16" s="599"/>
      <c r="P16" s="599"/>
      <c r="Q16" s="151"/>
      <c r="R16" s="599"/>
      <c r="S16" s="599"/>
      <c r="T16" s="599"/>
      <c r="U16" s="599"/>
      <c r="V16" s="599"/>
      <c r="W16" s="151"/>
      <c r="X16" s="151"/>
    </row>
    <row r="17" spans="1:24">
      <c r="A17" s="591"/>
      <c r="B17" s="600"/>
      <c r="C17" s="602"/>
      <c r="D17" s="601"/>
      <c r="E17" s="601"/>
      <c r="F17" s="601"/>
      <c r="G17" s="601"/>
      <c r="H17" s="601"/>
      <c r="I17" s="602"/>
      <c r="J17" s="602"/>
      <c r="K17" s="601"/>
      <c r="L17" s="601"/>
      <c r="M17" s="601"/>
      <c r="N17" s="602"/>
      <c r="O17" s="602"/>
      <c r="P17" s="602"/>
      <c r="Q17" s="601"/>
      <c r="R17" s="602"/>
      <c r="S17" s="602"/>
      <c r="T17" s="602"/>
      <c r="U17" s="602"/>
      <c r="V17" s="602"/>
      <c r="W17" s="606"/>
      <c r="X17" s="606"/>
    </row>
    <row r="18" spans="1:24">
      <c r="A18" s="591"/>
      <c r="B18" s="589"/>
      <c r="C18" s="596"/>
      <c r="D18" s="597"/>
      <c r="E18" s="597"/>
      <c r="F18" s="597"/>
      <c r="G18" s="597"/>
      <c r="H18" s="597"/>
      <c r="I18" s="596"/>
      <c r="J18" s="596"/>
      <c r="K18" s="597"/>
      <c r="L18" s="597"/>
      <c r="M18" s="597"/>
      <c r="N18" s="596"/>
      <c r="O18" s="596"/>
      <c r="P18" s="596"/>
      <c r="Q18" s="597"/>
      <c r="R18" s="596"/>
      <c r="S18" s="596"/>
      <c r="T18" s="596"/>
      <c r="U18" s="596"/>
      <c r="V18" s="596"/>
      <c r="W18" s="151"/>
      <c r="X18" s="151"/>
    </row>
    <row r="19" spans="1:24">
      <c r="A19" s="591"/>
      <c r="B19" s="598"/>
      <c r="C19" s="599"/>
      <c r="D19" s="151"/>
      <c r="E19" s="151"/>
      <c r="F19" s="151"/>
      <c r="G19" s="151"/>
      <c r="H19" s="151"/>
      <c r="I19" s="599"/>
      <c r="J19" s="599"/>
      <c r="K19" s="151"/>
      <c r="L19" s="151"/>
      <c r="M19" s="151"/>
      <c r="N19" s="599"/>
      <c r="O19" s="599"/>
      <c r="P19" s="599"/>
      <c r="Q19" s="151"/>
      <c r="R19" s="599"/>
      <c r="S19" s="599"/>
      <c r="T19" s="599"/>
      <c r="U19" s="599"/>
      <c r="V19" s="599"/>
      <c r="W19" s="151"/>
      <c r="X19" s="151"/>
    </row>
    <row r="20" spans="1:24">
      <c r="A20" s="591"/>
      <c r="B20" s="600"/>
      <c r="C20" s="602"/>
      <c r="D20" s="601"/>
      <c r="E20" s="601"/>
      <c r="F20" s="601"/>
      <c r="G20" s="601"/>
      <c r="H20" s="601"/>
      <c r="I20" s="602"/>
      <c r="J20" s="602"/>
      <c r="K20" s="601"/>
      <c r="L20" s="601"/>
      <c r="M20" s="601"/>
      <c r="N20" s="602"/>
      <c r="O20" s="602"/>
      <c r="P20" s="602"/>
      <c r="Q20" s="601"/>
      <c r="R20" s="602"/>
      <c r="S20" s="602"/>
      <c r="T20" s="602"/>
      <c r="U20" s="602"/>
      <c r="V20" s="602"/>
      <c r="W20" s="606"/>
      <c r="X20" s="606"/>
    </row>
    <row r="21" spans="1:24">
      <c r="A21" s="591"/>
      <c r="B21" s="589"/>
      <c r="C21" s="596"/>
      <c r="D21" s="597"/>
      <c r="E21" s="597"/>
      <c r="F21" s="597"/>
      <c r="G21" s="597"/>
      <c r="H21" s="597"/>
      <c r="I21" s="596"/>
      <c r="J21" s="596"/>
      <c r="K21" s="597"/>
      <c r="L21" s="597"/>
      <c r="M21" s="597"/>
      <c r="N21" s="596"/>
      <c r="O21" s="596"/>
      <c r="P21" s="596"/>
      <c r="Q21" s="597"/>
      <c r="R21" s="596"/>
      <c r="S21" s="596"/>
      <c r="T21" s="596"/>
      <c r="U21" s="596"/>
      <c r="V21" s="596"/>
      <c r="W21" s="151"/>
      <c r="X21" s="151"/>
    </row>
    <row r="22" spans="1:24">
      <c r="A22" s="591"/>
      <c r="B22" s="598"/>
      <c r="C22" s="599"/>
      <c r="D22" s="151"/>
      <c r="E22" s="151"/>
      <c r="F22" s="151"/>
      <c r="G22" s="151"/>
      <c r="H22" s="151"/>
      <c r="I22" s="599"/>
      <c r="J22" s="599"/>
      <c r="K22" s="151"/>
      <c r="L22" s="151"/>
      <c r="M22" s="151"/>
      <c r="N22" s="599"/>
      <c r="O22" s="599"/>
      <c r="P22" s="599"/>
      <c r="Q22" s="151"/>
      <c r="R22" s="599"/>
      <c r="S22" s="599"/>
      <c r="T22" s="599"/>
      <c r="U22" s="599"/>
      <c r="V22" s="599"/>
      <c r="W22" s="151"/>
      <c r="X22" s="151"/>
    </row>
    <row r="23" spans="1:24">
      <c r="A23" s="591"/>
      <c r="B23" s="600"/>
      <c r="C23" s="602"/>
      <c r="D23" s="601"/>
      <c r="E23" s="601"/>
      <c r="F23" s="601"/>
      <c r="G23" s="601"/>
      <c r="H23" s="601"/>
      <c r="I23" s="602"/>
      <c r="J23" s="602"/>
      <c r="K23" s="601"/>
      <c r="L23" s="601"/>
      <c r="M23" s="601"/>
      <c r="N23" s="602"/>
      <c r="O23" s="602"/>
      <c r="P23" s="602"/>
      <c r="Q23" s="601"/>
      <c r="R23" s="602"/>
      <c r="S23" s="602"/>
      <c r="T23" s="602"/>
      <c r="U23" s="602"/>
      <c r="V23" s="602"/>
      <c r="W23" s="606"/>
      <c r="X23" s="606"/>
    </row>
    <row r="24" spans="1:24">
      <c r="A24" s="591"/>
      <c r="B24" s="589"/>
      <c r="C24" s="596"/>
      <c r="D24" s="597"/>
      <c r="E24" s="597"/>
      <c r="F24" s="597"/>
      <c r="G24" s="597"/>
      <c r="H24" s="597"/>
      <c r="I24" s="596"/>
      <c r="J24" s="596"/>
      <c r="K24" s="597"/>
      <c r="L24" s="597"/>
      <c r="M24" s="597"/>
      <c r="N24" s="596"/>
      <c r="O24" s="596"/>
      <c r="P24" s="596"/>
      <c r="Q24" s="597"/>
      <c r="R24" s="596"/>
      <c r="S24" s="596"/>
      <c r="T24" s="596"/>
      <c r="U24" s="596"/>
      <c r="V24" s="596"/>
      <c r="W24" s="151"/>
      <c r="X24" s="151"/>
    </row>
    <row r="25" spans="1:24">
      <c r="A25" s="591"/>
      <c r="B25" s="598"/>
      <c r="C25" s="599"/>
      <c r="D25" s="151"/>
      <c r="E25" s="151"/>
      <c r="F25" s="151"/>
      <c r="G25" s="151"/>
      <c r="H25" s="151"/>
      <c r="I25" s="599"/>
      <c r="J25" s="599"/>
      <c r="K25" s="151"/>
      <c r="L25" s="151"/>
      <c r="M25" s="151"/>
      <c r="N25" s="599"/>
      <c r="O25" s="599"/>
      <c r="P25" s="599"/>
      <c r="Q25" s="151"/>
      <c r="R25" s="599"/>
      <c r="S25" s="599"/>
      <c r="T25" s="599"/>
      <c r="U25" s="599"/>
      <c r="V25" s="599"/>
      <c r="W25" s="151"/>
      <c r="X25" s="151"/>
    </row>
    <row r="26" spans="1:24">
      <c r="A26" s="591"/>
      <c r="B26" s="600"/>
      <c r="C26" s="602"/>
      <c r="D26" s="601"/>
      <c r="E26" s="601"/>
      <c r="F26" s="601"/>
      <c r="G26" s="601"/>
      <c r="H26" s="601"/>
      <c r="I26" s="602"/>
      <c r="J26" s="602"/>
      <c r="K26" s="601"/>
      <c r="L26" s="601"/>
      <c r="M26" s="601"/>
      <c r="N26" s="602"/>
      <c r="O26" s="602"/>
      <c r="P26" s="602"/>
      <c r="Q26" s="601"/>
      <c r="R26" s="602"/>
      <c r="S26" s="602"/>
      <c r="T26" s="602"/>
      <c r="U26" s="602"/>
      <c r="V26" s="602"/>
      <c r="W26" s="606"/>
      <c r="X26" s="606"/>
    </row>
    <row r="27" spans="1:24">
      <c r="A27" s="595"/>
      <c r="B27" s="589"/>
      <c r="C27" s="596"/>
      <c r="D27" s="597"/>
      <c r="E27" s="597"/>
      <c r="F27" s="597"/>
      <c r="G27" s="597"/>
      <c r="H27" s="597"/>
      <c r="I27" s="596"/>
      <c r="J27" s="596"/>
      <c r="K27" s="597"/>
      <c r="L27" s="597"/>
      <c r="M27" s="597"/>
      <c r="N27" s="596"/>
      <c r="O27" s="596"/>
      <c r="P27" s="596"/>
      <c r="Q27" s="597"/>
      <c r="R27" s="596"/>
      <c r="S27" s="596"/>
      <c r="T27" s="596"/>
      <c r="U27" s="596"/>
      <c r="V27" s="596"/>
      <c r="W27" s="151"/>
      <c r="X27" s="151"/>
    </row>
    <row r="28" spans="1:24">
      <c r="A28" s="591"/>
      <c r="B28" s="598"/>
      <c r="C28" s="599"/>
      <c r="D28" s="151"/>
      <c r="E28" s="151"/>
      <c r="F28" s="151"/>
      <c r="G28" s="151"/>
      <c r="H28" s="151"/>
      <c r="I28" s="599"/>
      <c r="J28" s="599"/>
      <c r="K28" s="151"/>
      <c r="L28" s="151"/>
      <c r="M28" s="151"/>
      <c r="N28" s="599"/>
      <c r="O28" s="599"/>
      <c r="P28" s="599"/>
      <c r="Q28" s="151"/>
      <c r="R28" s="599"/>
      <c r="S28" s="599"/>
      <c r="T28" s="599"/>
      <c r="U28" s="599"/>
      <c r="V28" s="599"/>
      <c r="W28" s="151"/>
      <c r="X28" s="151"/>
    </row>
    <row r="29" spans="1:24">
      <c r="A29" s="591"/>
      <c r="B29" s="600"/>
      <c r="C29" s="602"/>
      <c r="D29" s="601"/>
      <c r="E29" s="601"/>
      <c r="F29" s="601"/>
      <c r="G29" s="601"/>
      <c r="H29" s="601"/>
      <c r="I29" s="602"/>
      <c r="J29" s="602"/>
      <c r="K29" s="601"/>
      <c r="L29" s="601"/>
      <c r="M29" s="601"/>
      <c r="N29" s="602"/>
      <c r="O29" s="602"/>
      <c r="P29" s="602"/>
      <c r="Q29" s="601"/>
      <c r="R29" s="602"/>
      <c r="S29" s="602"/>
      <c r="T29" s="602"/>
      <c r="U29" s="602"/>
      <c r="V29" s="602"/>
      <c r="W29" s="606"/>
      <c r="X29" s="606"/>
    </row>
    <row r="30" spans="1:24">
      <c r="A30" s="591"/>
      <c r="B30" s="589"/>
      <c r="C30" s="596"/>
      <c r="D30" s="597"/>
      <c r="E30" s="597"/>
      <c r="F30" s="597"/>
      <c r="G30" s="597"/>
      <c r="H30" s="597"/>
      <c r="I30" s="596"/>
      <c r="J30" s="596"/>
      <c r="K30" s="597"/>
      <c r="L30" s="597"/>
      <c r="M30" s="597"/>
      <c r="N30" s="596"/>
      <c r="O30" s="596"/>
      <c r="P30" s="596"/>
      <c r="Q30" s="597"/>
      <c r="R30" s="596"/>
      <c r="S30" s="596"/>
      <c r="T30" s="596"/>
      <c r="U30" s="596"/>
      <c r="V30" s="596"/>
      <c r="W30" s="151"/>
      <c r="X30" s="151"/>
    </row>
    <row r="31" spans="1:24">
      <c r="A31" s="591"/>
      <c r="B31" s="598"/>
      <c r="C31" s="599"/>
      <c r="D31" s="151"/>
      <c r="E31" s="151"/>
      <c r="F31" s="151"/>
      <c r="G31" s="151"/>
      <c r="H31" s="151"/>
      <c r="I31" s="599"/>
      <c r="J31" s="599"/>
      <c r="K31" s="151"/>
      <c r="L31" s="151"/>
      <c r="M31" s="151"/>
      <c r="N31" s="599"/>
      <c r="O31" s="599"/>
      <c r="P31" s="599"/>
      <c r="Q31" s="151"/>
      <c r="R31" s="599"/>
      <c r="S31" s="599"/>
      <c r="T31" s="599"/>
      <c r="U31" s="599"/>
      <c r="V31" s="599"/>
      <c r="W31" s="151"/>
      <c r="X31" s="151"/>
    </row>
    <row r="32" spans="1:24">
      <c r="A32" s="591"/>
      <c r="B32" s="600"/>
      <c r="C32" s="602"/>
      <c r="D32" s="601"/>
      <c r="E32" s="601"/>
      <c r="F32" s="601"/>
      <c r="G32" s="601"/>
      <c r="H32" s="601"/>
      <c r="I32" s="602"/>
      <c r="J32" s="602"/>
      <c r="K32" s="601"/>
      <c r="L32" s="601"/>
      <c r="M32" s="601"/>
      <c r="N32" s="602"/>
      <c r="O32" s="602"/>
      <c r="P32" s="602"/>
      <c r="Q32" s="601"/>
      <c r="R32" s="602"/>
      <c r="S32" s="602"/>
      <c r="T32" s="602"/>
      <c r="U32" s="602"/>
      <c r="V32" s="602"/>
      <c r="W32" s="606"/>
      <c r="X32" s="606"/>
    </row>
    <row r="33" spans="1:24">
      <c r="A33" s="591"/>
      <c r="B33" s="589"/>
      <c r="C33" s="596"/>
      <c r="D33" s="597"/>
      <c r="E33" s="597"/>
      <c r="F33" s="597"/>
      <c r="G33" s="597"/>
      <c r="H33" s="597"/>
      <c r="I33" s="596"/>
      <c r="J33" s="596"/>
      <c r="K33" s="597"/>
      <c r="L33" s="597"/>
      <c r="M33" s="597"/>
      <c r="N33" s="596"/>
      <c r="O33" s="596"/>
      <c r="P33" s="596"/>
      <c r="Q33" s="597"/>
      <c r="R33" s="596"/>
      <c r="S33" s="596"/>
      <c r="T33" s="596"/>
      <c r="U33" s="596"/>
      <c r="V33" s="596"/>
      <c r="W33" s="151"/>
      <c r="X33" s="151"/>
    </row>
    <row r="34" spans="1:24">
      <c r="A34" s="591"/>
      <c r="B34" s="598"/>
      <c r="C34" s="599"/>
      <c r="D34" s="151"/>
      <c r="E34" s="151"/>
      <c r="F34" s="151"/>
      <c r="G34" s="151"/>
      <c r="H34" s="151"/>
      <c r="I34" s="599"/>
      <c r="J34" s="599"/>
      <c r="K34" s="151"/>
      <c r="L34" s="151"/>
      <c r="M34" s="151"/>
      <c r="N34" s="599"/>
      <c r="O34" s="599"/>
      <c r="P34" s="599"/>
      <c r="Q34" s="151"/>
      <c r="R34" s="599"/>
      <c r="S34" s="599"/>
      <c r="T34" s="599"/>
      <c r="U34" s="599"/>
      <c r="V34" s="599"/>
      <c r="W34" s="151"/>
      <c r="X34" s="151"/>
    </row>
    <row r="35" spans="1:24">
      <c r="A35" s="591"/>
      <c r="B35" s="600"/>
      <c r="C35" s="602"/>
      <c r="D35" s="601"/>
      <c r="E35" s="601"/>
      <c r="F35" s="601"/>
      <c r="G35" s="601"/>
      <c r="H35" s="601"/>
      <c r="I35" s="602"/>
      <c r="J35" s="602"/>
      <c r="K35" s="601"/>
      <c r="L35" s="601"/>
      <c r="M35" s="601"/>
      <c r="N35" s="602"/>
      <c r="O35" s="602"/>
      <c r="P35" s="602"/>
      <c r="Q35" s="601"/>
      <c r="R35" s="602"/>
      <c r="S35" s="602"/>
      <c r="T35" s="602"/>
      <c r="U35" s="602"/>
      <c r="V35" s="602"/>
      <c r="W35" s="606"/>
      <c r="X35" s="606"/>
    </row>
    <row r="36" spans="1:24">
      <c r="A36" s="591"/>
      <c r="B36" s="589"/>
      <c r="C36" s="596"/>
      <c r="D36" s="597"/>
      <c r="E36" s="597"/>
      <c r="F36" s="597"/>
      <c r="G36" s="597"/>
      <c r="H36" s="597"/>
      <c r="I36" s="596"/>
      <c r="J36" s="596"/>
      <c r="K36" s="597"/>
      <c r="L36" s="597"/>
      <c r="M36" s="597"/>
      <c r="N36" s="596"/>
      <c r="O36" s="596"/>
      <c r="P36" s="596"/>
      <c r="Q36" s="597"/>
      <c r="R36" s="596"/>
      <c r="S36" s="596"/>
      <c r="T36" s="596"/>
      <c r="U36" s="596"/>
      <c r="V36" s="596"/>
      <c r="W36" s="151"/>
      <c r="X36" s="151"/>
    </row>
    <row r="37" spans="1:24">
      <c r="A37" s="591"/>
      <c r="B37" s="598"/>
      <c r="C37" s="599"/>
      <c r="D37" s="151"/>
      <c r="E37" s="151"/>
      <c r="F37" s="151"/>
      <c r="G37" s="151"/>
      <c r="H37" s="151"/>
      <c r="I37" s="599"/>
      <c r="J37" s="599"/>
      <c r="K37" s="151"/>
      <c r="L37" s="151"/>
      <c r="M37" s="151"/>
      <c r="N37" s="599"/>
      <c r="O37" s="599"/>
      <c r="P37" s="599"/>
      <c r="Q37" s="151"/>
      <c r="R37" s="599"/>
      <c r="S37" s="599"/>
      <c r="T37" s="599"/>
      <c r="U37" s="599"/>
      <c r="V37" s="599"/>
      <c r="W37" s="151"/>
      <c r="X37" s="151"/>
    </row>
    <row r="38" spans="1:24">
      <c r="A38" s="591"/>
      <c r="B38" s="600"/>
      <c r="C38" s="602"/>
      <c r="D38" s="601"/>
      <c r="E38" s="601"/>
      <c r="F38" s="601"/>
      <c r="G38" s="601"/>
      <c r="H38" s="601"/>
      <c r="I38" s="602"/>
      <c r="J38" s="602"/>
      <c r="K38" s="601"/>
      <c r="L38" s="601"/>
      <c r="M38" s="601"/>
      <c r="N38" s="602"/>
      <c r="O38" s="602"/>
      <c r="P38" s="602"/>
      <c r="Q38" s="601"/>
      <c r="R38" s="602"/>
      <c r="S38" s="602"/>
      <c r="T38" s="602"/>
      <c r="U38" s="602"/>
      <c r="V38" s="602"/>
      <c r="W38" s="606"/>
      <c r="X38" s="606"/>
    </row>
    <row r="39" spans="1:24">
      <c r="A39" s="591"/>
      <c r="B39" s="589"/>
      <c r="C39" s="596"/>
      <c r="D39" s="597"/>
      <c r="E39" s="597"/>
      <c r="F39" s="597"/>
      <c r="G39" s="597"/>
      <c r="H39" s="597"/>
      <c r="I39" s="596"/>
      <c r="J39" s="596"/>
      <c r="K39" s="597"/>
      <c r="L39" s="597"/>
      <c r="M39" s="597"/>
      <c r="N39" s="596"/>
      <c r="O39" s="596"/>
      <c r="P39" s="596"/>
      <c r="Q39" s="597"/>
      <c r="R39" s="596"/>
      <c r="S39" s="596"/>
      <c r="T39" s="596"/>
      <c r="U39" s="596"/>
      <c r="V39" s="596"/>
      <c r="W39" s="151"/>
      <c r="X39" s="151"/>
    </row>
    <row r="40" spans="1:24">
      <c r="A40" s="591"/>
      <c r="B40" s="598"/>
      <c r="C40" s="599"/>
      <c r="D40" s="151"/>
      <c r="E40" s="151"/>
      <c r="F40" s="151"/>
      <c r="G40" s="151"/>
      <c r="H40" s="151"/>
      <c r="I40" s="599"/>
      <c r="J40" s="599"/>
      <c r="K40" s="151"/>
      <c r="L40" s="151"/>
      <c r="M40" s="151"/>
      <c r="N40" s="599"/>
      <c r="O40" s="599"/>
      <c r="P40" s="599"/>
      <c r="Q40" s="151"/>
      <c r="R40" s="599"/>
      <c r="S40" s="599"/>
      <c r="T40" s="599"/>
      <c r="U40" s="599"/>
      <c r="V40" s="599"/>
      <c r="W40" s="151"/>
      <c r="X40" s="151"/>
    </row>
    <row r="41" spans="1:24">
      <c r="A41" s="591"/>
      <c r="B41" s="600"/>
      <c r="C41" s="602"/>
      <c r="D41" s="601"/>
      <c r="E41" s="601"/>
      <c r="F41" s="601"/>
      <c r="G41" s="601"/>
      <c r="H41" s="601"/>
      <c r="I41" s="602"/>
      <c r="J41" s="602"/>
      <c r="K41" s="601"/>
      <c r="L41" s="601"/>
      <c r="M41" s="601"/>
      <c r="N41" s="602"/>
      <c r="O41" s="602"/>
      <c r="P41" s="602"/>
      <c r="Q41" s="601"/>
      <c r="R41" s="602"/>
      <c r="S41" s="602"/>
      <c r="T41" s="602"/>
      <c r="U41" s="602"/>
      <c r="V41" s="602"/>
      <c r="W41" s="606"/>
      <c r="X41" s="606"/>
    </row>
    <row r="42" spans="1:24">
      <c r="A42" s="591"/>
      <c r="B42" s="589"/>
      <c r="C42" s="596"/>
      <c r="D42" s="597"/>
      <c r="E42" s="597"/>
      <c r="F42" s="597"/>
      <c r="G42" s="597"/>
      <c r="H42" s="597"/>
      <c r="I42" s="596"/>
      <c r="J42" s="596"/>
      <c r="K42" s="597"/>
      <c r="L42" s="597"/>
      <c r="M42" s="597"/>
      <c r="N42" s="596"/>
      <c r="O42" s="596"/>
      <c r="P42" s="596"/>
      <c r="Q42" s="597"/>
      <c r="R42" s="596"/>
      <c r="S42" s="596"/>
      <c r="T42" s="596"/>
      <c r="U42" s="596"/>
      <c r="V42" s="596"/>
      <c r="W42" s="151"/>
      <c r="X42" s="151"/>
    </row>
    <row r="43" spans="1:24">
      <c r="A43" s="591"/>
      <c r="B43" s="598"/>
      <c r="C43" s="599"/>
      <c r="D43" s="151"/>
      <c r="E43" s="151"/>
      <c r="F43" s="151"/>
      <c r="G43" s="151"/>
      <c r="H43" s="151"/>
      <c r="I43" s="599"/>
      <c r="J43" s="599"/>
      <c r="K43" s="151"/>
      <c r="L43" s="151"/>
      <c r="M43" s="151"/>
      <c r="N43" s="599"/>
      <c r="O43" s="599"/>
      <c r="P43" s="599"/>
      <c r="Q43" s="151"/>
      <c r="R43" s="599"/>
      <c r="S43" s="599"/>
      <c r="T43" s="599"/>
      <c r="U43" s="599"/>
      <c r="V43" s="599"/>
      <c r="W43" s="151"/>
      <c r="X43" s="151"/>
    </row>
    <row r="44" spans="1:24">
      <c r="A44" s="591"/>
      <c r="B44" s="600"/>
      <c r="C44" s="602"/>
      <c r="D44" s="601"/>
      <c r="E44" s="601"/>
      <c r="F44" s="601"/>
      <c r="G44" s="601"/>
      <c r="H44" s="601"/>
      <c r="I44" s="602"/>
      <c r="J44" s="602"/>
      <c r="K44" s="601"/>
      <c r="L44" s="601"/>
      <c r="M44" s="601"/>
      <c r="N44" s="602"/>
      <c r="O44" s="602"/>
      <c r="P44" s="602"/>
      <c r="Q44" s="601"/>
      <c r="R44" s="602"/>
      <c r="S44" s="602"/>
      <c r="T44" s="602"/>
      <c r="U44" s="602"/>
      <c r="V44" s="602"/>
      <c r="W44" s="606"/>
      <c r="X44" s="606"/>
    </row>
    <row r="45" spans="1:24">
      <c r="A45" s="591"/>
      <c r="B45" s="589"/>
      <c r="C45" s="596"/>
      <c r="D45" s="597"/>
      <c r="E45" s="597"/>
      <c r="F45" s="597"/>
      <c r="G45" s="597"/>
      <c r="H45" s="597"/>
      <c r="I45" s="596"/>
      <c r="J45" s="596"/>
      <c r="K45" s="597"/>
      <c r="L45" s="597"/>
      <c r="M45" s="597"/>
      <c r="N45" s="596"/>
      <c r="O45" s="596"/>
      <c r="P45" s="596"/>
      <c r="Q45" s="597"/>
      <c r="R45" s="596"/>
      <c r="S45" s="596"/>
      <c r="T45" s="596"/>
      <c r="U45" s="596"/>
      <c r="V45" s="596"/>
      <c r="W45" s="151"/>
      <c r="X45" s="151"/>
    </row>
    <row r="46" spans="1:24">
      <c r="A46" s="591"/>
      <c r="B46" s="598"/>
      <c r="C46" s="599"/>
      <c r="D46" s="151"/>
      <c r="E46" s="151"/>
      <c r="F46" s="151"/>
      <c r="G46" s="151"/>
      <c r="H46" s="151"/>
      <c r="I46" s="599"/>
      <c r="J46" s="599"/>
      <c r="K46" s="151"/>
      <c r="L46" s="151"/>
      <c r="M46" s="151"/>
      <c r="N46" s="599"/>
      <c r="O46" s="599"/>
      <c r="P46" s="599"/>
      <c r="Q46" s="151"/>
      <c r="R46" s="599"/>
      <c r="S46" s="599"/>
      <c r="T46" s="599"/>
      <c r="U46" s="599"/>
      <c r="V46" s="599"/>
      <c r="W46" s="151"/>
      <c r="X46" s="151"/>
    </row>
    <row r="47" spans="1:24">
      <c r="A47" s="591"/>
      <c r="B47" s="600"/>
      <c r="C47" s="602"/>
      <c r="D47" s="601"/>
      <c r="E47" s="601"/>
      <c r="F47" s="601"/>
      <c r="G47" s="601"/>
      <c r="H47" s="601"/>
      <c r="I47" s="602"/>
      <c r="J47" s="602"/>
      <c r="K47" s="601"/>
      <c r="L47" s="601"/>
      <c r="M47" s="601"/>
      <c r="N47" s="602"/>
      <c r="O47" s="602"/>
      <c r="P47" s="602"/>
      <c r="Q47" s="601"/>
      <c r="R47" s="602"/>
      <c r="S47" s="602"/>
      <c r="T47" s="602"/>
      <c r="U47" s="602"/>
      <c r="V47" s="602"/>
      <c r="W47" s="606"/>
      <c r="X47" s="606"/>
    </row>
    <row r="48" spans="1:24">
      <c r="A48" s="595"/>
      <c r="B48" s="589"/>
      <c r="C48" s="596"/>
      <c r="D48" s="597"/>
      <c r="E48" s="597"/>
      <c r="F48" s="597"/>
      <c r="G48" s="597"/>
      <c r="H48" s="597"/>
      <c r="I48" s="596"/>
      <c r="J48" s="596"/>
      <c r="K48" s="597"/>
      <c r="L48" s="597"/>
      <c r="M48" s="597"/>
      <c r="N48" s="596"/>
      <c r="O48" s="596"/>
      <c r="P48" s="596"/>
      <c r="Q48" s="597"/>
      <c r="R48" s="596"/>
      <c r="S48" s="596"/>
      <c r="T48" s="596"/>
      <c r="U48" s="596"/>
      <c r="V48" s="596"/>
      <c r="W48" s="151"/>
      <c r="X48" s="151"/>
    </row>
    <row r="49" spans="1:24">
      <c r="A49" s="591"/>
      <c r="B49" s="598"/>
      <c r="C49" s="599"/>
      <c r="D49" s="151"/>
      <c r="E49" s="151"/>
      <c r="F49" s="151"/>
      <c r="G49" s="151"/>
      <c r="H49" s="151"/>
      <c r="I49" s="599"/>
      <c r="J49" s="599"/>
      <c r="K49" s="151"/>
      <c r="L49" s="151"/>
      <c r="M49" s="151"/>
      <c r="N49" s="599"/>
      <c r="O49" s="599"/>
      <c r="P49" s="599"/>
      <c r="Q49" s="151"/>
      <c r="R49" s="599"/>
      <c r="S49" s="599"/>
      <c r="T49" s="599"/>
      <c r="U49" s="599"/>
      <c r="V49" s="599"/>
      <c r="W49" s="151"/>
      <c r="X49" s="151"/>
    </row>
    <row r="50" spans="1:24">
      <c r="A50" s="591"/>
      <c r="B50" s="600"/>
      <c r="C50" s="602"/>
      <c r="D50" s="601"/>
      <c r="E50" s="601"/>
      <c r="F50" s="601"/>
      <c r="G50" s="601"/>
      <c r="H50" s="601"/>
      <c r="I50" s="602"/>
      <c r="J50" s="602"/>
      <c r="K50" s="601"/>
      <c r="L50" s="601"/>
      <c r="M50" s="601"/>
      <c r="N50" s="602"/>
      <c r="O50" s="602"/>
      <c r="P50" s="602"/>
      <c r="Q50" s="601"/>
      <c r="R50" s="602"/>
      <c r="S50" s="602"/>
      <c r="T50" s="602"/>
      <c r="U50" s="602"/>
      <c r="V50" s="602"/>
      <c r="W50" s="606"/>
      <c r="X50" s="606"/>
    </row>
    <row r="51" spans="1:24">
      <c r="A51" s="591"/>
      <c r="B51" s="589"/>
      <c r="C51" s="596"/>
      <c r="D51" s="597"/>
      <c r="E51" s="597"/>
      <c r="F51" s="597"/>
      <c r="G51" s="597"/>
      <c r="H51" s="597"/>
      <c r="I51" s="596"/>
      <c r="J51" s="596"/>
      <c r="K51" s="597"/>
      <c r="L51" s="597"/>
      <c r="M51" s="597"/>
      <c r="N51" s="596"/>
      <c r="O51" s="596"/>
      <c r="P51" s="596"/>
      <c r="Q51" s="597"/>
      <c r="R51" s="596"/>
      <c r="S51" s="596"/>
      <c r="T51" s="596"/>
      <c r="U51" s="596"/>
      <c r="V51" s="596"/>
      <c r="W51" s="151"/>
      <c r="X51" s="151"/>
    </row>
    <row r="52" spans="1:24">
      <c r="A52" s="591"/>
      <c r="B52" s="598"/>
      <c r="C52" s="599"/>
      <c r="D52" s="151"/>
      <c r="E52" s="151"/>
      <c r="F52" s="151"/>
      <c r="G52" s="151"/>
      <c r="H52" s="151"/>
      <c r="I52" s="599"/>
      <c r="J52" s="599"/>
      <c r="K52" s="151"/>
      <c r="L52" s="151"/>
      <c r="M52" s="151"/>
      <c r="N52" s="599"/>
      <c r="O52" s="599"/>
      <c r="P52" s="599"/>
      <c r="Q52" s="151"/>
      <c r="R52" s="599"/>
      <c r="S52" s="599"/>
      <c r="T52" s="599"/>
      <c r="U52" s="599"/>
      <c r="V52" s="599"/>
      <c r="W52" s="151"/>
      <c r="X52" s="151"/>
    </row>
    <row r="53" spans="1:24">
      <c r="A53" s="591"/>
      <c r="B53" s="600"/>
      <c r="C53" s="602"/>
      <c r="D53" s="601"/>
      <c r="E53" s="601"/>
      <c r="F53" s="601"/>
      <c r="G53" s="601"/>
      <c r="H53" s="601"/>
      <c r="I53" s="602"/>
      <c r="J53" s="602"/>
      <c r="K53" s="601"/>
      <c r="L53" s="601"/>
      <c r="M53" s="601"/>
      <c r="N53" s="602"/>
      <c r="O53" s="602"/>
      <c r="P53" s="602"/>
      <c r="Q53" s="601"/>
      <c r="R53" s="602"/>
      <c r="S53" s="602"/>
      <c r="T53" s="602"/>
      <c r="U53" s="602"/>
      <c r="V53" s="602"/>
      <c r="W53" s="606"/>
      <c r="X53" s="606"/>
    </row>
    <row r="54" spans="1:24">
      <c r="A54" s="591"/>
      <c r="B54" s="589"/>
      <c r="C54" s="596"/>
      <c r="D54" s="597"/>
      <c r="E54" s="597"/>
      <c r="F54" s="597"/>
      <c r="G54" s="597"/>
      <c r="H54" s="597"/>
      <c r="I54" s="596"/>
      <c r="J54" s="596"/>
      <c r="K54" s="597"/>
      <c r="L54" s="597"/>
      <c r="M54" s="597"/>
      <c r="N54" s="596"/>
      <c r="O54" s="596"/>
      <c r="P54" s="596"/>
      <c r="Q54" s="597"/>
      <c r="R54" s="596"/>
      <c r="S54" s="596"/>
      <c r="T54" s="596"/>
      <c r="U54" s="596"/>
      <c r="V54" s="596"/>
      <c r="W54" s="151"/>
      <c r="X54" s="151"/>
    </row>
    <row r="55" spans="1:24">
      <c r="A55" s="591"/>
      <c r="B55" s="598"/>
      <c r="C55" s="599"/>
      <c r="D55" s="151"/>
      <c r="E55" s="151"/>
      <c r="F55" s="151"/>
      <c r="G55" s="151"/>
      <c r="H55" s="151"/>
      <c r="I55" s="599"/>
      <c r="J55" s="599"/>
      <c r="K55" s="151"/>
      <c r="L55" s="151"/>
      <c r="M55" s="151"/>
      <c r="N55" s="599"/>
      <c r="O55" s="599"/>
      <c r="P55" s="599"/>
      <c r="Q55" s="151"/>
      <c r="R55" s="599"/>
      <c r="S55" s="599"/>
      <c r="T55" s="599"/>
      <c r="U55" s="599"/>
      <c r="V55" s="599"/>
      <c r="W55" s="151"/>
      <c r="X55" s="151"/>
    </row>
    <row r="56" spans="1:24">
      <c r="A56" s="591"/>
      <c r="B56" s="600"/>
      <c r="C56" s="602"/>
      <c r="D56" s="601"/>
      <c r="E56" s="601"/>
      <c r="F56" s="601"/>
      <c r="G56" s="601"/>
      <c r="H56" s="601"/>
      <c r="I56" s="602"/>
      <c r="J56" s="602"/>
      <c r="K56" s="601"/>
      <c r="L56" s="601"/>
      <c r="M56" s="601"/>
      <c r="N56" s="602"/>
      <c r="O56" s="602"/>
      <c r="P56" s="602"/>
      <c r="Q56" s="601"/>
      <c r="R56" s="602"/>
      <c r="S56" s="602"/>
      <c r="T56" s="602"/>
      <c r="U56" s="602"/>
      <c r="V56" s="602"/>
      <c r="W56" s="606"/>
      <c r="X56" s="606"/>
    </row>
    <row r="57" spans="1:24">
      <c r="A57" s="591"/>
      <c r="B57" s="589"/>
      <c r="C57" s="596"/>
      <c r="D57" s="597"/>
      <c r="E57" s="597"/>
      <c r="F57" s="597"/>
      <c r="G57" s="597"/>
      <c r="H57" s="597"/>
      <c r="I57" s="596"/>
      <c r="J57" s="596"/>
      <c r="K57" s="597"/>
      <c r="L57" s="597"/>
      <c r="M57" s="597"/>
      <c r="N57" s="596"/>
      <c r="O57" s="596"/>
      <c r="P57" s="596"/>
      <c r="Q57" s="597"/>
      <c r="R57" s="596"/>
      <c r="S57" s="596"/>
      <c r="T57" s="596"/>
      <c r="U57" s="596"/>
      <c r="V57" s="596"/>
      <c r="W57" s="151"/>
      <c r="X57" s="151"/>
    </row>
    <row r="58" spans="1:24">
      <c r="A58" s="591"/>
      <c r="B58" s="598"/>
      <c r="C58" s="599"/>
      <c r="D58" s="151"/>
      <c r="E58" s="151"/>
      <c r="F58" s="151"/>
      <c r="G58" s="151"/>
      <c r="H58" s="151"/>
      <c r="I58" s="599"/>
      <c r="J58" s="599"/>
      <c r="K58" s="151"/>
      <c r="L58" s="151"/>
      <c r="M58" s="151"/>
      <c r="N58" s="599"/>
      <c r="O58" s="599"/>
      <c r="P58" s="599"/>
      <c r="Q58" s="151"/>
      <c r="R58" s="599"/>
      <c r="S58" s="599"/>
      <c r="T58" s="599"/>
      <c r="U58" s="599"/>
      <c r="V58" s="599"/>
      <c r="W58" s="151"/>
      <c r="X58" s="151"/>
    </row>
    <row r="59" spans="1:24">
      <c r="A59" s="591"/>
      <c r="B59" s="600"/>
      <c r="C59" s="602"/>
      <c r="D59" s="601"/>
      <c r="E59" s="601"/>
      <c r="F59" s="601"/>
      <c r="G59" s="601"/>
      <c r="H59" s="601"/>
      <c r="I59" s="602"/>
      <c r="J59" s="602"/>
      <c r="K59" s="601"/>
      <c r="L59" s="601"/>
      <c r="M59" s="601"/>
      <c r="N59" s="602"/>
      <c r="O59" s="602"/>
      <c r="P59" s="602"/>
      <c r="Q59" s="601"/>
      <c r="R59" s="602"/>
      <c r="S59" s="602"/>
      <c r="T59" s="602"/>
      <c r="U59" s="602"/>
      <c r="V59" s="602"/>
      <c r="W59" s="606"/>
      <c r="X59" s="606"/>
    </row>
    <row r="60" spans="1:24">
      <c r="A60" s="591"/>
      <c r="B60" s="589"/>
      <c r="C60" s="596"/>
      <c r="D60" s="597"/>
      <c r="E60" s="597"/>
      <c r="F60" s="597"/>
      <c r="G60" s="597"/>
      <c r="H60" s="597"/>
      <c r="I60" s="596"/>
      <c r="J60" s="596"/>
      <c r="K60" s="597"/>
      <c r="L60" s="597"/>
      <c r="M60" s="597"/>
      <c r="N60" s="596"/>
      <c r="O60" s="596"/>
      <c r="P60" s="596"/>
      <c r="Q60" s="597"/>
      <c r="R60" s="596"/>
      <c r="S60" s="596"/>
      <c r="T60" s="596"/>
      <c r="U60" s="596"/>
      <c r="V60" s="596"/>
      <c r="W60" s="151"/>
      <c r="X60" s="151"/>
    </row>
    <row r="61" spans="1:24">
      <c r="A61" s="591"/>
      <c r="B61" s="598"/>
      <c r="C61" s="599"/>
      <c r="D61" s="151"/>
      <c r="E61" s="151"/>
      <c r="F61" s="151"/>
      <c r="G61" s="151"/>
      <c r="H61" s="151"/>
      <c r="I61" s="599"/>
      <c r="J61" s="599"/>
      <c r="K61" s="151"/>
      <c r="L61" s="151"/>
      <c r="M61" s="151"/>
      <c r="N61" s="599"/>
      <c r="O61" s="599"/>
      <c r="P61" s="599"/>
      <c r="Q61" s="151"/>
      <c r="R61" s="599"/>
      <c r="S61" s="599"/>
      <c r="T61" s="599"/>
      <c r="U61" s="599"/>
      <c r="V61" s="599"/>
      <c r="W61" s="151"/>
      <c r="X61" s="151"/>
    </row>
    <row r="62" spans="1:24">
      <c r="A62" s="591"/>
      <c r="B62" s="600"/>
      <c r="C62" s="602"/>
      <c r="D62" s="601"/>
      <c r="E62" s="601"/>
      <c r="F62" s="601"/>
      <c r="G62" s="601"/>
      <c r="H62" s="601"/>
      <c r="I62" s="602"/>
      <c r="J62" s="602"/>
      <c r="K62" s="601"/>
      <c r="L62" s="601"/>
      <c r="M62" s="601"/>
      <c r="N62" s="602"/>
      <c r="O62" s="602"/>
      <c r="P62" s="602"/>
      <c r="Q62" s="601"/>
      <c r="R62" s="602"/>
      <c r="S62" s="602"/>
      <c r="T62" s="602"/>
      <c r="U62" s="602"/>
      <c r="V62" s="602"/>
      <c r="W62" s="606"/>
      <c r="X62" s="606"/>
    </row>
    <row r="63" spans="1:24">
      <c r="A63" s="591"/>
      <c r="B63" s="589"/>
      <c r="C63" s="596"/>
      <c r="D63" s="597"/>
      <c r="E63" s="597"/>
      <c r="F63" s="597"/>
      <c r="G63" s="597"/>
      <c r="H63" s="597"/>
      <c r="I63" s="596"/>
      <c r="J63" s="596"/>
      <c r="K63" s="597"/>
      <c r="L63" s="597"/>
      <c r="M63" s="597"/>
      <c r="N63" s="596"/>
      <c r="O63" s="596"/>
      <c r="P63" s="596"/>
      <c r="Q63" s="597"/>
      <c r="R63" s="596"/>
      <c r="S63" s="596"/>
      <c r="T63" s="596"/>
      <c r="U63" s="596"/>
      <c r="V63" s="596"/>
      <c r="W63" s="151"/>
      <c r="X63" s="151"/>
    </row>
    <row r="64" spans="1:24">
      <c r="A64" s="591"/>
      <c r="B64" s="598"/>
      <c r="C64" s="599"/>
      <c r="D64" s="151"/>
      <c r="E64" s="151"/>
      <c r="F64" s="151"/>
      <c r="G64" s="151"/>
      <c r="H64" s="151"/>
      <c r="I64" s="599"/>
      <c r="J64" s="599"/>
      <c r="K64" s="151"/>
      <c r="L64" s="151"/>
      <c r="M64" s="151"/>
      <c r="N64" s="599"/>
      <c r="O64" s="599"/>
      <c r="P64" s="599"/>
      <c r="Q64" s="151"/>
      <c r="R64" s="599"/>
      <c r="S64" s="599"/>
      <c r="T64" s="599"/>
      <c r="U64" s="599"/>
      <c r="V64" s="599"/>
      <c r="W64" s="151"/>
      <c r="X64" s="151"/>
    </row>
    <row r="65" spans="1:24">
      <c r="A65" s="591"/>
      <c r="B65" s="600"/>
      <c r="C65" s="602"/>
      <c r="D65" s="601"/>
      <c r="E65" s="601"/>
      <c r="F65" s="601"/>
      <c r="G65" s="601"/>
      <c r="H65" s="601"/>
      <c r="I65" s="602"/>
      <c r="J65" s="602"/>
      <c r="K65" s="601"/>
      <c r="L65" s="601"/>
      <c r="M65" s="601"/>
      <c r="N65" s="602"/>
      <c r="O65" s="602"/>
      <c r="P65" s="602"/>
      <c r="Q65" s="601"/>
      <c r="R65" s="602"/>
      <c r="S65" s="602"/>
      <c r="T65" s="602"/>
      <c r="U65" s="602"/>
      <c r="V65" s="602"/>
      <c r="W65" s="606"/>
      <c r="X65" s="606"/>
    </row>
    <row r="66" spans="1:24">
      <c r="A66" s="591"/>
      <c r="B66" s="589"/>
      <c r="C66" s="596"/>
      <c r="D66" s="597"/>
      <c r="E66" s="597"/>
      <c r="F66" s="597"/>
      <c r="G66" s="597"/>
      <c r="H66" s="597"/>
      <c r="I66" s="596"/>
      <c r="J66" s="596"/>
      <c r="K66" s="597"/>
      <c r="L66" s="597"/>
      <c r="M66" s="597"/>
      <c r="N66" s="596"/>
      <c r="O66" s="596"/>
      <c r="P66" s="596"/>
      <c r="Q66" s="597"/>
      <c r="R66" s="596"/>
      <c r="S66" s="596"/>
      <c r="T66" s="596"/>
      <c r="U66" s="596"/>
      <c r="V66" s="596"/>
      <c r="W66" s="151"/>
      <c r="X66" s="151"/>
    </row>
    <row r="67" spans="1:24">
      <c r="A67" s="591"/>
      <c r="B67" s="598"/>
      <c r="C67" s="599"/>
      <c r="D67" s="151"/>
      <c r="E67" s="151"/>
      <c r="F67" s="151"/>
      <c r="G67" s="151"/>
      <c r="H67" s="151"/>
      <c r="I67" s="599"/>
      <c r="J67" s="599"/>
      <c r="K67" s="151"/>
      <c r="L67" s="151"/>
      <c r="M67" s="151"/>
      <c r="N67" s="599"/>
      <c r="O67" s="599"/>
      <c r="P67" s="599"/>
      <c r="Q67" s="151"/>
      <c r="R67" s="599"/>
      <c r="S67" s="599"/>
      <c r="T67" s="599"/>
      <c r="U67" s="599"/>
      <c r="V67" s="599"/>
      <c r="W67" s="151"/>
      <c r="X67" s="151"/>
    </row>
    <row r="68" spans="1:24">
      <c r="A68" s="591"/>
      <c r="B68" s="600"/>
      <c r="C68" s="602"/>
      <c r="D68" s="601"/>
      <c r="E68" s="601"/>
      <c r="F68" s="601"/>
      <c r="G68" s="601"/>
      <c r="H68" s="601"/>
      <c r="I68" s="602"/>
      <c r="J68" s="602"/>
      <c r="K68" s="601"/>
      <c r="L68" s="601"/>
      <c r="M68" s="601"/>
      <c r="N68" s="602"/>
      <c r="O68" s="602"/>
      <c r="P68" s="602"/>
      <c r="Q68" s="601"/>
      <c r="R68" s="602"/>
      <c r="S68" s="602"/>
      <c r="T68" s="602"/>
      <c r="U68" s="602"/>
      <c r="V68" s="602"/>
      <c r="W68" s="606"/>
      <c r="X68" s="606"/>
    </row>
    <row r="69" spans="1:24">
      <c r="A69" s="595"/>
      <c r="B69" s="589"/>
      <c r="C69" s="596"/>
      <c r="D69" s="597"/>
      <c r="E69" s="597"/>
      <c r="F69" s="597"/>
      <c r="G69" s="597"/>
      <c r="H69" s="597"/>
      <c r="I69" s="596"/>
      <c r="J69" s="596"/>
      <c r="K69" s="597"/>
      <c r="L69" s="597"/>
      <c r="M69" s="597"/>
      <c r="N69" s="596"/>
      <c r="O69" s="596"/>
      <c r="P69" s="596"/>
      <c r="Q69" s="597"/>
      <c r="R69" s="596"/>
      <c r="S69" s="596"/>
      <c r="T69" s="596"/>
      <c r="U69" s="596"/>
      <c r="V69" s="596"/>
      <c r="W69" s="151"/>
      <c r="X69" s="151"/>
    </row>
    <row r="70" spans="1:24">
      <c r="A70" s="591"/>
      <c r="B70" s="598"/>
      <c r="C70" s="599"/>
      <c r="D70" s="151"/>
      <c r="E70" s="151"/>
      <c r="F70" s="151"/>
      <c r="G70" s="151"/>
      <c r="H70" s="151"/>
      <c r="I70" s="599"/>
      <c r="J70" s="599"/>
      <c r="K70" s="151"/>
      <c r="L70" s="151"/>
      <c r="M70" s="151"/>
      <c r="N70" s="599"/>
      <c r="O70" s="599"/>
      <c r="P70" s="599"/>
      <c r="Q70" s="151"/>
      <c r="R70" s="599"/>
      <c r="S70" s="599"/>
      <c r="T70" s="599"/>
      <c r="U70" s="599"/>
      <c r="V70" s="599"/>
      <c r="W70" s="151"/>
      <c r="X70" s="151"/>
    </row>
    <row r="71" spans="1:24">
      <c r="A71" s="591"/>
      <c r="B71" s="600"/>
      <c r="C71" s="602"/>
      <c r="D71" s="601"/>
      <c r="E71" s="601"/>
      <c r="F71" s="601"/>
      <c r="G71" s="601"/>
      <c r="H71" s="601"/>
      <c r="I71" s="602"/>
      <c r="J71" s="602"/>
      <c r="K71" s="601"/>
      <c r="L71" s="601"/>
      <c r="M71" s="601"/>
      <c r="N71" s="602"/>
      <c r="O71" s="602"/>
      <c r="P71" s="602"/>
      <c r="Q71" s="601"/>
      <c r="R71" s="602"/>
      <c r="S71" s="602"/>
      <c r="T71" s="602"/>
      <c r="U71" s="602"/>
      <c r="V71" s="602"/>
      <c r="W71" s="606"/>
      <c r="X71" s="606"/>
    </row>
    <row r="72" spans="1:24">
      <c r="A72" s="591"/>
      <c r="B72" s="589"/>
      <c r="C72" s="596"/>
      <c r="D72" s="597"/>
      <c r="E72" s="597"/>
      <c r="F72" s="597"/>
      <c r="G72" s="597"/>
      <c r="H72" s="597"/>
      <c r="I72" s="596"/>
      <c r="J72" s="596"/>
      <c r="K72" s="597"/>
      <c r="L72" s="597"/>
      <c r="M72" s="597"/>
      <c r="N72" s="596"/>
      <c r="O72" s="596"/>
      <c r="P72" s="596"/>
      <c r="Q72" s="597"/>
      <c r="R72" s="596"/>
      <c r="S72" s="596"/>
      <c r="T72" s="596"/>
      <c r="U72" s="596"/>
      <c r="V72" s="596"/>
      <c r="W72" s="151"/>
      <c r="X72" s="151"/>
    </row>
    <row r="73" spans="1:24">
      <c r="A73" s="591"/>
      <c r="B73" s="598"/>
      <c r="C73" s="599"/>
      <c r="D73" s="151"/>
      <c r="E73" s="151"/>
      <c r="F73" s="151"/>
      <c r="G73" s="151"/>
      <c r="H73" s="151"/>
      <c r="I73" s="599"/>
      <c r="J73" s="599"/>
      <c r="K73" s="151"/>
      <c r="L73" s="151"/>
      <c r="M73" s="151"/>
      <c r="N73" s="599"/>
      <c r="O73" s="599"/>
      <c r="P73" s="599"/>
      <c r="Q73" s="151"/>
      <c r="R73" s="599"/>
      <c r="S73" s="599"/>
      <c r="T73" s="599"/>
      <c r="U73" s="599"/>
      <c r="V73" s="599"/>
      <c r="W73" s="151"/>
      <c r="X73" s="151"/>
    </row>
    <row r="74" spans="1:24">
      <c r="A74" s="591"/>
      <c r="B74" s="600"/>
      <c r="C74" s="602"/>
      <c r="D74" s="601"/>
      <c r="E74" s="601"/>
      <c r="F74" s="601"/>
      <c r="G74" s="601"/>
      <c r="H74" s="601"/>
      <c r="I74" s="602"/>
      <c r="J74" s="602"/>
      <c r="K74" s="601"/>
      <c r="L74" s="601"/>
      <c r="M74" s="601"/>
      <c r="N74" s="602"/>
      <c r="O74" s="602"/>
      <c r="P74" s="602"/>
      <c r="Q74" s="601"/>
      <c r="R74" s="602"/>
      <c r="S74" s="602"/>
      <c r="T74" s="602"/>
      <c r="U74" s="602"/>
      <c r="V74" s="602"/>
      <c r="W74" s="606"/>
      <c r="X74" s="606"/>
    </row>
    <row r="75" spans="1:24">
      <c r="A75" s="591"/>
      <c r="B75" s="589"/>
      <c r="C75" s="596"/>
      <c r="D75" s="597"/>
      <c r="E75" s="597"/>
      <c r="F75" s="597"/>
      <c r="G75" s="597"/>
      <c r="H75" s="597"/>
      <c r="I75" s="596"/>
      <c r="J75" s="596"/>
      <c r="K75" s="597"/>
      <c r="L75" s="597"/>
      <c r="M75" s="597"/>
      <c r="N75" s="596"/>
      <c r="O75" s="596"/>
      <c r="P75" s="596"/>
      <c r="Q75" s="597"/>
      <c r="R75" s="596"/>
      <c r="S75" s="596"/>
      <c r="T75" s="596"/>
      <c r="U75" s="596"/>
      <c r="V75" s="596"/>
      <c r="W75" s="151"/>
      <c r="X75" s="151"/>
    </row>
    <row r="76" spans="1:24">
      <c r="A76" s="591"/>
      <c r="B76" s="598"/>
      <c r="C76" s="599"/>
      <c r="D76" s="151"/>
      <c r="E76" s="151"/>
      <c r="F76" s="151"/>
      <c r="G76" s="151"/>
      <c r="H76" s="151"/>
      <c r="I76" s="599"/>
      <c r="J76" s="599"/>
      <c r="K76" s="151"/>
      <c r="L76" s="151"/>
      <c r="M76" s="151"/>
      <c r="N76" s="599"/>
      <c r="O76" s="599"/>
      <c r="P76" s="599"/>
      <c r="Q76" s="151"/>
      <c r="R76" s="599"/>
      <c r="S76" s="599"/>
      <c r="T76" s="599"/>
      <c r="U76" s="599"/>
      <c r="V76" s="599"/>
      <c r="W76" s="151"/>
      <c r="X76" s="151"/>
    </row>
    <row r="77" spans="1:24">
      <c r="A77" s="591"/>
      <c r="B77" s="600"/>
      <c r="C77" s="602"/>
      <c r="D77" s="601"/>
      <c r="E77" s="601"/>
      <c r="F77" s="601"/>
      <c r="G77" s="601"/>
      <c r="H77" s="601"/>
      <c r="I77" s="602"/>
      <c r="J77" s="602"/>
      <c r="K77" s="601"/>
      <c r="L77" s="601"/>
      <c r="M77" s="601"/>
      <c r="N77" s="602"/>
      <c r="O77" s="602"/>
      <c r="P77" s="602"/>
      <c r="Q77" s="601"/>
      <c r="R77" s="602"/>
      <c r="S77" s="602"/>
      <c r="T77" s="602"/>
      <c r="U77" s="602"/>
      <c r="V77" s="602"/>
      <c r="W77" s="606"/>
      <c r="X77" s="606"/>
    </row>
    <row r="78" spans="1:24">
      <c r="A78" s="591"/>
      <c r="B78" s="589"/>
      <c r="C78" s="596"/>
      <c r="D78" s="597"/>
      <c r="E78" s="597"/>
      <c r="F78" s="597"/>
      <c r="G78" s="597"/>
      <c r="H78" s="597"/>
      <c r="I78" s="596"/>
      <c r="J78" s="596"/>
      <c r="K78" s="597"/>
      <c r="L78" s="597"/>
      <c r="M78" s="597"/>
      <c r="N78" s="596"/>
      <c r="O78" s="596"/>
      <c r="P78" s="596"/>
      <c r="Q78" s="597"/>
      <c r="R78" s="596"/>
      <c r="S78" s="596"/>
      <c r="T78" s="596"/>
      <c r="U78" s="596"/>
      <c r="V78" s="596"/>
      <c r="W78" s="151"/>
      <c r="X78" s="151"/>
    </row>
    <row r="79" spans="1:24">
      <c r="A79" s="591"/>
      <c r="B79" s="598"/>
      <c r="C79" s="599"/>
      <c r="D79" s="151"/>
      <c r="E79" s="151"/>
      <c r="F79" s="151"/>
      <c r="G79" s="151"/>
      <c r="H79" s="151"/>
      <c r="I79" s="599"/>
      <c r="J79" s="599"/>
      <c r="K79" s="151"/>
      <c r="L79" s="151"/>
      <c r="M79" s="151"/>
      <c r="N79" s="599"/>
      <c r="O79" s="599"/>
      <c r="P79" s="599"/>
      <c r="Q79" s="151"/>
      <c r="R79" s="599"/>
      <c r="S79" s="599"/>
      <c r="T79" s="599"/>
      <c r="U79" s="599"/>
      <c r="V79" s="599"/>
      <c r="W79" s="151"/>
      <c r="X79" s="151"/>
    </row>
    <row r="80" spans="1:24">
      <c r="A80" s="591"/>
      <c r="B80" s="600"/>
      <c r="C80" s="602"/>
      <c r="D80" s="601"/>
      <c r="E80" s="601"/>
      <c r="F80" s="601"/>
      <c r="G80" s="601"/>
      <c r="H80" s="601"/>
      <c r="I80" s="602"/>
      <c r="J80" s="602"/>
      <c r="K80" s="601"/>
      <c r="L80" s="601"/>
      <c r="M80" s="601"/>
      <c r="N80" s="602"/>
      <c r="O80" s="602"/>
      <c r="P80" s="602"/>
      <c r="Q80" s="601"/>
      <c r="R80" s="602"/>
      <c r="S80" s="602"/>
      <c r="T80" s="602"/>
      <c r="U80" s="602"/>
      <c r="V80" s="602"/>
      <c r="W80" s="606"/>
      <c r="X80" s="606"/>
    </row>
    <row r="81" spans="1:24">
      <c r="A81" s="591"/>
      <c r="B81" s="589"/>
      <c r="C81" s="596"/>
      <c r="D81" s="597"/>
      <c r="E81" s="597"/>
      <c r="F81" s="597"/>
      <c r="G81" s="597"/>
      <c r="H81" s="597"/>
      <c r="I81" s="596"/>
      <c r="J81" s="596"/>
      <c r="K81" s="597"/>
      <c r="L81" s="597"/>
      <c r="M81" s="597"/>
      <c r="N81" s="596"/>
      <c r="O81" s="596"/>
      <c r="P81" s="596"/>
      <c r="Q81" s="597"/>
      <c r="R81" s="596"/>
      <c r="S81" s="596"/>
      <c r="T81" s="596"/>
      <c r="U81" s="596"/>
      <c r="V81" s="596"/>
      <c r="W81" s="151"/>
      <c r="X81" s="151"/>
    </row>
    <row r="82" spans="1:24">
      <c r="A82" s="591"/>
      <c r="B82" s="598"/>
      <c r="C82" s="599"/>
      <c r="D82" s="151"/>
      <c r="E82" s="151"/>
      <c r="F82" s="151"/>
      <c r="G82" s="151"/>
      <c r="H82" s="151"/>
      <c r="I82" s="599"/>
      <c r="J82" s="599"/>
      <c r="K82" s="151"/>
      <c r="L82" s="151"/>
      <c r="M82" s="151"/>
      <c r="N82" s="599"/>
      <c r="O82" s="599"/>
      <c r="P82" s="599"/>
      <c r="Q82" s="151"/>
      <c r="R82" s="599"/>
      <c r="S82" s="599"/>
      <c r="T82" s="599"/>
      <c r="U82" s="599"/>
      <c r="V82" s="599"/>
      <c r="W82" s="151"/>
      <c r="X82" s="151"/>
    </row>
    <row r="83" spans="1:24">
      <c r="A83" s="591"/>
      <c r="B83" s="600"/>
      <c r="C83" s="602"/>
      <c r="D83" s="601"/>
      <c r="E83" s="601"/>
      <c r="F83" s="601"/>
      <c r="G83" s="601"/>
      <c r="H83" s="601"/>
      <c r="I83" s="602"/>
      <c r="J83" s="602"/>
      <c r="K83" s="601"/>
      <c r="L83" s="601"/>
      <c r="M83" s="601"/>
      <c r="N83" s="602"/>
      <c r="O83" s="602"/>
      <c r="P83" s="602"/>
      <c r="Q83" s="601"/>
      <c r="R83" s="602"/>
      <c r="S83" s="602"/>
      <c r="T83" s="602"/>
      <c r="U83" s="602"/>
      <c r="V83" s="602"/>
      <c r="W83" s="606"/>
      <c r="X83" s="606"/>
    </row>
    <row r="84" spans="1:24">
      <c r="A84" s="591"/>
      <c r="B84" s="589"/>
      <c r="C84" s="596"/>
      <c r="D84" s="597"/>
      <c r="E84" s="597"/>
      <c r="F84" s="597"/>
      <c r="G84" s="597"/>
      <c r="H84" s="597"/>
      <c r="I84" s="596"/>
      <c r="J84" s="596"/>
      <c r="K84" s="597"/>
      <c r="L84" s="597"/>
      <c r="M84" s="597"/>
      <c r="N84" s="596"/>
      <c r="O84" s="596"/>
      <c r="P84" s="596"/>
      <c r="Q84" s="597"/>
      <c r="R84" s="596"/>
      <c r="S84" s="596"/>
      <c r="T84" s="596"/>
      <c r="U84" s="596"/>
      <c r="V84" s="596"/>
      <c r="W84" s="151"/>
      <c r="X84" s="151"/>
    </row>
    <row r="85" spans="1:24">
      <c r="A85" s="591"/>
      <c r="B85" s="598"/>
      <c r="C85" s="599"/>
      <c r="D85" s="151"/>
      <c r="E85" s="151"/>
      <c r="F85" s="151"/>
      <c r="G85" s="151"/>
      <c r="H85" s="151"/>
      <c r="I85" s="599"/>
      <c r="J85" s="599"/>
      <c r="K85" s="151"/>
      <c r="L85" s="151"/>
      <c r="M85" s="151"/>
      <c r="N85" s="599"/>
      <c r="O85" s="599"/>
      <c r="P85" s="599"/>
      <c r="Q85" s="151"/>
      <c r="R85" s="599"/>
      <c r="S85" s="599"/>
      <c r="T85" s="599"/>
      <c r="U85" s="599"/>
      <c r="V85" s="599"/>
      <c r="W85" s="151"/>
      <c r="X85" s="151"/>
    </row>
    <row r="86" spans="1:24">
      <c r="A86" s="591"/>
      <c r="B86" s="600"/>
      <c r="C86" s="602"/>
      <c r="D86" s="601"/>
      <c r="E86" s="601"/>
      <c r="F86" s="601"/>
      <c r="G86" s="601"/>
      <c r="H86" s="601"/>
      <c r="I86" s="602"/>
      <c r="J86" s="602"/>
      <c r="K86" s="601"/>
      <c r="L86" s="601"/>
      <c r="M86" s="601"/>
      <c r="N86" s="602"/>
      <c r="O86" s="602"/>
      <c r="P86" s="602"/>
      <c r="Q86" s="601"/>
      <c r="R86" s="602"/>
      <c r="S86" s="602"/>
      <c r="T86" s="602"/>
      <c r="U86" s="602"/>
      <c r="V86" s="602"/>
      <c r="W86" s="606"/>
      <c r="X86" s="606"/>
    </row>
    <row r="87" spans="1:24">
      <c r="A87" s="591"/>
      <c r="B87" s="589"/>
      <c r="C87" s="596"/>
      <c r="D87" s="597"/>
      <c r="E87" s="597"/>
      <c r="F87" s="597"/>
      <c r="G87" s="597"/>
      <c r="H87" s="597"/>
      <c r="I87" s="596"/>
      <c r="J87" s="596"/>
      <c r="K87" s="597"/>
      <c r="L87" s="597"/>
      <c r="M87" s="597"/>
      <c r="N87" s="596"/>
      <c r="O87" s="596"/>
      <c r="P87" s="596"/>
      <c r="Q87" s="597"/>
      <c r="R87" s="596"/>
      <c r="S87" s="596"/>
      <c r="T87" s="596"/>
      <c r="U87" s="596"/>
      <c r="V87" s="596"/>
      <c r="W87" s="151"/>
      <c r="X87" s="151"/>
    </row>
    <row r="88" spans="1:24">
      <c r="A88" s="591"/>
      <c r="B88" s="598"/>
      <c r="C88" s="599"/>
      <c r="D88" s="151"/>
      <c r="E88" s="151"/>
      <c r="F88" s="151"/>
      <c r="G88" s="151"/>
      <c r="H88" s="151"/>
      <c r="I88" s="599"/>
      <c r="J88" s="599"/>
      <c r="K88" s="151"/>
      <c r="L88" s="151"/>
      <c r="M88" s="151"/>
      <c r="N88" s="599"/>
      <c r="O88" s="599"/>
      <c r="P88" s="599"/>
      <c r="Q88" s="151"/>
      <c r="R88" s="599"/>
      <c r="S88" s="599"/>
      <c r="T88" s="599"/>
      <c r="U88" s="599"/>
      <c r="V88" s="599"/>
      <c r="W88" s="151"/>
      <c r="X88" s="151"/>
    </row>
    <row r="89" spans="1:24">
      <c r="A89" s="591"/>
      <c r="B89" s="600"/>
      <c r="C89" s="602"/>
      <c r="D89" s="601"/>
      <c r="E89" s="601"/>
      <c r="F89" s="601"/>
      <c r="G89" s="601"/>
      <c r="H89" s="601"/>
      <c r="I89" s="602"/>
      <c r="J89" s="602"/>
      <c r="K89" s="601"/>
      <c r="L89" s="601"/>
      <c r="M89" s="601"/>
      <c r="N89" s="602"/>
      <c r="O89" s="602"/>
      <c r="P89" s="602"/>
      <c r="Q89" s="601"/>
      <c r="R89" s="602"/>
      <c r="S89" s="602"/>
      <c r="T89" s="602"/>
      <c r="U89" s="602"/>
      <c r="V89" s="602"/>
      <c r="W89" s="606"/>
      <c r="X89" s="606"/>
    </row>
    <row r="90" spans="1:24">
      <c r="A90" s="595"/>
      <c r="B90" s="589"/>
      <c r="C90" s="596"/>
      <c r="D90" s="597"/>
      <c r="E90" s="597"/>
      <c r="F90" s="597"/>
      <c r="G90" s="597"/>
      <c r="H90" s="597"/>
      <c r="I90" s="596"/>
      <c r="J90" s="596"/>
      <c r="K90" s="597"/>
      <c r="L90" s="597"/>
      <c r="M90" s="597"/>
      <c r="N90" s="596"/>
      <c r="O90" s="596"/>
      <c r="P90" s="596"/>
      <c r="Q90" s="597"/>
      <c r="R90" s="596"/>
      <c r="S90" s="596"/>
      <c r="T90" s="596"/>
      <c r="U90" s="596"/>
      <c r="V90" s="596"/>
      <c r="W90" s="151"/>
      <c r="X90" s="151"/>
    </row>
    <row r="91" spans="1:24">
      <c r="A91" s="591"/>
      <c r="B91" s="598"/>
      <c r="C91" s="599"/>
      <c r="D91" s="151"/>
      <c r="E91" s="151"/>
      <c r="F91" s="151"/>
      <c r="G91" s="151"/>
      <c r="H91" s="151"/>
      <c r="I91" s="599"/>
      <c r="J91" s="599"/>
      <c r="K91" s="151"/>
      <c r="L91" s="151"/>
      <c r="M91" s="151"/>
      <c r="N91" s="599"/>
      <c r="O91" s="599"/>
      <c r="P91" s="599"/>
      <c r="Q91" s="151"/>
      <c r="R91" s="599"/>
      <c r="S91" s="599"/>
      <c r="T91" s="599"/>
      <c r="U91" s="599"/>
      <c r="V91" s="599"/>
      <c r="W91" s="151"/>
      <c r="X91" s="151"/>
    </row>
    <row r="92" spans="1:24">
      <c r="A92" s="591"/>
      <c r="B92" s="600"/>
      <c r="C92" s="602"/>
      <c r="D92" s="601"/>
      <c r="E92" s="601"/>
      <c r="F92" s="601"/>
      <c r="G92" s="601"/>
      <c r="H92" s="601"/>
      <c r="I92" s="602"/>
      <c r="J92" s="602"/>
      <c r="K92" s="601"/>
      <c r="L92" s="601"/>
      <c r="M92" s="601"/>
      <c r="N92" s="602"/>
      <c r="O92" s="602"/>
      <c r="P92" s="602"/>
      <c r="Q92" s="601"/>
      <c r="R92" s="602"/>
      <c r="S92" s="602"/>
      <c r="T92" s="602"/>
      <c r="U92" s="602"/>
      <c r="V92" s="602"/>
      <c r="W92" s="606"/>
      <c r="X92" s="606"/>
    </row>
    <row r="93" spans="1:24">
      <c r="A93" s="591"/>
      <c r="B93" s="589"/>
      <c r="C93" s="596"/>
      <c r="D93" s="597"/>
      <c r="E93" s="597"/>
      <c r="F93" s="597"/>
      <c r="G93" s="597"/>
      <c r="H93" s="597"/>
      <c r="I93" s="596"/>
      <c r="J93" s="596"/>
      <c r="K93" s="597"/>
      <c r="L93" s="597"/>
      <c r="M93" s="597"/>
      <c r="N93" s="596"/>
      <c r="O93" s="596"/>
      <c r="P93" s="596"/>
      <c r="Q93" s="597"/>
      <c r="R93" s="596"/>
      <c r="S93" s="596"/>
      <c r="T93" s="596"/>
      <c r="U93" s="596"/>
      <c r="V93" s="596"/>
      <c r="W93" s="151"/>
      <c r="X93" s="151"/>
    </row>
    <row r="94" spans="1:24">
      <c r="A94" s="591"/>
      <c r="B94" s="598"/>
      <c r="C94" s="599"/>
      <c r="D94" s="151"/>
      <c r="E94" s="151"/>
      <c r="F94" s="151"/>
      <c r="G94" s="151"/>
      <c r="H94" s="151"/>
      <c r="I94" s="599"/>
      <c r="J94" s="599"/>
      <c r="K94" s="151"/>
      <c r="L94" s="151"/>
      <c r="M94" s="151"/>
      <c r="N94" s="599"/>
      <c r="O94" s="599"/>
      <c r="P94" s="599"/>
      <c r="Q94" s="151"/>
      <c r="R94" s="599"/>
      <c r="S94" s="599"/>
      <c r="T94" s="599"/>
      <c r="U94" s="599"/>
      <c r="V94" s="599"/>
      <c r="W94" s="151"/>
      <c r="X94" s="151"/>
    </row>
    <row r="95" spans="1:24">
      <c r="A95" s="591"/>
      <c r="B95" s="600"/>
      <c r="C95" s="602"/>
      <c r="D95" s="601"/>
      <c r="E95" s="601"/>
      <c r="F95" s="601"/>
      <c r="G95" s="601"/>
      <c r="H95" s="601"/>
      <c r="I95" s="602"/>
      <c r="J95" s="602"/>
      <c r="K95" s="601"/>
      <c r="L95" s="601"/>
      <c r="M95" s="601"/>
      <c r="N95" s="602"/>
      <c r="O95" s="602"/>
      <c r="P95" s="602"/>
      <c r="Q95" s="601"/>
      <c r="R95" s="602"/>
      <c r="S95" s="602"/>
      <c r="T95" s="602"/>
      <c r="U95" s="602"/>
      <c r="V95" s="602"/>
      <c r="W95" s="606"/>
      <c r="X95" s="606"/>
    </row>
    <row r="96" spans="1:24">
      <c r="A96" s="591"/>
      <c r="B96" s="589"/>
      <c r="C96" s="596"/>
      <c r="D96" s="597"/>
      <c r="E96" s="597"/>
      <c r="F96" s="597"/>
      <c r="G96" s="597"/>
      <c r="H96" s="597"/>
      <c r="I96" s="596"/>
      <c r="J96" s="596"/>
      <c r="K96" s="597"/>
      <c r="L96" s="597"/>
      <c r="M96" s="597"/>
      <c r="N96" s="596"/>
      <c r="O96" s="596"/>
      <c r="P96" s="596"/>
      <c r="Q96" s="597"/>
      <c r="R96" s="596"/>
      <c r="S96" s="596"/>
      <c r="T96" s="596"/>
      <c r="U96" s="596"/>
      <c r="V96" s="596"/>
      <c r="W96" s="151"/>
      <c r="X96" s="151"/>
    </row>
    <row r="97" spans="1:24">
      <c r="A97" s="591"/>
      <c r="B97" s="598"/>
      <c r="C97" s="599"/>
      <c r="D97" s="151"/>
      <c r="E97" s="151"/>
      <c r="F97" s="151"/>
      <c r="G97" s="151"/>
      <c r="H97" s="151"/>
      <c r="I97" s="599"/>
      <c r="J97" s="599"/>
      <c r="K97" s="151"/>
      <c r="L97" s="151"/>
      <c r="M97" s="151"/>
      <c r="N97" s="599"/>
      <c r="O97" s="599"/>
      <c r="P97" s="599"/>
      <c r="Q97" s="151"/>
      <c r="R97" s="599"/>
      <c r="S97" s="599"/>
      <c r="T97" s="599"/>
      <c r="U97" s="599"/>
      <c r="V97" s="599"/>
      <c r="W97" s="151"/>
      <c r="X97" s="151"/>
    </row>
    <row r="98" spans="1:24">
      <c r="A98" s="591"/>
      <c r="B98" s="600"/>
      <c r="C98" s="602"/>
      <c r="D98" s="601"/>
      <c r="E98" s="601"/>
      <c r="F98" s="601"/>
      <c r="G98" s="601"/>
      <c r="H98" s="601"/>
      <c r="I98" s="602"/>
      <c r="J98" s="602"/>
      <c r="K98" s="601"/>
      <c r="L98" s="601"/>
      <c r="M98" s="601"/>
      <c r="N98" s="602"/>
      <c r="O98" s="602"/>
      <c r="P98" s="602"/>
      <c r="Q98" s="601"/>
      <c r="R98" s="602"/>
      <c r="S98" s="602"/>
      <c r="T98" s="602"/>
      <c r="U98" s="602"/>
      <c r="V98" s="602"/>
      <c r="W98" s="606"/>
      <c r="X98" s="606"/>
    </row>
    <row r="99" spans="1:24">
      <c r="A99" s="591"/>
      <c r="B99" s="589"/>
      <c r="C99" s="596"/>
      <c r="D99" s="597"/>
      <c r="E99" s="597"/>
      <c r="F99" s="597"/>
      <c r="G99" s="597"/>
      <c r="H99" s="597"/>
      <c r="I99" s="596"/>
      <c r="J99" s="596"/>
      <c r="K99" s="597"/>
      <c r="L99" s="597"/>
      <c r="M99" s="597"/>
      <c r="N99" s="596"/>
      <c r="O99" s="596"/>
      <c r="P99" s="596"/>
      <c r="Q99" s="597"/>
      <c r="R99" s="596"/>
      <c r="S99" s="596"/>
      <c r="T99" s="596"/>
      <c r="U99" s="596"/>
      <c r="V99" s="596"/>
      <c r="W99" s="151"/>
      <c r="X99" s="151"/>
    </row>
    <row r="100" spans="1:24">
      <c r="A100" s="591"/>
      <c r="B100" s="598"/>
      <c r="C100" s="599"/>
      <c r="D100" s="151"/>
      <c r="E100" s="151"/>
      <c r="F100" s="151"/>
      <c r="G100" s="151"/>
      <c r="H100" s="151"/>
      <c r="I100" s="599"/>
      <c r="J100" s="599"/>
      <c r="K100" s="151"/>
      <c r="L100" s="151"/>
      <c r="M100" s="151"/>
      <c r="N100" s="599"/>
      <c r="O100" s="599"/>
      <c r="P100" s="599"/>
      <c r="Q100" s="151"/>
      <c r="R100" s="599"/>
      <c r="S100" s="599"/>
      <c r="T100" s="599"/>
      <c r="U100" s="599"/>
      <c r="V100" s="599"/>
      <c r="W100" s="151"/>
      <c r="X100" s="151"/>
    </row>
    <row r="101" spans="1:24">
      <c r="A101" s="591"/>
      <c r="B101" s="600"/>
      <c r="C101" s="602"/>
      <c r="D101" s="601"/>
      <c r="E101" s="601"/>
      <c r="F101" s="601"/>
      <c r="G101" s="601"/>
      <c r="H101" s="601"/>
      <c r="I101" s="602"/>
      <c r="J101" s="602"/>
      <c r="K101" s="601"/>
      <c r="L101" s="601"/>
      <c r="M101" s="601"/>
      <c r="N101" s="602"/>
      <c r="O101" s="602"/>
      <c r="P101" s="602"/>
      <c r="Q101" s="601"/>
      <c r="R101" s="602"/>
      <c r="S101" s="602"/>
      <c r="T101" s="602"/>
      <c r="U101" s="602"/>
      <c r="V101" s="602"/>
      <c r="W101" s="606"/>
      <c r="X101" s="606"/>
    </row>
    <row r="102" spans="1:24">
      <c r="A102" s="591"/>
      <c r="B102" s="589"/>
      <c r="C102" s="596"/>
      <c r="D102" s="597"/>
      <c r="E102" s="597"/>
      <c r="F102" s="597"/>
      <c r="G102" s="597"/>
      <c r="H102" s="597"/>
      <c r="I102" s="596"/>
      <c r="J102" s="596"/>
      <c r="K102" s="597"/>
      <c r="L102" s="597"/>
      <c r="M102" s="597"/>
      <c r="N102" s="596"/>
      <c r="O102" s="596"/>
      <c r="P102" s="596"/>
      <c r="Q102" s="597"/>
      <c r="R102" s="596"/>
      <c r="S102" s="596"/>
      <c r="T102" s="596"/>
      <c r="U102" s="596"/>
      <c r="V102" s="596"/>
      <c r="W102" s="151"/>
      <c r="X102" s="151"/>
    </row>
    <row r="103" spans="1:24">
      <c r="A103" s="591"/>
      <c r="B103" s="598"/>
      <c r="C103" s="599"/>
      <c r="D103" s="151"/>
      <c r="E103" s="151"/>
      <c r="F103" s="151"/>
      <c r="G103" s="151"/>
      <c r="H103" s="151"/>
      <c r="I103" s="599"/>
      <c r="J103" s="599"/>
      <c r="K103" s="151"/>
      <c r="L103" s="151"/>
      <c r="M103" s="151"/>
      <c r="N103" s="599"/>
      <c r="O103" s="599"/>
      <c r="P103" s="599"/>
      <c r="Q103" s="151"/>
      <c r="R103" s="599"/>
      <c r="S103" s="599"/>
      <c r="T103" s="599"/>
      <c r="U103" s="599"/>
      <c r="V103" s="599"/>
      <c r="W103" s="151"/>
      <c r="X103" s="151"/>
    </row>
    <row r="104" spans="1:24">
      <c r="A104" s="591"/>
      <c r="B104" s="600"/>
      <c r="C104" s="602"/>
      <c r="D104" s="601"/>
      <c r="E104" s="601"/>
      <c r="F104" s="601"/>
      <c r="G104" s="601"/>
      <c r="H104" s="601"/>
      <c r="I104" s="602"/>
      <c r="J104" s="602"/>
      <c r="K104" s="601"/>
      <c r="L104" s="601"/>
      <c r="M104" s="601"/>
      <c r="N104" s="602"/>
      <c r="O104" s="602"/>
      <c r="P104" s="602"/>
      <c r="Q104" s="601"/>
      <c r="R104" s="602"/>
      <c r="S104" s="602"/>
      <c r="T104" s="602"/>
      <c r="U104" s="602"/>
      <c r="V104" s="602"/>
      <c r="W104" s="606"/>
      <c r="X104" s="606"/>
    </row>
    <row r="105" spans="1:24">
      <c r="A105" s="591"/>
      <c r="B105" s="589"/>
      <c r="C105" s="596"/>
      <c r="D105" s="597"/>
      <c r="E105" s="597"/>
      <c r="F105" s="597"/>
      <c r="G105" s="597"/>
      <c r="H105" s="597"/>
      <c r="I105" s="596"/>
      <c r="J105" s="596"/>
      <c r="K105" s="597"/>
      <c r="L105" s="597"/>
      <c r="M105" s="597"/>
      <c r="N105" s="596"/>
      <c r="O105" s="596"/>
      <c r="P105" s="596"/>
      <c r="Q105" s="597"/>
      <c r="R105" s="596"/>
      <c r="S105" s="596"/>
      <c r="T105" s="596"/>
      <c r="U105" s="596"/>
      <c r="V105" s="596"/>
      <c r="W105" s="151"/>
      <c r="X105" s="151"/>
    </row>
    <row r="106" spans="1:24">
      <c r="A106" s="591"/>
      <c r="B106" s="598"/>
      <c r="C106" s="599"/>
      <c r="D106" s="151"/>
      <c r="E106" s="151"/>
      <c r="F106" s="151"/>
      <c r="G106" s="151"/>
      <c r="H106" s="151"/>
      <c r="I106" s="599"/>
      <c r="J106" s="599"/>
      <c r="K106" s="151"/>
      <c r="L106" s="151"/>
      <c r="M106" s="151"/>
      <c r="N106" s="599"/>
      <c r="O106" s="599"/>
      <c r="P106" s="599"/>
      <c r="Q106" s="151"/>
      <c r="R106" s="599"/>
      <c r="S106" s="599"/>
      <c r="T106" s="599"/>
      <c r="U106" s="599"/>
      <c r="V106" s="599"/>
      <c r="W106" s="151"/>
      <c r="X106" s="151"/>
    </row>
    <row r="107" spans="1:24">
      <c r="A107" s="591"/>
      <c r="B107" s="600"/>
      <c r="C107" s="602"/>
      <c r="D107" s="601"/>
      <c r="E107" s="601"/>
      <c r="F107" s="601"/>
      <c r="G107" s="601"/>
      <c r="H107" s="601"/>
      <c r="I107" s="602"/>
      <c r="J107" s="602"/>
      <c r="K107" s="601"/>
      <c r="L107" s="601"/>
      <c r="M107" s="601"/>
      <c r="N107" s="602"/>
      <c r="O107" s="602"/>
      <c r="P107" s="602"/>
      <c r="Q107" s="601"/>
      <c r="R107" s="602"/>
      <c r="S107" s="602"/>
      <c r="T107" s="602"/>
      <c r="U107" s="602"/>
      <c r="V107" s="602"/>
      <c r="W107" s="606"/>
      <c r="X107" s="606"/>
    </row>
    <row r="108" spans="1:24">
      <c r="A108" s="591"/>
      <c r="B108" s="589"/>
      <c r="C108" s="596"/>
      <c r="D108" s="597"/>
      <c r="E108" s="597"/>
      <c r="F108" s="597"/>
      <c r="G108" s="597"/>
      <c r="H108" s="597"/>
      <c r="I108" s="596"/>
      <c r="J108" s="596"/>
      <c r="K108" s="597"/>
      <c r="L108" s="597"/>
      <c r="M108" s="597"/>
      <c r="N108" s="596"/>
      <c r="O108" s="596"/>
      <c r="P108" s="596"/>
      <c r="Q108" s="597"/>
      <c r="R108" s="596"/>
      <c r="S108" s="596"/>
      <c r="T108" s="596"/>
      <c r="U108" s="596"/>
      <c r="V108" s="596"/>
      <c r="W108" s="151"/>
      <c r="X108" s="151"/>
    </row>
    <row r="109" spans="1:24">
      <c r="A109" s="591"/>
      <c r="B109" s="598"/>
      <c r="C109" s="599"/>
      <c r="D109" s="151"/>
      <c r="E109" s="151"/>
      <c r="F109" s="151"/>
      <c r="G109" s="151"/>
      <c r="H109" s="151"/>
      <c r="I109" s="599"/>
      <c r="J109" s="599"/>
      <c r="K109" s="151"/>
      <c r="L109" s="151"/>
      <c r="M109" s="151"/>
      <c r="N109" s="599"/>
      <c r="O109" s="599"/>
      <c r="P109" s="599"/>
      <c r="Q109" s="151"/>
      <c r="R109" s="599"/>
      <c r="S109" s="599"/>
      <c r="T109" s="599"/>
      <c r="U109" s="599"/>
      <c r="V109" s="599"/>
      <c r="W109" s="151"/>
      <c r="X109" s="151"/>
    </row>
    <row r="110" spans="1:24">
      <c r="A110" s="591"/>
      <c r="B110" s="600"/>
      <c r="C110" s="602"/>
      <c r="D110" s="601"/>
      <c r="E110" s="601"/>
      <c r="F110" s="601"/>
      <c r="G110" s="601"/>
      <c r="H110" s="601"/>
      <c r="I110" s="602"/>
      <c r="J110" s="602"/>
      <c r="K110" s="601"/>
      <c r="L110" s="601"/>
      <c r="M110" s="601"/>
      <c r="N110" s="602"/>
      <c r="O110" s="602"/>
      <c r="P110" s="602"/>
      <c r="Q110" s="601"/>
      <c r="R110" s="602"/>
      <c r="S110" s="602"/>
      <c r="T110" s="602"/>
      <c r="U110" s="602"/>
      <c r="V110" s="602"/>
      <c r="W110" s="606"/>
      <c r="X110" s="606"/>
    </row>
    <row r="111" spans="1:24">
      <c r="A111" s="595"/>
      <c r="B111" s="589"/>
      <c r="C111" s="596"/>
      <c r="D111" s="597"/>
      <c r="E111" s="597"/>
      <c r="F111" s="597"/>
      <c r="G111" s="597"/>
      <c r="H111" s="597"/>
      <c r="I111" s="596"/>
      <c r="J111" s="596"/>
      <c r="K111" s="597"/>
      <c r="L111" s="597"/>
      <c r="M111" s="597"/>
      <c r="N111" s="596"/>
      <c r="O111" s="596"/>
      <c r="P111" s="596"/>
      <c r="Q111" s="597"/>
      <c r="R111" s="596"/>
      <c r="S111" s="596"/>
      <c r="T111" s="596"/>
      <c r="U111" s="596"/>
      <c r="V111" s="596"/>
      <c r="W111" s="151"/>
      <c r="X111" s="151"/>
    </row>
    <row r="112" spans="1:24">
      <c r="A112" s="591"/>
      <c r="B112" s="598"/>
      <c r="C112" s="599"/>
      <c r="D112" s="151"/>
      <c r="E112" s="151"/>
      <c r="F112" s="151"/>
      <c r="G112" s="151"/>
      <c r="H112" s="151"/>
      <c r="I112" s="599"/>
      <c r="J112" s="599"/>
      <c r="K112" s="151"/>
      <c r="L112" s="151"/>
      <c r="M112" s="151"/>
      <c r="N112" s="599"/>
      <c r="O112" s="599"/>
      <c r="P112" s="599"/>
      <c r="Q112" s="151"/>
      <c r="R112" s="599"/>
      <c r="S112" s="599"/>
      <c r="T112" s="599"/>
      <c r="U112" s="599"/>
      <c r="V112" s="599"/>
      <c r="W112" s="151"/>
      <c r="X112" s="151"/>
    </row>
    <row r="113" spans="1:24">
      <c r="A113" s="591"/>
      <c r="B113" s="600"/>
      <c r="C113" s="602"/>
      <c r="D113" s="601"/>
      <c r="E113" s="601"/>
      <c r="F113" s="601"/>
      <c r="G113" s="601"/>
      <c r="H113" s="601"/>
      <c r="I113" s="602"/>
      <c r="J113" s="602"/>
      <c r="K113" s="601"/>
      <c r="L113" s="601"/>
      <c r="M113" s="601"/>
      <c r="N113" s="602"/>
      <c r="O113" s="602"/>
      <c r="P113" s="602"/>
      <c r="Q113" s="601"/>
      <c r="R113" s="602"/>
      <c r="S113" s="602"/>
      <c r="T113" s="602"/>
      <c r="U113" s="602"/>
      <c r="V113" s="602"/>
      <c r="W113" s="606"/>
      <c r="X113" s="606"/>
    </row>
    <row r="114" spans="1:24">
      <c r="A114" s="591"/>
      <c r="B114" s="589"/>
      <c r="C114" s="596"/>
      <c r="D114" s="597"/>
      <c r="E114" s="597"/>
      <c r="F114" s="597"/>
      <c r="G114" s="597"/>
      <c r="H114" s="597"/>
      <c r="I114" s="596"/>
      <c r="J114" s="596"/>
      <c r="K114" s="597"/>
      <c r="L114" s="597"/>
      <c r="M114" s="597"/>
      <c r="N114" s="596"/>
      <c r="O114" s="596"/>
      <c r="P114" s="596"/>
      <c r="Q114" s="597"/>
      <c r="R114" s="596"/>
      <c r="S114" s="596"/>
      <c r="T114" s="596"/>
      <c r="U114" s="596"/>
      <c r="V114" s="596"/>
      <c r="W114" s="151"/>
      <c r="X114" s="151"/>
    </row>
    <row r="115" spans="1:24">
      <c r="A115" s="591"/>
      <c r="B115" s="598"/>
      <c r="C115" s="599"/>
      <c r="D115" s="151"/>
      <c r="E115" s="151"/>
      <c r="F115" s="151"/>
      <c r="G115" s="151"/>
      <c r="H115" s="151"/>
      <c r="I115" s="599"/>
      <c r="J115" s="599"/>
      <c r="K115" s="151"/>
      <c r="L115" s="151"/>
      <c r="M115" s="151"/>
      <c r="N115" s="599"/>
      <c r="O115" s="599"/>
      <c r="P115" s="599"/>
      <c r="Q115" s="151"/>
      <c r="R115" s="599"/>
      <c r="S115" s="599"/>
      <c r="T115" s="599"/>
      <c r="U115" s="599"/>
      <c r="V115" s="599"/>
      <c r="W115" s="151"/>
      <c r="X115" s="151"/>
    </row>
    <row r="116" spans="1:24">
      <c r="A116" s="591"/>
      <c r="B116" s="600"/>
      <c r="C116" s="602"/>
      <c r="D116" s="601"/>
      <c r="E116" s="601"/>
      <c r="F116" s="601"/>
      <c r="G116" s="601"/>
      <c r="H116" s="601"/>
      <c r="I116" s="602"/>
      <c r="J116" s="602"/>
      <c r="K116" s="601"/>
      <c r="L116" s="601"/>
      <c r="M116" s="601"/>
      <c r="N116" s="602"/>
      <c r="O116" s="602"/>
      <c r="P116" s="602"/>
      <c r="Q116" s="601"/>
      <c r="R116" s="602"/>
      <c r="S116" s="602"/>
      <c r="T116" s="602"/>
      <c r="U116" s="602"/>
      <c r="V116" s="602"/>
      <c r="W116" s="606"/>
      <c r="X116" s="606"/>
    </row>
    <row r="117" spans="1:24">
      <c r="A117" s="591"/>
      <c r="B117" s="589"/>
      <c r="C117" s="596"/>
      <c r="D117" s="597"/>
      <c r="E117" s="597"/>
      <c r="F117" s="597"/>
      <c r="G117" s="597"/>
      <c r="H117" s="597"/>
      <c r="I117" s="596"/>
      <c r="J117" s="596"/>
      <c r="K117" s="597"/>
      <c r="L117" s="597"/>
      <c r="M117" s="597"/>
      <c r="N117" s="596"/>
      <c r="O117" s="596"/>
      <c r="P117" s="596"/>
      <c r="Q117" s="597"/>
      <c r="R117" s="596"/>
      <c r="S117" s="596"/>
      <c r="T117" s="596"/>
      <c r="U117" s="596"/>
      <c r="V117" s="596"/>
      <c r="W117" s="151"/>
      <c r="X117" s="151"/>
    </row>
    <row r="118" spans="1:24">
      <c r="A118" s="591"/>
      <c r="B118" s="598"/>
      <c r="C118" s="599"/>
      <c r="D118" s="151"/>
      <c r="E118" s="151"/>
      <c r="F118" s="151"/>
      <c r="G118" s="151"/>
      <c r="H118" s="151"/>
      <c r="I118" s="599"/>
      <c r="J118" s="599"/>
      <c r="K118" s="151"/>
      <c r="L118" s="151"/>
      <c r="M118" s="151"/>
      <c r="N118" s="599"/>
      <c r="O118" s="599"/>
      <c r="P118" s="599"/>
      <c r="Q118" s="151"/>
      <c r="R118" s="599"/>
      <c r="S118" s="599"/>
      <c r="T118" s="599"/>
      <c r="U118" s="599"/>
      <c r="V118" s="599"/>
      <c r="W118" s="151"/>
      <c r="X118" s="151"/>
    </row>
    <row r="119" spans="1:24">
      <c r="A119" s="591"/>
      <c r="B119" s="600"/>
      <c r="C119" s="602"/>
      <c r="D119" s="601"/>
      <c r="E119" s="601"/>
      <c r="F119" s="601"/>
      <c r="G119" s="601"/>
      <c r="H119" s="601"/>
      <c r="I119" s="602"/>
      <c r="J119" s="602"/>
      <c r="K119" s="601"/>
      <c r="L119" s="601"/>
      <c r="M119" s="601"/>
      <c r="N119" s="602"/>
      <c r="O119" s="602"/>
      <c r="P119" s="602"/>
      <c r="Q119" s="601"/>
      <c r="R119" s="602"/>
      <c r="S119" s="602"/>
      <c r="T119" s="602"/>
      <c r="U119" s="602"/>
      <c r="V119" s="602"/>
      <c r="W119" s="606"/>
      <c r="X119" s="606"/>
    </row>
    <row r="120" spans="1:24">
      <c r="A120" s="591"/>
      <c r="B120" s="589"/>
      <c r="C120" s="596"/>
      <c r="D120" s="597"/>
      <c r="E120" s="597"/>
      <c r="F120" s="597"/>
      <c r="G120" s="597"/>
      <c r="H120" s="597"/>
      <c r="I120" s="596"/>
      <c r="J120" s="596"/>
      <c r="K120" s="597"/>
      <c r="L120" s="597"/>
      <c r="M120" s="597"/>
      <c r="N120" s="596"/>
      <c r="O120" s="596"/>
      <c r="P120" s="596"/>
      <c r="Q120" s="597"/>
      <c r="R120" s="596"/>
      <c r="S120" s="596"/>
      <c r="T120" s="596"/>
      <c r="U120" s="596"/>
      <c r="V120" s="596"/>
      <c r="W120" s="151"/>
      <c r="X120" s="151"/>
    </row>
    <row r="121" spans="1:24">
      <c r="A121" s="591"/>
      <c r="B121" s="598"/>
      <c r="C121" s="599"/>
      <c r="D121" s="151"/>
      <c r="E121" s="151"/>
      <c r="F121" s="151"/>
      <c r="G121" s="151"/>
      <c r="H121" s="151"/>
      <c r="I121" s="599"/>
      <c r="J121" s="599"/>
      <c r="K121" s="151"/>
      <c r="L121" s="151"/>
      <c r="M121" s="151"/>
      <c r="N121" s="599"/>
      <c r="O121" s="599"/>
      <c r="P121" s="599"/>
      <c r="Q121" s="151"/>
      <c r="R121" s="599"/>
      <c r="S121" s="599"/>
      <c r="T121" s="599"/>
      <c r="U121" s="599"/>
      <c r="V121" s="599"/>
      <c r="W121" s="151"/>
      <c r="X121" s="151"/>
    </row>
    <row r="122" spans="1:24">
      <c r="A122" s="591"/>
      <c r="B122" s="600"/>
      <c r="C122" s="602"/>
      <c r="D122" s="601"/>
      <c r="E122" s="601"/>
      <c r="F122" s="601"/>
      <c r="G122" s="601"/>
      <c r="H122" s="601"/>
      <c r="I122" s="602"/>
      <c r="J122" s="602"/>
      <c r="K122" s="601"/>
      <c r="L122" s="601"/>
      <c r="M122" s="601"/>
      <c r="N122" s="602"/>
      <c r="O122" s="602"/>
      <c r="P122" s="602"/>
      <c r="Q122" s="601"/>
      <c r="R122" s="602"/>
      <c r="S122" s="602"/>
      <c r="T122" s="602"/>
      <c r="U122" s="602"/>
      <c r="V122" s="602"/>
      <c r="W122" s="606"/>
      <c r="X122" s="606"/>
    </row>
    <row r="123" spans="1:24">
      <c r="A123" s="591"/>
      <c r="B123" s="589"/>
      <c r="C123" s="596"/>
      <c r="D123" s="597"/>
      <c r="E123" s="597"/>
      <c r="F123" s="597"/>
      <c r="G123" s="597"/>
      <c r="H123" s="597"/>
      <c r="I123" s="596"/>
      <c r="J123" s="596"/>
      <c r="K123" s="597"/>
      <c r="L123" s="597"/>
      <c r="M123" s="597"/>
      <c r="N123" s="596"/>
      <c r="O123" s="596"/>
      <c r="P123" s="596"/>
      <c r="Q123" s="597"/>
      <c r="R123" s="596"/>
      <c r="S123" s="596"/>
      <c r="T123" s="596"/>
      <c r="U123" s="596"/>
      <c r="V123" s="596"/>
      <c r="W123" s="151"/>
      <c r="X123" s="151"/>
    </row>
    <row r="124" spans="1:24">
      <c r="A124" s="591"/>
      <c r="B124" s="598"/>
      <c r="C124" s="599"/>
      <c r="D124" s="151"/>
      <c r="E124" s="151"/>
      <c r="F124" s="151"/>
      <c r="G124" s="151"/>
      <c r="H124" s="151"/>
      <c r="I124" s="599"/>
      <c r="J124" s="599"/>
      <c r="K124" s="151"/>
      <c r="L124" s="151"/>
      <c r="M124" s="151"/>
      <c r="N124" s="599"/>
      <c r="O124" s="599"/>
      <c r="P124" s="599"/>
      <c r="Q124" s="151"/>
      <c r="R124" s="599"/>
      <c r="S124" s="599"/>
      <c r="T124" s="599"/>
      <c r="U124" s="599"/>
      <c r="V124" s="599"/>
      <c r="W124" s="151"/>
      <c r="X124" s="151"/>
    </row>
    <row r="125" spans="1:24">
      <c r="A125" s="591"/>
      <c r="B125" s="600"/>
      <c r="C125" s="602"/>
      <c r="D125" s="601"/>
      <c r="E125" s="601"/>
      <c r="F125" s="601"/>
      <c r="G125" s="601"/>
      <c r="H125" s="601"/>
      <c r="I125" s="602"/>
      <c r="J125" s="602"/>
      <c r="K125" s="601"/>
      <c r="L125" s="601"/>
      <c r="M125" s="601"/>
      <c r="N125" s="602"/>
      <c r="O125" s="602"/>
      <c r="P125" s="602"/>
      <c r="Q125" s="601"/>
      <c r="R125" s="602"/>
      <c r="S125" s="602"/>
      <c r="T125" s="602"/>
      <c r="U125" s="602"/>
      <c r="V125" s="602"/>
      <c r="W125" s="606"/>
      <c r="X125" s="606"/>
    </row>
    <row r="126" spans="1:24">
      <c r="A126" s="591"/>
      <c r="B126" s="589"/>
      <c r="C126" s="596"/>
      <c r="D126" s="597"/>
      <c r="E126" s="597"/>
      <c r="F126" s="597"/>
      <c r="G126" s="597"/>
      <c r="H126" s="597"/>
      <c r="I126" s="596"/>
      <c r="J126" s="596"/>
      <c r="K126" s="597"/>
      <c r="L126" s="597"/>
      <c r="M126" s="597"/>
      <c r="N126" s="596"/>
      <c r="O126" s="596"/>
      <c r="P126" s="596"/>
      <c r="Q126" s="597"/>
      <c r="R126" s="596"/>
      <c r="S126" s="596"/>
      <c r="T126" s="596"/>
      <c r="U126" s="596"/>
      <c r="V126" s="596"/>
      <c r="W126" s="151"/>
      <c r="X126" s="151"/>
    </row>
    <row r="127" spans="1:24">
      <c r="A127" s="591"/>
      <c r="B127" s="598"/>
      <c r="C127" s="599"/>
      <c r="D127" s="151"/>
      <c r="E127" s="151"/>
      <c r="F127" s="151"/>
      <c r="G127" s="151"/>
      <c r="H127" s="151"/>
      <c r="I127" s="599"/>
      <c r="J127" s="599"/>
      <c r="K127" s="151"/>
      <c r="L127" s="151"/>
      <c r="M127" s="151"/>
      <c r="N127" s="599"/>
      <c r="O127" s="599"/>
      <c r="P127" s="599"/>
      <c r="Q127" s="151"/>
      <c r="R127" s="599"/>
      <c r="S127" s="599"/>
      <c r="T127" s="599"/>
      <c r="U127" s="599"/>
      <c r="V127" s="599"/>
      <c r="W127" s="151"/>
      <c r="X127" s="151"/>
    </row>
    <row r="128" spans="1:24">
      <c r="A128" s="591"/>
      <c r="B128" s="600"/>
      <c r="C128" s="602"/>
      <c r="D128" s="601"/>
      <c r="E128" s="601"/>
      <c r="F128" s="601"/>
      <c r="G128" s="601"/>
      <c r="H128" s="601"/>
      <c r="I128" s="602"/>
      <c r="J128" s="602"/>
      <c r="K128" s="601"/>
      <c r="L128" s="601"/>
      <c r="M128" s="601"/>
      <c r="N128" s="602"/>
      <c r="O128" s="602"/>
      <c r="P128" s="602"/>
      <c r="Q128" s="601"/>
      <c r="R128" s="602"/>
      <c r="S128" s="602"/>
      <c r="T128" s="602"/>
      <c r="U128" s="602"/>
      <c r="V128" s="602"/>
      <c r="W128" s="606"/>
      <c r="X128" s="606"/>
    </row>
    <row r="129" spans="1:24">
      <c r="A129" s="591"/>
      <c r="B129" s="589"/>
      <c r="C129" s="596"/>
      <c r="D129" s="597"/>
      <c r="E129" s="597"/>
      <c r="F129" s="597"/>
      <c r="G129" s="597"/>
      <c r="H129" s="597"/>
      <c r="I129" s="596"/>
      <c r="J129" s="596"/>
      <c r="K129" s="597"/>
      <c r="L129" s="597"/>
      <c r="M129" s="597"/>
      <c r="N129" s="596"/>
      <c r="O129" s="596"/>
      <c r="P129" s="596"/>
      <c r="Q129" s="597"/>
      <c r="R129" s="596"/>
      <c r="S129" s="596"/>
      <c r="T129" s="596"/>
      <c r="U129" s="596"/>
      <c r="V129" s="596"/>
      <c r="W129" s="151"/>
      <c r="X129" s="151"/>
    </row>
    <row r="130" spans="1:24">
      <c r="A130" s="591"/>
      <c r="B130" s="598"/>
      <c r="C130" s="599"/>
      <c r="D130" s="151"/>
      <c r="E130" s="151"/>
      <c r="F130" s="151"/>
      <c r="G130" s="151"/>
      <c r="H130" s="151"/>
      <c r="I130" s="599"/>
      <c r="J130" s="599"/>
      <c r="K130" s="151"/>
      <c r="L130" s="151"/>
      <c r="M130" s="151"/>
      <c r="N130" s="599"/>
      <c r="O130" s="599"/>
      <c r="P130" s="599"/>
      <c r="Q130" s="151"/>
      <c r="R130" s="599"/>
      <c r="S130" s="599"/>
      <c r="T130" s="599"/>
      <c r="U130" s="599"/>
      <c r="V130" s="599"/>
      <c r="W130" s="151"/>
      <c r="X130" s="151"/>
    </row>
    <row r="131" spans="1:24">
      <c r="A131" s="591"/>
      <c r="B131" s="600"/>
      <c r="C131" s="602"/>
      <c r="D131" s="601"/>
      <c r="E131" s="601"/>
      <c r="F131" s="601"/>
      <c r="G131" s="601"/>
      <c r="H131" s="601"/>
      <c r="I131" s="602"/>
      <c r="J131" s="602"/>
      <c r="K131" s="601"/>
      <c r="L131" s="601"/>
      <c r="M131" s="601"/>
      <c r="N131" s="602"/>
      <c r="O131" s="602"/>
      <c r="P131" s="602"/>
      <c r="Q131" s="601"/>
      <c r="R131" s="602"/>
      <c r="S131" s="602"/>
      <c r="T131" s="602"/>
      <c r="U131" s="602"/>
      <c r="V131" s="602"/>
      <c r="W131" s="607"/>
      <c r="X131" s="606"/>
    </row>
    <row r="132" spans="1:24">
      <c r="A132" s="595"/>
      <c r="B132" s="589"/>
      <c r="C132" s="596"/>
      <c r="D132" s="597"/>
      <c r="E132" s="597"/>
      <c r="F132" s="597"/>
      <c r="G132" s="597"/>
      <c r="H132" s="597"/>
      <c r="I132" s="596"/>
      <c r="J132" s="596"/>
      <c r="K132" s="597"/>
      <c r="L132" s="597"/>
      <c r="M132" s="597"/>
      <c r="N132" s="596"/>
      <c r="O132" s="596"/>
      <c r="P132" s="596"/>
      <c r="Q132" s="597"/>
      <c r="R132" s="596"/>
      <c r="S132" s="596"/>
      <c r="T132" s="596"/>
      <c r="U132" s="596"/>
      <c r="V132" s="596"/>
      <c r="W132" s="151"/>
      <c r="X132" s="151"/>
    </row>
    <row r="133" spans="1:24">
      <c r="A133" s="591"/>
      <c r="B133" s="598"/>
      <c r="C133" s="599"/>
      <c r="D133" s="151"/>
      <c r="E133" s="151"/>
      <c r="F133" s="151"/>
      <c r="G133" s="151"/>
      <c r="H133" s="151"/>
      <c r="I133" s="599"/>
      <c r="J133" s="599"/>
      <c r="K133" s="151"/>
      <c r="L133" s="151"/>
      <c r="M133" s="151"/>
      <c r="N133" s="599"/>
      <c r="O133" s="599"/>
      <c r="P133" s="599"/>
      <c r="Q133" s="151"/>
      <c r="R133" s="599"/>
      <c r="S133" s="599"/>
      <c r="T133" s="599"/>
      <c r="U133" s="599"/>
      <c r="V133" s="599"/>
      <c r="W133" s="151"/>
      <c r="X133" s="151"/>
    </row>
    <row r="134" spans="1:24">
      <c r="A134" s="591"/>
      <c r="B134" s="600"/>
      <c r="C134" s="602"/>
      <c r="D134" s="601"/>
      <c r="E134" s="601"/>
      <c r="F134" s="601"/>
      <c r="G134" s="601"/>
      <c r="H134" s="601"/>
      <c r="I134" s="602"/>
      <c r="J134" s="602"/>
      <c r="K134" s="601"/>
      <c r="L134" s="601"/>
      <c r="M134" s="601"/>
      <c r="N134" s="602"/>
      <c r="O134" s="602"/>
      <c r="P134" s="602"/>
      <c r="Q134" s="601"/>
      <c r="R134" s="602"/>
      <c r="S134" s="602"/>
      <c r="T134" s="602"/>
      <c r="U134" s="602"/>
      <c r="V134" s="602"/>
      <c r="W134" s="606"/>
      <c r="X134" s="606"/>
    </row>
    <row r="135" spans="1:24">
      <c r="A135" s="591"/>
      <c r="B135" s="589"/>
      <c r="C135" s="596"/>
      <c r="D135" s="597"/>
      <c r="E135" s="597"/>
      <c r="F135" s="597"/>
      <c r="G135" s="597"/>
      <c r="H135" s="597"/>
      <c r="I135" s="596"/>
      <c r="J135" s="596"/>
      <c r="K135" s="597"/>
      <c r="L135" s="597"/>
      <c r="M135" s="597"/>
      <c r="N135" s="596"/>
      <c r="O135" s="596"/>
      <c r="P135" s="596"/>
      <c r="Q135" s="597"/>
      <c r="R135" s="596"/>
      <c r="S135" s="596"/>
      <c r="T135" s="596"/>
      <c r="U135" s="596"/>
      <c r="V135" s="596"/>
      <c r="W135" s="151"/>
      <c r="X135" s="151"/>
    </row>
    <row r="136" spans="1:24">
      <c r="A136" s="591"/>
      <c r="B136" s="598"/>
      <c r="C136" s="599"/>
      <c r="D136" s="151"/>
      <c r="E136" s="151"/>
      <c r="F136" s="151"/>
      <c r="G136" s="151"/>
      <c r="H136" s="151"/>
      <c r="I136" s="599"/>
      <c r="J136" s="599"/>
      <c r="K136" s="151"/>
      <c r="L136" s="151"/>
      <c r="M136" s="151"/>
      <c r="N136" s="599"/>
      <c r="O136" s="599"/>
      <c r="P136" s="599"/>
      <c r="Q136" s="151"/>
      <c r="R136" s="599"/>
      <c r="S136" s="599"/>
      <c r="T136" s="599"/>
      <c r="U136" s="599"/>
      <c r="V136" s="599"/>
      <c r="W136" s="151"/>
      <c r="X136" s="151"/>
    </row>
    <row r="137" spans="1:24">
      <c r="A137" s="591"/>
      <c r="B137" s="600"/>
      <c r="C137" s="602"/>
      <c r="D137" s="601"/>
      <c r="E137" s="601"/>
      <c r="F137" s="601"/>
      <c r="G137" s="601"/>
      <c r="H137" s="601"/>
      <c r="I137" s="602"/>
      <c r="J137" s="602"/>
      <c r="K137" s="601"/>
      <c r="L137" s="601"/>
      <c r="M137" s="601"/>
      <c r="N137" s="602"/>
      <c r="O137" s="602"/>
      <c r="P137" s="602"/>
      <c r="Q137" s="601"/>
      <c r="R137" s="602"/>
      <c r="S137" s="602"/>
      <c r="T137" s="602"/>
      <c r="U137" s="602"/>
      <c r="V137" s="602"/>
      <c r="W137" s="606"/>
      <c r="X137" s="606"/>
    </row>
    <row r="138" spans="1:24">
      <c r="A138" s="591"/>
      <c r="B138" s="589"/>
      <c r="C138" s="596"/>
      <c r="D138" s="597"/>
      <c r="E138" s="597"/>
      <c r="F138" s="597"/>
      <c r="G138" s="597"/>
      <c r="H138" s="597"/>
      <c r="I138" s="596"/>
      <c r="J138" s="596"/>
      <c r="K138" s="597"/>
      <c r="L138" s="597"/>
      <c r="M138" s="597"/>
      <c r="N138" s="596"/>
      <c r="O138" s="596"/>
      <c r="P138" s="596"/>
      <c r="Q138" s="597"/>
      <c r="R138" s="596"/>
      <c r="S138" s="596"/>
      <c r="T138" s="596"/>
      <c r="U138" s="596"/>
      <c r="V138" s="596"/>
      <c r="W138" s="151"/>
      <c r="X138" s="151"/>
    </row>
    <row r="139" spans="1:24">
      <c r="A139" s="591"/>
      <c r="B139" s="598"/>
      <c r="C139" s="599"/>
      <c r="D139" s="151"/>
      <c r="E139" s="151"/>
      <c r="F139" s="151"/>
      <c r="G139" s="151"/>
      <c r="H139" s="151"/>
      <c r="I139" s="599"/>
      <c r="J139" s="599"/>
      <c r="K139" s="151"/>
      <c r="L139" s="151"/>
      <c r="M139" s="151"/>
      <c r="N139" s="599"/>
      <c r="O139" s="599"/>
      <c r="P139" s="599"/>
      <c r="Q139" s="151"/>
      <c r="R139" s="599"/>
      <c r="S139" s="599"/>
      <c r="T139" s="599"/>
      <c r="U139" s="599"/>
      <c r="V139" s="599"/>
      <c r="W139" s="151"/>
      <c r="X139" s="151"/>
    </row>
    <row r="140" spans="1:24">
      <c r="A140" s="591"/>
      <c r="B140" s="600"/>
      <c r="C140" s="602"/>
      <c r="D140" s="601"/>
      <c r="E140" s="601"/>
      <c r="F140" s="601"/>
      <c r="G140" s="601"/>
      <c r="H140" s="601"/>
      <c r="I140" s="602"/>
      <c r="J140" s="602"/>
      <c r="K140" s="601"/>
      <c r="L140" s="601"/>
      <c r="M140" s="601"/>
      <c r="N140" s="602"/>
      <c r="O140" s="602"/>
      <c r="P140" s="602"/>
      <c r="Q140" s="601"/>
      <c r="R140" s="602"/>
      <c r="S140" s="602"/>
      <c r="T140" s="602"/>
      <c r="U140" s="602"/>
      <c r="V140" s="602"/>
      <c r="W140" s="606"/>
      <c r="X140" s="606"/>
    </row>
    <row r="141" spans="1:24">
      <c r="A141" s="591"/>
      <c r="B141" s="589"/>
      <c r="C141" s="596"/>
      <c r="D141" s="597"/>
      <c r="E141" s="597"/>
      <c r="F141" s="597"/>
      <c r="G141" s="597"/>
      <c r="H141" s="597"/>
      <c r="I141" s="596"/>
      <c r="J141" s="596"/>
      <c r="K141" s="597"/>
      <c r="L141" s="597"/>
      <c r="M141" s="597"/>
      <c r="N141" s="596"/>
      <c r="O141" s="596"/>
      <c r="P141" s="596"/>
      <c r="Q141" s="597"/>
      <c r="R141" s="596"/>
      <c r="S141" s="596"/>
      <c r="T141" s="596"/>
      <c r="U141" s="596"/>
      <c r="V141" s="596"/>
      <c r="W141" s="151"/>
      <c r="X141" s="151"/>
    </row>
    <row r="142" spans="1:24">
      <c r="A142" s="591"/>
      <c r="B142" s="598"/>
      <c r="C142" s="599"/>
      <c r="D142" s="151"/>
      <c r="E142" s="151"/>
      <c r="F142" s="151"/>
      <c r="G142" s="151"/>
      <c r="H142" s="151"/>
      <c r="I142" s="599"/>
      <c r="J142" s="599"/>
      <c r="K142" s="151"/>
      <c r="L142" s="151"/>
      <c r="M142" s="151"/>
      <c r="N142" s="599"/>
      <c r="O142" s="599"/>
      <c r="P142" s="599"/>
      <c r="Q142" s="151"/>
      <c r="R142" s="599"/>
      <c r="S142" s="599"/>
      <c r="T142" s="599"/>
      <c r="U142" s="599"/>
      <c r="V142" s="599"/>
      <c r="W142" s="151"/>
      <c r="X142" s="151"/>
    </row>
    <row r="143" spans="1:24">
      <c r="A143" s="591"/>
      <c r="B143" s="600"/>
      <c r="C143" s="602"/>
      <c r="D143" s="601"/>
      <c r="E143" s="601"/>
      <c r="F143" s="601"/>
      <c r="G143" s="601"/>
      <c r="H143" s="601"/>
      <c r="I143" s="602"/>
      <c r="J143" s="602"/>
      <c r="K143" s="601"/>
      <c r="L143" s="601"/>
      <c r="M143" s="601"/>
      <c r="N143" s="602"/>
      <c r="O143" s="602"/>
      <c r="P143" s="602"/>
      <c r="Q143" s="601"/>
      <c r="R143" s="602"/>
      <c r="S143" s="602"/>
      <c r="T143" s="602"/>
      <c r="U143" s="602"/>
      <c r="V143" s="602"/>
      <c r="W143" s="606"/>
      <c r="X143" s="606"/>
    </row>
    <row r="144" spans="1:24">
      <c r="A144" s="591"/>
      <c r="B144" s="589"/>
      <c r="C144" s="596"/>
      <c r="D144" s="597"/>
      <c r="E144" s="597"/>
      <c r="F144" s="597"/>
      <c r="G144" s="597"/>
      <c r="H144" s="597"/>
      <c r="I144" s="596"/>
      <c r="J144" s="596"/>
      <c r="K144" s="597"/>
      <c r="L144" s="597"/>
      <c r="M144" s="597"/>
      <c r="N144" s="596"/>
      <c r="O144" s="596"/>
      <c r="P144" s="596"/>
      <c r="Q144" s="597"/>
      <c r="R144" s="596"/>
      <c r="S144" s="596"/>
      <c r="T144" s="596"/>
      <c r="U144" s="596"/>
      <c r="V144" s="596"/>
      <c r="W144" s="151"/>
      <c r="X144" s="151"/>
    </row>
    <row r="145" spans="1:24">
      <c r="A145" s="591"/>
      <c r="B145" s="598"/>
      <c r="C145" s="599"/>
      <c r="D145" s="151"/>
      <c r="E145" s="151"/>
      <c r="F145" s="151"/>
      <c r="G145" s="151"/>
      <c r="H145" s="151"/>
      <c r="I145" s="599"/>
      <c r="J145" s="599"/>
      <c r="K145" s="151"/>
      <c r="L145" s="151"/>
      <c r="M145" s="151"/>
      <c r="N145" s="599"/>
      <c r="O145" s="599"/>
      <c r="P145" s="599"/>
      <c r="Q145" s="151"/>
      <c r="R145" s="599"/>
      <c r="S145" s="599"/>
      <c r="T145" s="599"/>
      <c r="U145" s="599"/>
      <c r="V145" s="599"/>
      <c r="W145" s="151"/>
      <c r="X145" s="151"/>
    </row>
    <row r="146" spans="1:24">
      <c r="A146" s="591"/>
      <c r="B146" s="600"/>
      <c r="C146" s="602"/>
      <c r="D146" s="601"/>
      <c r="E146" s="601"/>
      <c r="F146" s="601"/>
      <c r="G146" s="601"/>
      <c r="H146" s="601"/>
      <c r="I146" s="602"/>
      <c r="J146" s="602"/>
      <c r="K146" s="601"/>
      <c r="L146" s="601"/>
      <c r="M146" s="601"/>
      <c r="N146" s="602"/>
      <c r="O146" s="602"/>
      <c r="P146" s="602"/>
      <c r="Q146" s="601"/>
      <c r="R146" s="602"/>
      <c r="S146" s="602"/>
      <c r="T146" s="602"/>
      <c r="U146" s="602"/>
      <c r="V146" s="602"/>
      <c r="W146" s="606"/>
      <c r="X146" s="606"/>
    </row>
    <row r="147" spans="1:24">
      <c r="A147" s="591"/>
      <c r="B147" s="589"/>
      <c r="C147" s="596"/>
      <c r="D147" s="597"/>
      <c r="E147" s="597"/>
      <c r="F147" s="597"/>
      <c r="G147" s="597"/>
      <c r="H147" s="597"/>
      <c r="I147" s="596"/>
      <c r="J147" s="596"/>
      <c r="K147" s="597"/>
      <c r="L147" s="597"/>
      <c r="M147" s="597"/>
      <c r="N147" s="596"/>
      <c r="O147" s="596"/>
      <c r="P147" s="596"/>
      <c r="Q147" s="597"/>
      <c r="R147" s="596"/>
      <c r="S147" s="596"/>
      <c r="T147" s="596"/>
      <c r="U147" s="596"/>
      <c r="V147" s="596"/>
      <c r="W147" s="151"/>
      <c r="X147" s="151"/>
    </row>
    <row r="148" spans="1:24">
      <c r="A148" s="591"/>
      <c r="B148" s="598"/>
      <c r="C148" s="599"/>
      <c r="D148" s="151"/>
      <c r="E148" s="151"/>
      <c r="F148" s="151"/>
      <c r="G148" s="151"/>
      <c r="H148" s="151"/>
      <c r="I148" s="599"/>
      <c r="J148" s="599"/>
      <c r="K148" s="151"/>
      <c r="L148" s="151"/>
      <c r="M148" s="151"/>
      <c r="N148" s="599"/>
      <c r="O148" s="599"/>
      <c r="P148" s="599"/>
      <c r="Q148" s="151"/>
      <c r="R148" s="599"/>
      <c r="S148" s="599"/>
      <c r="T148" s="599"/>
      <c r="U148" s="599"/>
      <c r="V148" s="599"/>
      <c r="W148" s="151"/>
      <c r="X148" s="151"/>
    </row>
    <row r="149" spans="1:24">
      <c r="A149" s="591"/>
      <c r="B149" s="600"/>
      <c r="C149" s="602"/>
      <c r="D149" s="601"/>
      <c r="E149" s="601"/>
      <c r="F149" s="601"/>
      <c r="G149" s="601"/>
      <c r="H149" s="601"/>
      <c r="I149" s="602"/>
      <c r="J149" s="602"/>
      <c r="K149" s="601"/>
      <c r="L149" s="601"/>
      <c r="M149" s="601"/>
      <c r="N149" s="602"/>
      <c r="O149" s="602"/>
      <c r="P149" s="602"/>
      <c r="Q149" s="601"/>
      <c r="R149" s="602"/>
      <c r="S149" s="602"/>
      <c r="T149" s="602"/>
      <c r="U149" s="602"/>
      <c r="V149" s="602"/>
      <c r="W149" s="606"/>
      <c r="X149" s="606"/>
    </row>
    <row r="150" spans="1:24">
      <c r="A150" s="591"/>
      <c r="B150" s="589"/>
      <c r="C150" s="596"/>
      <c r="D150" s="597"/>
      <c r="E150" s="597"/>
      <c r="F150" s="597"/>
      <c r="G150" s="597"/>
      <c r="H150" s="597"/>
      <c r="I150" s="596"/>
      <c r="J150" s="596"/>
      <c r="K150" s="597"/>
      <c r="L150" s="597"/>
      <c r="M150" s="597"/>
      <c r="N150" s="596"/>
      <c r="O150" s="596"/>
      <c r="P150" s="596"/>
      <c r="Q150" s="597"/>
      <c r="R150" s="596"/>
      <c r="S150" s="596"/>
      <c r="T150" s="596"/>
      <c r="U150" s="596"/>
      <c r="V150" s="596"/>
      <c r="W150" s="151"/>
      <c r="X150" s="151"/>
    </row>
    <row r="151" spans="1:24">
      <c r="A151" s="591"/>
      <c r="B151" s="598"/>
      <c r="C151" s="599"/>
      <c r="D151" s="151"/>
      <c r="E151" s="151"/>
      <c r="F151" s="151"/>
      <c r="G151" s="151"/>
      <c r="H151" s="151"/>
      <c r="I151" s="599"/>
      <c r="J151" s="599"/>
      <c r="K151" s="151"/>
      <c r="L151" s="151"/>
      <c r="M151" s="151"/>
      <c r="N151" s="599"/>
      <c r="O151" s="599"/>
      <c r="P151" s="599"/>
      <c r="Q151" s="151"/>
      <c r="R151" s="599"/>
      <c r="S151" s="599"/>
      <c r="T151" s="599"/>
      <c r="U151" s="599"/>
      <c r="V151" s="599"/>
      <c r="W151" s="151"/>
      <c r="X151" s="151"/>
    </row>
    <row r="152" spans="1:24">
      <c r="A152" s="591"/>
      <c r="B152" s="600"/>
      <c r="C152" s="602"/>
      <c r="D152" s="601"/>
      <c r="E152" s="601"/>
      <c r="F152" s="601"/>
      <c r="G152" s="601"/>
      <c r="H152" s="601"/>
      <c r="I152" s="602"/>
      <c r="J152" s="602"/>
      <c r="K152" s="601"/>
      <c r="L152" s="601"/>
      <c r="M152" s="601"/>
      <c r="N152" s="602"/>
      <c r="O152" s="602"/>
      <c r="P152" s="602"/>
      <c r="Q152" s="601"/>
      <c r="R152" s="602"/>
      <c r="S152" s="602"/>
      <c r="T152" s="602"/>
      <c r="U152" s="602"/>
      <c r="V152" s="602"/>
      <c r="W152" s="606"/>
      <c r="X152" s="606"/>
    </row>
    <row r="153" spans="1:24">
      <c r="A153" s="595"/>
      <c r="B153" s="589"/>
      <c r="C153" s="596"/>
      <c r="D153" s="597"/>
      <c r="E153" s="597"/>
      <c r="F153" s="597"/>
      <c r="G153" s="597"/>
      <c r="H153" s="597"/>
      <c r="I153" s="596"/>
      <c r="J153" s="596"/>
      <c r="K153" s="597"/>
      <c r="L153" s="597"/>
      <c r="M153" s="597"/>
      <c r="N153" s="596"/>
      <c r="O153" s="596"/>
      <c r="P153" s="596"/>
      <c r="Q153" s="597"/>
      <c r="R153" s="596"/>
      <c r="S153" s="596"/>
      <c r="T153" s="596"/>
      <c r="U153" s="596"/>
      <c r="V153" s="596"/>
      <c r="W153" s="151"/>
      <c r="X153" s="151"/>
    </row>
    <row r="154" spans="1:24">
      <c r="A154" s="591"/>
      <c r="B154" s="598"/>
      <c r="C154" s="599"/>
      <c r="D154" s="151"/>
      <c r="E154" s="151"/>
      <c r="F154" s="151"/>
      <c r="G154" s="151"/>
      <c r="H154" s="151"/>
      <c r="I154" s="599"/>
      <c r="J154" s="599"/>
      <c r="K154" s="151"/>
      <c r="L154" s="151"/>
      <c r="M154" s="151"/>
      <c r="N154" s="599"/>
      <c r="O154" s="599"/>
      <c r="P154" s="599"/>
      <c r="Q154" s="151"/>
      <c r="R154" s="599"/>
      <c r="S154" s="599"/>
      <c r="T154" s="599"/>
      <c r="U154" s="599"/>
      <c r="V154" s="599"/>
      <c r="W154" s="151"/>
      <c r="X154" s="151"/>
    </row>
    <row r="155" spans="1:24">
      <c r="A155" s="591"/>
      <c r="B155" s="600"/>
      <c r="C155" s="602"/>
      <c r="D155" s="601"/>
      <c r="E155" s="601"/>
      <c r="F155" s="601"/>
      <c r="G155" s="601"/>
      <c r="H155" s="601"/>
      <c r="I155" s="602"/>
      <c r="J155" s="602"/>
      <c r="K155" s="601"/>
      <c r="L155" s="601"/>
      <c r="M155" s="601"/>
      <c r="N155" s="602"/>
      <c r="O155" s="602"/>
      <c r="P155" s="602"/>
      <c r="Q155" s="601"/>
      <c r="R155" s="602"/>
      <c r="S155" s="602"/>
      <c r="T155" s="602"/>
      <c r="U155" s="602"/>
      <c r="V155" s="602"/>
      <c r="W155" s="606"/>
      <c r="X155" s="606"/>
    </row>
    <row r="156" spans="1:24">
      <c r="A156" s="591"/>
      <c r="B156" s="589"/>
      <c r="C156" s="596"/>
      <c r="D156" s="597"/>
      <c r="E156" s="597"/>
      <c r="F156" s="597"/>
      <c r="G156" s="597"/>
      <c r="H156" s="597"/>
      <c r="I156" s="596"/>
      <c r="J156" s="596"/>
      <c r="K156" s="597"/>
      <c r="L156" s="597"/>
      <c r="M156" s="597"/>
      <c r="N156" s="596"/>
      <c r="O156" s="596"/>
      <c r="P156" s="596"/>
      <c r="Q156" s="597"/>
      <c r="R156" s="596"/>
      <c r="S156" s="596"/>
      <c r="T156" s="596"/>
      <c r="U156" s="596"/>
      <c r="V156" s="596"/>
      <c r="W156" s="151"/>
      <c r="X156" s="151"/>
    </row>
    <row r="157" spans="1:24">
      <c r="A157" s="591"/>
      <c r="B157" s="598"/>
      <c r="C157" s="599"/>
      <c r="D157" s="151"/>
      <c r="E157" s="151"/>
      <c r="F157" s="151"/>
      <c r="G157" s="151"/>
      <c r="H157" s="151"/>
      <c r="I157" s="599"/>
      <c r="J157" s="599"/>
      <c r="K157" s="151"/>
      <c r="L157" s="151"/>
      <c r="M157" s="151"/>
      <c r="N157" s="599"/>
      <c r="O157" s="599"/>
      <c r="P157" s="599"/>
      <c r="Q157" s="151"/>
      <c r="R157" s="599"/>
      <c r="S157" s="599"/>
      <c r="T157" s="599"/>
      <c r="U157" s="599"/>
      <c r="V157" s="599"/>
      <c r="W157" s="151"/>
      <c r="X157" s="151"/>
    </row>
    <row r="158" spans="1:24">
      <c r="A158" s="591"/>
      <c r="B158" s="600"/>
      <c r="C158" s="602"/>
      <c r="D158" s="601"/>
      <c r="E158" s="601"/>
      <c r="F158" s="601"/>
      <c r="G158" s="601"/>
      <c r="H158" s="601"/>
      <c r="I158" s="602"/>
      <c r="J158" s="602"/>
      <c r="K158" s="601"/>
      <c r="L158" s="601"/>
      <c r="M158" s="601"/>
      <c r="N158" s="602"/>
      <c r="O158" s="602"/>
      <c r="P158" s="602"/>
      <c r="Q158" s="601"/>
      <c r="R158" s="602"/>
      <c r="S158" s="602"/>
      <c r="T158" s="602"/>
      <c r="U158" s="602"/>
      <c r="V158" s="602"/>
      <c r="W158" s="606"/>
      <c r="X158" s="606"/>
    </row>
    <row r="159" spans="1:24">
      <c r="A159" s="591"/>
      <c r="B159" s="589"/>
      <c r="C159" s="596"/>
      <c r="D159" s="597"/>
      <c r="E159" s="597"/>
      <c r="F159" s="597"/>
      <c r="G159" s="597"/>
      <c r="H159" s="597"/>
      <c r="I159" s="596"/>
      <c r="J159" s="596"/>
      <c r="K159" s="597"/>
      <c r="L159" s="597"/>
      <c r="M159" s="597"/>
      <c r="N159" s="596"/>
      <c r="O159" s="596"/>
      <c r="P159" s="596"/>
      <c r="Q159" s="597"/>
      <c r="R159" s="596"/>
      <c r="S159" s="596"/>
      <c r="T159" s="596"/>
      <c r="U159" s="596"/>
      <c r="V159" s="596"/>
      <c r="W159" s="151"/>
      <c r="X159" s="151"/>
    </row>
    <row r="160" spans="1:24">
      <c r="A160" s="591"/>
      <c r="B160" s="598"/>
      <c r="C160" s="599"/>
      <c r="D160" s="151"/>
      <c r="E160" s="151"/>
      <c r="F160" s="151"/>
      <c r="G160" s="151"/>
      <c r="H160" s="151"/>
      <c r="I160" s="599"/>
      <c r="J160" s="599"/>
      <c r="K160" s="151"/>
      <c r="L160" s="151"/>
      <c r="M160" s="151"/>
      <c r="N160" s="599"/>
      <c r="O160" s="599"/>
      <c r="P160" s="599"/>
      <c r="Q160" s="151"/>
      <c r="R160" s="599"/>
      <c r="S160" s="599"/>
      <c r="T160" s="599"/>
      <c r="U160" s="599"/>
      <c r="V160" s="599"/>
      <c r="W160" s="151"/>
      <c r="X160" s="151"/>
    </row>
    <row r="161" spans="1:24">
      <c r="A161" s="591"/>
      <c r="B161" s="600"/>
      <c r="C161" s="602"/>
      <c r="D161" s="601"/>
      <c r="E161" s="601"/>
      <c r="F161" s="601"/>
      <c r="G161" s="601"/>
      <c r="H161" s="601"/>
      <c r="I161" s="602"/>
      <c r="J161" s="602"/>
      <c r="K161" s="601"/>
      <c r="L161" s="601"/>
      <c r="M161" s="601"/>
      <c r="N161" s="602"/>
      <c r="O161" s="602"/>
      <c r="P161" s="602"/>
      <c r="Q161" s="601"/>
      <c r="R161" s="602"/>
      <c r="S161" s="602"/>
      <c r="T161" s="602"/>
      <c r="U161" s="602"/>
      <c r="V161" s="602"/>
      <c r="W161" s="606"/>
      <c r="X161" s="606"/>
    </row>
    <row r="162" spans="1:24">
      <c r="A162" s="591"/>
      <c r="B162" s="589"/>
      <c r="C162" s="596"/>
      <c r="D162" s="597"/>
      <c r="E162" s="597"/>
      <c r="F162" s="597"/>
      <c r="G162" s="597"/>
      <c r="H162" s="597"/>
      <c r="I162" s="596"/>
      <c r="J162" s="596"/>
      <c r="K162" s="597"/>
      <c r="L162" s="597"/>
      <c r="M162" s="597"/>
      <c r="N162" s="596"/>
      <c r="O162" s="596"/>
      <c r="P162" s="596"/>
      <c r="Q162" s="597"/>
      <c r="R162" s="596"/>
      <c r="S162" s="596"/>
      <c r="T162" s="596"/>
      <c r="U162" s="596"/>
      <c r="V162" s="596"/>
      <c r="W162" s="151"/>
      <c r="X162" s="151"/>
    </row>
    <row r="163" spans="1:24">
      <c r="A163" s="591"/>
      <c r="B163" s="598"/>
      <c r="C163" s="599"/>
      <c r="D163" s="151"/>
      <c r="E163" s="151"/>
      <c r="F163" s="151"/>
      <c r="G163" s="151"/>
      <c r="H163" s="151"/>
      <c r="I163" s="599"/>
      <c r="J163" s="599"/>
      <c r="K163" s="151"/>
      <c r="L163" s="151"/>
      <c r="M163" s="151"/>
      <c r="N163" s="599"/>
      <c r="O163" s="599"/>
      <c r="P163" s="599"/>
      <c r="Q163" s="151"/>
      <c r="R163" s="599"/>
      <c r="S163" s="599"/>
      <c r="T163" s="599"/>
      <c r="U163" s="599"/>
      <c r="V163" s="599"/>
      <c r="W163" s="151"/>
      <c r="X163" s="151"/>
    </row>
    <row r="164" spans="1:24">
      <c r="A164" s="591"/>
      <c r="B164" s="600"/>
      <c r="C164" s="602"/>
      <c r="D164" s="601"/>
      <c r="E164" s="601"/>
      <c r="F164" s="601"/>
      <c r="G164" s="601"/>
      <c r="H164" s="601"/>
      <c r="I164" s="602"/>
      <c r="J164" s="602"/>
      <c r="K164" s="601"/>
      <c r="L164" s="601"/>
      <c r="M164" s="601"/>
      <c r="N164" s="602"/>
      <c r="O164" s="602"/>
      <c r="P164" s="602"/>
      <c r="Q164" s="601"/>
      <c r="R164" s="602"/>
      <c r="S164" s="602"/>
      <c r="T164" s="602"/>
      <c r="U164" s="602"/>
      <c r="V164" s="602"/>
      <c r="W164" s="606"/>
      <c r="X164" s="606"/>
    </row>
    <row r="165" spans="1:24">
      <c r="A165" s="591"/>
      <c r="B165" s="589"/>
      <c r="C165" s="596"/>
      <c r="D165" s="597"/>
      <c r="E165" s="597"/>
      <c r="F165" s="597"/>
      <c r="G165" s="597"/>
      <c r="H165" s="597"/>
      <c r="I165" s="596"/>
      <c r="J165" s="596"/>
      <c r="K165" s="597"/>
      <c r="L165" s="597"/>
      <c r="M165" s="597"/>
      <c r="N165" s="596"/>
      <c r="O165" s="596"/>
      <c r="P165" s="596"/>
      <c r="Q165" s="597"/>
      <c r="R165" s="596"/>
      <c r="S165" s="596"/>
      <c r="T165" s="596"/>
      <c r="U165" s="596"/>
      <c r="V165" s="596"/>
      <c r="W165" s="151"/>
      <c r="X165" s="151"/>
    </row>
    <row r="166" spans="1:24">
      <c r="A166" s="591"/>
      <c r="B166" s="598"/>
      <c r="C166" s="599"/>
      <c r="D166" s="151"/>
      <c r="E166" s="151"/>
      <c r="F166" s="151"/>
      <c r="G166" s="151"/>
      <c r="H166" s="151"/>
      <c r="I166" s="599"/>
      <c r="J166" s="599"/>
      <c r="K166" s="151"/>
      <c r="L166" s="151"/>
      <c r="M166" s="151"/>
      <c r="N166" s="599"/>
      <c r="O166" s="599"/>
      <c r="P166" s="599"/>
      <c r="Q166" s="151"/>
      <c r="R166" s="599"/>
      <c r="S166" s="599"/>
      <c r="T166" s="599"/>
      <c r="U166" s="599"/>
      <c r="V166" s="599"/>
      <c r="W166" s="151"/>
      <c r="X166" s="151"/>
    </row>
    <row r="167" spans="1:24">
      <c r="A167" s="591"/>
      <c r="B167" s="600"/>
      <c r="C167" s="602"/>
      <c r="D167" s="601"/>
      <c r="E167" s="601"/>
      <c r="F167" s="601"/>
      <c r="G167" s="601"/>
      <c r="H167" s="601"/>
      <c r="I167" s="602"/>
      <c r="J167" s="602"/>
      <c r="K167" s="601"/>
      <c r="L167" s="601"/>
      <c r="M167" s="601"/>
      <c r="N167" s="602"/>
      <c r="O167" s="602"/>
      <c r="P167" s="602"/>
      <c r="Q167" s="601"/>
      <c r="R167" s="602"/>
      <c r="S167" s="602"/>
      <c r="T167" s="602"/>
      <c r="U167" s="602"/>
      <c r="V167" s="602"/>
      <c r="W167" s="606"/>
      <c r="X167" s="606"/>
    </row>
    <row r="168" spans="1:24">
      <c r="A168" s="591"/>
      <c r="B168" s="589"/>
      <c r="C168" s="596"/>
      <c r="D168" s="597"/>
      <c r="E168" s="597"/>
      <c r="F168" s="597"/>
      <c r="G168" s="597"/>
      <c r="H168" s="597"/>
      <c r="I168" s="596"/>
      <c r="J168" s="596"/>
      <c r="K168" s="597"/>
      <c r="L168" s="597"/>
      <c r="M168" s="597"/>
      <c r="N168" s="596"/>
      <c r="O168" s="596"/>
      <c r="P168" s="596"/>
      <c r="Q168" s="597"/>
      <c r="R168" s="596"/>
      <c r="S168" s="596"/>
      <c r="T168" s="596"/>
      <c r="U168" s="596"/>
      <c r="V168" s="596"/>
      <c r="W168" s="151"/>
      <c r="X168" s="151"/>
    </row>
    <row r="169" spans="1:24">
      <c r="A169" s="591"/>
      <c r="B169" s="598"/>
      <c r="C169" s="599"/>
      <c r="D169" s="151"/>
      <c r="E169" s="151"/>
      <c r="F169" s="151"/>
      <c r="G169" s="151"/>
      <c r="H169" s="151"/>
      <c r="I169" s="599"/>
      <c r="J169" s="599"/>
      <c r="K169" s="151"/>
      <c r="L169" s="151"/>
      <c r="M169" s="151"/>
      <c r="N169" s="599"/>
      <c r="O169" s="599"/>
      <c r="P169" s="599"/>
      <c r="Q169" s="151"/>
      <c r="R169" s="599"/>
      <c r="S169" s="599"/>
      <c r="T169" s="599"/>
      <c r="U169" s="599"/>
      <c r="V169" s="599"/>
      <c r="W169" s="151"/>
      <c r="X169" s="151"/>
    </row>
    <row r="170" spans="1:24">
      <c r="A170" s="591"/>
      <c r="B170" s="600"/>
      <c r="C170" s="602"/>
      <c r="D170" s="601"/>
      <c r="E170" s="601"/>
      <c r="F170" s="601"/>
      <c r="G170" s="601"/>
      <c r="H170" s="601"/>
      <c r="I170" s="602"/>
      <c r="J170" s="602"/>
      <c r="K170" s="601"/>
      <c r="L170" s="601"/>
      <c r="M170" s="601"/>
      <c r="N170" s="602"/>
      <c r="O170" s="602"/>
      <c r="P170" s="602"/>
      <c r="Q170" s="601"/>
      <c r="R170" s="602"/>
      <c r="S170" s="602"/>
      <c r="T170" s="602"/>
      <c r="U170" s="602"/>
      <c r="V170" s="602"/>
      <c r="W170" s="606"/>
      <c r="X170" s="606"/>
    </row>
    <row r="171" spans="1:24">
      <c r="A171" s="591"/>
      <c r="B171" s="589"/>
      <c r="C171" s="596"/>
      <c r="D171" s="597"/>
      <c r="E171" s="597"/>
      <c r="F171" s="597"/>
      <c r="G171" s="597"/>
      <c r="H171" s="597"/>
      <c r="I171" s="596"/>
      <c r="J171" s="596"/>
      <c r="K171" s="597"/>
      <c r="L171" s="597"/>
      <c r="M171" s="597"/>
      <c r="N171" s="596"/>
      <c r="O171" s="596"/>
      <c r="P171" s="596"/>
      <c r="Q171" s="597"/>
      <c r="R171" s="596"/>
      <c r="S171" s="596"/>
      <c r="T171" s="596"/>
      <c r="U171" s="596"/>
      <c r="V171" s="596"/>
      <c r="W171" s="151"/>
      <c r="X171" s="151"/>
    </row>
    <row r="172" spans="1:24">
      <c r="A172" s="591"/>
      <c r="B172" s="598"/>
      <c r="C172" s="599"/>
      <c r="D172" s="151"/>
      <c r="E172" s="151"/>
      <c r="F172" s="151"/>
      <c r="G172" s="151"/>
      <c r="H172" s="151"/>
      <c r="I172" s="599"/>
      <c r="J172" s="599"/>
      <c r="K172" s="151"/>
      <c r="L172" s="151"/>
      <c r="M172" s="151"/>
      <c r="N172" s="599"/>
      <c r="O172" s="599"/>
      <c r="P172" s="599"/>
      <c r="Q172" s="151"/>
      <c r="R172" s="599"/>
      <c r="S172" s="599"/>
      <c r="T172" s="599"/>
      <c r="U172" s="599"/>
      <c r="V172" s="599"/>
      <c r="W172" s="151"/>
      <c r="X172" s="151"/>
    </row>
    <row r="173" spans="1:24">
      <c r="A173" s="591"/>
      <c r="B173" s="600"/>
      <c r="C173" s="602"/>
      <c r="D173" s="601"/>
      <c r="E173" s="601"/>
      <c r="F173" s="601"/>
      <c r="G173" s="601"/>
      <c r="H173" s="601"/>
      <c r="I173" s="602"/>
      <c r="J173" s="602"/>
      <c r="K173" s="601"/>
      <c r="L173" s="601"/>
      <c r="M173" s="601"/>
      <c r="N173" s="602"/>
      <c r="O173" s="602"/>
      <c r="P173" s="602"/>
      <c r="Q173" s="601"/>
      <c r="R173" s="602"/>
      <c r="S173" s="602"/>
      <c r="T173" s="602"/>
      <c r="U173" s="602"/>
      <c r="V173" s="602"/>
      <c r="W173" s="606"/>
      <c r="X173" s="606"/>
    </row>
    <row r="174" spans="1:24">
      <c r="A174" s="595"/>
      <c r="B174" s="589"/>
      <c r="C174" s="596"/>
      <c r="D174" s="597"/>
      <c r="E174" s="597"/>
      <c r="F174" s="597"/>
      <c r="G174" s="597"/>
      <c r="H174" s="597"/>
      <c r="I174" s="596"/>
      <c r="J174" s="596"/>
      <c r="K174" s="597"/>
      <c r="L174" s="597"/>
      <c r="M174" s="597"/>
      <c r="N174" s="596"/>
      <c r="O174" s="596"/>
      <c r="P174" s="596"/>
      <c r="Q174" s="597"/>
      <c r="R174" s="596"/>
      <c r="S174" s="596"/>
      <c r="T174" s="596"/>
      <c r="U174" s="596"/>
      <c r="V174" s="596"/>
      <c r="W174" s="151"/>
      <c r="X174" s="151"/>
    </row>
    <row r="175" spans="1:24">
      <c r="A175" s="591"/>
      <c r="B175" s="598"/>
      <c r="C175" s="599"/>
      <c r="D175" s="151"/>
      <c r="E175" s="151"/>
      <c r="F175" s="151"/>
      <c r="G175" s="151"/>
      <c r="H175" s="151"/>
      <c r="I175" s="599"/>
      <c r="J175" s="599"/>
      <c r="K175" s="151"/>
      <c r="L175" s="151"/>
      <c r="M175" s="151"/>
      <c r="N175" s="599"/>
      <c r="O175" s="599"/>
      <c r="P175" s="599"/>
      <c r="Q175" s="151"/>
      <c r="R175" s="599"/>
      <c r="S175" s="599"/>
      <c r="T175" s="599"/>
      <c r="U175" s="599"/>
      <c r="V175" s="599"/>
      <c r="W175" s="151"/>
      <c r="X175" s="151"/>
    </row>
    <row r="176" spans="1:24">
      <c r="A176" s="591"/>
      <c r="B176" s="600"/>
      <c r="C176" s="602"/>
      <c r="D176" s="601"/>
      <c r="E176" s="601"/>
      <c r="F176" s="601"/>
      <c r="G176" s="601"/>
      <c r="H176" s="601"/>
      <c r="I176" s="602"/>
      <c r="J176" s="602"/>
      <c r="K176" s="601"/>
      <c r="L176" s="601"/>
      <c r="M176" s="601"/>
      <c r="N176" s="602"/>
      <c r="O176" s="602"/>
      <c r="P176" s="602"/>
      <c r="Q176" s="601"/>
      <c r="R176" s="602"/>
      <c r="S176" s="602"/>
      <c r="T176" s="602"/>
      <c r="U176" s="602"/>
      <c r="V176" s="602"/>
      <c r="W176" s="606"/>
      <c r="X176" s="606"/>
    </row>
    <row r="177" spans="1:24">
      <c r="A177" s="591"/>
      <c r="B177" s="589"/>
      <c r="C177" s="596"/>
      <c r="D177" s="597"/>
      <c r="E177" s="597"/>
      <c r="F177" s="597"/>
      <c r="G177" s="597"/>
      <c r="H177" s="597"/>
      <c r="I177" s="596"/>
      <c r="J177" s="596"/>
      <c r="K177" s="597"/>
      <c r="L177" s="597"/>
      <c r="M177" s="597"/>
      <c r="N177" s="596"/>
      <c r="O177" s="596"/>
      <c r="P177" s="596"/>
      <c r="Q177" s="597"/>
      <c r="R177" s="596"/>
      <c r="S177" s="596"/>
      <c r="T177" s="596"/>
      <c r="U177" s="596"/>
      <c r="V177" s="596"/>
      <c r="W177" s="151"/>
      <c r="X177" s="151"/>
    </row>
    <row r="178" spans="1:24">
      <c r="A178" s="591"/>
      <c r="B178" s="598"/>
      <c r="C178" s="599"/>
      <c r="D178" s="151"/>
      <c r="E178" s="151"/>
      <c r="F178" s="151"/>
      <c r="G178" s="151"/>
      <c r="H178" s="151"/>
      <c r="I178" s="599"/>
      <c r="J178" s="599"/>
      <c r="K178" s="151"/>
      <c r="L178" s="151"/>
      <c r="M178" s="151"/>
      <c r="N178" s="599"/>
      <c r="O178" s="599"/>
      <c r="P178" s="599"/>
      <c r="Q178" s="151"/>
      <c r="R178" s="599"/>
      <c r="S178" s="599"/>
      <c r="T178" s="599"/>
      <c r="U178" s="599"/>
      <c r="V178" s="599"/>
      <c r="W178" s="151"/>
      <c r="X178" s="151"/>
    </row>
    <row r="179" spans="1:24">
      <c r="A179" s="591"/>
      <c r="B179" s="600"/>
      <c r="C179" s="602"/>
      <c r="D179" s="601"/>
      <c r="E179" s="601"/>
      <c r="F179" s="601"/>
      <c r="G179" s="601"/>
      <c r="H179" s="601"/>
      <c r="I179" s="602"/>
      <c r="J179" s="602"/>
      <c r="K179" s="601"/>
      <c r="L179" s="601"/>
      <c r="M179" s="601"/>
      <c r="N179" s="602"/>
      <c r="O179" s="602"/>
      <c r="P179" s="602"/>
      <c r="Q179" s="601"/>
      <c r="R179" s="602"/>
      <c r="S179" s="602"/>
      <c r="T179" s="602"/>
      <c r="U179" s="602"/>
      <c r="V179" s="602"/>
      <c r="W179" s="606"/>
      <c r="X179" s="606"/>
    </row>
    <row r="180" spans="1:24">
      <c r="A180" s="591"/>
      <c r="B180" s="589"/>
      <c r="C180" s="596"/>
      <c r="D180" s="597"/>
      <c r="E180" s="597"/>
      <c r="F180" s="597"/>
      <c r="G180" s="597"/>
      <c r="H180" s="597"/>
      <c r="I180" s="596"/>
      <c r="J180" s="596"/>
      <c r="K180" s="597"/>
      <c r="L180" s="597"/>
      <c r="M180" s="597"/>
      <c r="N180" s="596"/>
      <c r="O180" s="596"/>
      <c r="P180" s="596"/>
      <c r="Q180" s="597"/>
      <c r="R180" s="596"/>
      <c r="S180" s="596"/>
      <c r="T180" s="596"/>
      <c r="U180" s="596"/>
      <c r="V180" s="596"/>
      <c r="W180" s="151"/>
      <c r="X180" s="151"/>
    </row>
    <row r="181" spans="1:24">
      <c r="A181" s="591"/>
      <c r="B181" s="598"/>
      <c r="C181" s="599"/>
      <c r="D181" s="151"/>
      <c r="E181" s="151"/>
      <c r="F181" s="151"/>
      <c r="G181" s="151"/>
      <c r="H181" s="151"/>
      <c r="I181" s="599"/>
      <c r="J181" s="599"/>
      <c r="K181" s="151"/>
      <c r="L181" s="151"/>
      <c r="M181" s="151"/>
      <c r="N181" s="599"/>
      <c r="O181" s="599"/>
      <c r="P181" s="599"/>
      <c r="Q181" s="151"/>
      <c r="R181" s="599"/>
      <c r="S181" s="599"/>
      <c r="T181" s="599"/>
      <c r="U181" s="599"/>
      <c r="V181" s="599"/>
      <c r="W181" s="151"/>
      <c r="X181" s="151"/>
    </row>
    <row r="182" spans="1:24">
      <c r="A182" s="591"/>
      <c r="B182" s="600"/>
      <c r="C182" s="602"/>
      <c r="D182" s="601"/>
      <c r="E182" s="601"/>
      <c r="F182" s="601"/>
      <c r="G182" s="601"/>
      <c r="H182" s="601"/>
      <c r="I182" s="602"/>
      <c r="J182" s="602"/>
      <c r="K182" s="601"/>
      <c r="L182" s="601"/>
      <c r="M182" s="601"/>
      <c r="N182" s="602"/>
      <c r="O182" s="602"/>
      <c r="P182" s="602"/>
      <c r="Q182" s="601"/>
      <c r="R182" s="602"/>
      <c r="S182" s="602"/>
      <c r="T182" s="602"/>
      <c r="U182" s="602"/>
      <c r="V182" s="602"/>
      <c r="W182" s="606"/>
      <c r="X182" s="606"/>
    </row>
    <row r="183" spans="1:24">
      <c r="A183" s="591"/>
      <c r="B183" s="589"/>
      <c r="C183" s="596"/>
      <c r="D183" s="597"/>
      <c r="E183" s="597"/>
      <c r="F183" s="597"/>
      <c r="G183" s="597"/>
      <c r="H183" s="597"/>
      <c r="I183" s="596"/>
      <c r="J183" s="596"/>
      <c r="K183" s="597"/>
      <c r="L183" s="597"/>
      <c r="M183" s="597"/>
      <c r="N183" s="596"/>
      <c r="O183" s="596"/>
      <c r="P183" s="596"/>
      <c r="Q183" s="597"/>
      <c r="R183" s="596"/>
      <c r="S183" s="596"/>
      <c r="T183" s="596"/>
      <c r="U183" s="596"/>
      <c r="V183" s="596"/>
      <c r="W183" s="151"/>
      <c r="X183" s="151"/>
    </row>
    <row r="184" spans="1:24">
      <c r="A184" s="591"/>
      <c r="B184" s="598"/>
      <c r="C184" s="599"/>
      <c r="D184" s="151"/>
      <c r="E184" s="151"/>
      <c r="F184" s="151"/>
      <c r="G184" s="151"/>
      <c r="H184" s="151"/>
      <c r="I184" s="599"/>
      <c r="J184" s="599"/>
      <c r="K184" s="151"/>
      <c r="L184" s="151"/>
      <c r="M184" s="151"/>
      <c r="N184" s="599"/>
      <c r="O184" s="599"/>
      <c r="P184" s="599"/>
      <c r="Q184" s="151"/>
      <c r="R184" s="599"/>
      <c r="S184" s="599"/>
      <c r="T184" s="599"/>
      <c r="U184" s="599"/>
      <c r="V184" s="599"/>
      <c r="W184" s="151"/>
      <c r="X184" s="151"/>
    </row>
    <row r="185" spans="1:24">
      <c r="A185" s="591"/>
      <c r="B185" s="600"/>
      <c r="C185" s="602"/>
      <c r="D185" s="601"/>
      <c r="E185" s="601"/>
      <c r="F185" s="601"/>
      <c r="G185" s="601"/>
      <c r="H185" s="601"/>
      <c r="I185" s="602"/>
      <c r="J185" s="602"/>
      <c r="K185" s="601"/>
      <c r="L185" s="601"/>
      <c r="M185" s="601"/>
      <c r="N185" s="602"/>
      <c r="O185" s="602"/>
      <c r="P185" s="602"/>
      <c r="Q185" s="601"/>
      <c r="R185" s="602"/>
      <c r="S185" s="602"/>
      <c r="T185" s="602"/>
      <c r="U185" s="602"/>
      <c r="V185" s="602"/>
      <c r="W185" s="606"/>
      <c r="X185" s="606"/>
    </row>
    <row r="186" spans="1:24">
      <c r="A186" s="591"/>
      <c r="B186" s="589"/>
      <c r="C186" s="596"/>
      <c r="D186" s="597"/>
      <c r="E186" s="597"/>
      <c r="F186" s="597"/>
      <c r="G186" s="597"/>
      <c r="H186" s="597"/>
      <c r="I186" s="596"/>
      <c r="J186" s="596"/>
      <c r="K186" s="597"/>
      <c r="L186" s="597"/>
      <c r="M186" s="597"/>
      <c r="N186" s="596"/>
      <c r="O186" s="596"/>
      <c r="P186" s="596"/>
      <c r="Q186" s="597"/>
      <c r="R186" s="596"/>
      <c r="S186" s="596"/>
      <c r="T186" s="596"/>
      <c r="U186" s="596"/>
      <c r="V186" s="596"/>
      <c r="W186" s="151"/>
      <c r="X186" s="151"/>
    </row>
    <row r="187" spans="1:24">
      <c r="A187" s="591"/>
      <c r="B187" s="598"/>
      <c r="C187" s="599"/>
      <c r="D187" s="151"/>
      <c r="E187" s="151"/>
      <c r="F187" s="151"/>
      <c r="G187" s="151"/>
      <c r="H187" s="151"/>
      <c r="I187" s="599"/>
      <c r="J187" s="599"/>
      <c r="K187" s="151"/>
      <c r="L187" s="151"/>
      <c r="M187" s="151"/>
      <c r="N187" s="599"/>
      <c r="O187" s="599"/>
      <c r="P187" s="599"/>
      <c r="Q187" s="151"/>
      <c r="R187" s="599"/>
      <c r="S187" s="599"/>
      <c r="T187" s="599"/>
      <c r="U187" s="599"/>
      <c r="V187" s="599"/>
      <c r="W187" s="151"/>
      <c r="X187" s="151"/>
    </row>
    <row r="188" spans="1:24">
      <c r="A188" s="591"/>
      <c r="B188" s="600"/>
      <c r="C188" s="602"/>
      <c r="D188" s="601"/>
      <c r="E188" s="601"/>
      <c r="F188" s="601"/>
      <c r="G188" s="601"/>
      <c r="H188" s="601"/>
      <c r="I188" s="602"/>
      <c r="J188" s="602"/>
      <c r="K188" s="601"/>
      <c r="L188" s="601"/>
      <c r="M188" s="601"/>
      <c r="N188" s="602"/>
      <c r="O188" s="602"/>
      <c r="P188" s="602"/>
      <c r="Q188" s="601"/>
      <c r="R188" s="602"/>
      <c r="S188" s="602"/>
      <c r="T188" s="602"/>
      <c r="U188" s="602"/>
      <c r="V188" s="602"/>
      <c r="W188" s="606"/>
      <c r="X188" s="606"/>
    </row>
    <row r="189" spans="1:24">
      <c r="A189" s="591"/>
      <c r="B189" s="589"/>
      <c r="C189" s="596"/>
      <c r="D189" s="597"/>
      <c r="E189" s="597"/>
      <c r="F189" s="597"/>
      <c r="G189" s="597"/>
      <c r="H189" s="597"/>
      <c r="I189" s="596"/>
      <c r="J189" s="596"/>
      <c r="K189" s="597"/>
      <c r="L189" s="597"/>
      <c r="M189" s="597"/>
      <c r="N189" s="596"/>
      <c r="O189" s="596"/>
      <c r="P189" s="596"/>
      <c r="Q189" s="597"/>
      <c r="R189" s="596"/>
      <c r="S189" s="596"/>
      <c r="T189" s="596"/>
      <c r="U189" s="596"/>
      <c r="V189" s="596"/>
      <c r="W189" s="151"/>
      <c r="X189" s="151"/>
    </row>
    <row r="190" spans="1:24">
      <c r="A190" s="591"/>
      <c r="B190" s="598"/>
      <c r="C190" s="599"/>
      <c r="D190" s="151"/>
      <c r="E190" s="151"/>
      <c r="F190" s="151"/>
      <c r="G190" s="151"/>
      <c r="H190" s="151"/>
      <c r="I190" s="599"/>
      <c r="J190" s="599"/>
      <c r="K190" s="151"/>
      <c r="L190" s="151"/>
      <c r="M190" s="151"/>
      <c r="N190" s="599"/>
      <c r="O190" s="599"/>
      <c r="P190" s="599"/>
      <c r="Q190" s="151"/>
      <c r="R190" s="599"/>
      <c r="S190" s="599"/>
      <c r="T190" s="599"/>
      <c r="U190" s="599"/>
      <c r="V190" s="599"/>
      <c r="W190" s="151"/>
      <c r="X190" s="151"/>
    </row>
    <row r="191" spans="1:24">
      <c r="A191" s="591"/>
      <c r="B191" s="600"/>
      <c r="C191" s="602"/>
      <c r="D191" s="601"/>
      <c r="E191" s="601"/>
      <c r="F191" s="601"/>
      <c r="G191" s="601"/>
      <c r="H191" s="601"/>
      <c r="I191" s="602"/>
      <c r="J191" s="602"/>
      <c r="K191" s="601"/>
      <c r="L191" s="601"/>
      <c r="M191" s="601"/>
      <c r="N191" s="602"/>
      <c r="O191" s="602"/>
      <c r="P191" s="602"/>
      <c r="Q191" s="601"/>
      <c r="R191" s="602"/>
      <c r="S191" s="602"/>
      <c r="T191" s="602"/>
      <c r="U191" s="602"/>
      <c r="V191" s="602"/>
      <c r="W191" s="606"/>
      <c r="X191" s="606"/>
    </row>
    <row r="192" spans="1:24">
      <c r="A192" s="591"/>
      <c r="B192" s="589"/>
      <c r="C192" s="596"/>
      <c r="D192" s="597"/>
      <c r="E192" s="597"/>
      <c r="F192" s="597"/>
      <c r="G192" s="597"/>
      <c r="H192" s="597"/>
      <c r="I192" s="596"/>
      <c r="J192" s="596"/>
      <c r="K192" s="597"/>
      <c r="L192" s="597"/>
      <c r="M192" s="597"/>
      <c r="N192" s="596"/>
      <c r="O192" s="596"/>
      <c r="P192" s="596"/>
      <c r="Q192" s="597"/>
      <c r="R192" s="596"/>
      <c r="S192" s="596"/>
      <c r="T192" s="596"/>
      <c r="U192" s="596"/>
      <c r="V192" s="596"/>
      <c r="W192" s="151"/>
      <c r="X192" s="151"/>
    </row>
    <row r="193" spans="1:24">
      <c r="A193" s="591"/>
      <c r="B193" s="598"/>
      <c r="C193" s="599"/>
      <c r="D193" s="151"/>
      <c r="E193" s="151"/>
      <c r="F193" s="151"/>
      <c r="G193" s="151"/>
      <c r="H193" s="151"/>
      <c r="I193" s="599"/>
      <c r="J193" s="599"/>
      <c r="K193" s="151"/>
      <c r="L193" s="151"/>
      <c r="M193" s="151"/>
      <c r="N193" s="599"/>
      <c r="O193" s="599"/>
      <c r="P193" s="599"/>
      <c r="Q193" s="151"/>
      <c r="R193" s="599"/>
      <c r="S193" s="599"/>
      <c r="T193" s="599"/>
      <c r="U193" s="599"/>
      <c r="V193" s="599"/>
      <c r="W193" s="151"/>
      <c r="X193" s="151"/>
    </row>
    <row r="194" spans="1:24">
      <c r="A194" s="591"/>
      <c r="B194" s="600"/>
      <c r="C194" s="602"/>
      <c r="D194" s="601"/>
      <c r="E194" s="601"/>
      <c r="F194" s="601"/>
      <c r="G194" s="601"/>
      <c r="H194" s="601"/>
      <c r="I194" s="602"/>
      <c r="J194" s="602"/>
      <c r="K194" s="601"/>
      <c r="L194" s="601"/>
      <c r="M194" s="601"/>
      <c r="N194" s="602"/>
      <c r="O194" s="602"/>
      <c r="P194" s="602"/>
      <c r="Q194" s="601"/>
      <c r="R194" s="602"/>
      <c r="S194" s="602"/>
      <c r="T194" s="602"/>
      <c r="U194" s="602"/>
      <c r="V194" s="602"/>
      <c r="W194" s="606"/>
      <c r="X194" s="606"/>
    </row>
    <row r="195" spans="1:24">
      <c r="A195" s="595"/>
      <c r="B195" s="589"/>
      <c r="C195" s="596"/>
      <c r="D195" s="597"/>
      <c r="E195" s="597"/>
      <c r="F195" s="597"/>
      <c r="G195" s="597"/>
      <c r="H195" s="597"/>
      <c r="I195" s="596"/>
      <c r="J195" s="596"/>
      <c r="K195" s="597"/>
      <c r="L195" s="597"/>
      <c r="M195" s="597"/>
      <c r="N195" s="596"/>
      <c r="O195" s="596"/>
      <c r="P195" s="596"/>
      <c r="Q195" s="597"/>
      <c r="R195" s="596"/>
      <c r="S195" s="596"/>
      <c r="T195" s="596"/>
      <c r="U195" s="596"/>
      <c r="V195" s="596"/>
      <c r="W195" s="151"/>
      <c r="X195" s="151"/>
    </row>
    <row r="196" spans="1:24">
      <c r="A196" s="591"/>
      <c r="B196" s="598"/>
      <c r="C196" s="599"/>
      <c r="D196" s="151"/>
      <c r="E196" s="151"/>
      <c r="F196" s="151"/>
      <c r="G196" s="151"/>
      <c r="H196" s="151"/>
      <c r="I196" s="599"/>
      <c r="J196" s="599"/>
      <c r="K196" s="151"/>
      <c r="L196" s="151"/>
      <c r="M196" s="151"/>
      <c r="N196" s="599"/>
      <c r="O196" s="599"/>
      <c r="P196" s="599"/>
      <c r="Q196" s="151"/>
      <c r="R196" s="599"/>
      <c r="S196" s="599"/>
      <c r="T196" s="599"/>
      <c r="U196" s="599"/>
      <c r="V196" s="599"/>
      <c r="W196" s="151"/>
      <c r="X196" s="151"/>
    </row>
    <row r="197" spans="1:24">
      <c r="A197" s="591"/>
      <c r="B197" s="600"/>
      <c r="C197" s="602"/>
      <c r="D197" s="601"/>
      <c r="E197" s="601"/>
      <c r="F197" s="601"/>
      <c r="G197" s="601"/>
      <c r="H197" s="601"/>
      <c r="I197" s="602"/>
      <c r="J197" s="602"/>
      <c r="K197" s="601"/>
      <c r="L197" s="601"/>
      <c r="M197" s="601"/>
      <c r="N197" s="602"/>
      <c r="O197" s="602"/>
      <c r="P197" s="602"/>
      <c r="Q197" s="601"/>
      <c r="R197" s="602"/>
      <c r="S197" s="602"/>
      <c r="T197" s="602"/>
      <c r="U197" s="602"/>
      <c r="V197" s="602"/>
      <c r="W197" s="606"/>
      <c r="X197" s="606"/>
    </row>
    <row r="198" spans="1:24">
      <c r="A198" s="591"/>
      <c r="B198" s="589"/>
      <c r="C198" s="596"/>
      <c r="D198" s="597"/>
      <c r="E198" s="597"/>
      <c r="F198" s="597"/>
      <c r="G198" s="597"/>
      <c r="H198" s="597"/>
      <c r="I198" s="596"/>
      <c r="J198" s="596"/>
      <c r="K198" s="597"/>
      <c r="L198" s="597"/>
      <c r="M198" s="597"/>
      <c r="N198" s="596"/>
      <c r="O198" s="596"/>
      <c r="P198" s="596"/>
      <c r="Q198" s="597"/>
      <c r="R198" s="596"/>
      <c r="S198" s="596"/>
      <c r="T198" s="596"/>
      <c r="U198" s="596"/>
      <c r="V198" s="596"/>
      <c r="W198" s="151"/>
      <c r="X198" s="151"/>
    </row>
    <row r="199" spans="1:24">
      <c r="A199" s="591"/>
      <c r="B199" s="598"/>
      <c r="C199" s="599"/>
      <c r="D199" s="151"/>
      <c r="E199" s="151"/>
      <c r="F199" s="151"/>
      <c r="G199" s="151"/>
      <c r="H199" s="151"/>
      <c r="I199" s="599"/>
      <c r="J199" s="599"/>
      <c r="K199" s="151"/>
      <c r="L199" s="151"/>
      <c r="M199" s="151"/>
      <c r="N199" s="599"/>
      <c r="O199" s="599"/>
      <c r="P199" s="599"/>
      <c r="Q199" s="151"/>
      <c r="R199" s="599"/>
      <c r="S199" s="599"/>
      <c r="T199" s="599"/>
      <c r="U199" s="599"/>
      <c r="V199" s="599"/>
      <c r="W199" s="151"/>
      <c r="X199" s="151"/>
    </row>
    <row r="200" spans="1:24">
      <c r="A200" s="591"/>
      <c r="B200" s="600"/>
      <c r="C200" s="602"/>
      <c r="D200" s="601"/>
      <c r="E200" s="601"/>
      <c r="F200" s="601"/>
      <c r="G200" s="601"/>
      <c r="H200" s="601"/>
      <c r="I200" s="602"/>
      <c r="J200" s="602"/>
      <c r="K200" s="601"/>
      <c r="L200" s="601"/>
      <c r="M200" s="601"/>
      <c r="N200" s="602"/>
      <c r="O200" s="602"/>
      <c r="P200" s="602"/>
      <c r="Q200" s="601"/>
      <c r="R200" s="602"/>
      <c r="S200" s="602"/>
      <c r="T200" s="602"/>
      <c r="U200" s="602"/>
      <c r="V200" s="602"/>
      <c r="W200" s="606"/>
      <c r="X200" s="606"/>
    </row>
    <row r="201" spans="1:24">
      <c r="A201" s="591"/>
      <c r="B201" s="589"/>
      <c r="C201" s="596"/>
      <c r="D201" s="597"/>
      <c r="E201" s="597"/>
      <c r="F201" s="597"/>
      <c r="G201" s="597"/>
      <c r="H201" s="597"/>
      <c r="I201" s="596"/>
      <c r="J201" s="596"/>
      <c r="K201" s="597"/>
      <c r="L201" s="597"/>
      <c r="M201" s="597"/>
      <c r="N201" s="596"/>
      <c r="O201" s="596"/>
      <c r="P201" s="596"/>
      <c r="Q201" s="597"/>
      <c r="R201" s="596"/>
      <c r="S201" s="596"/>
      <c r="T201" s="596"/>
      <c r="U201" s="596"/>
      <c r="V201" s="596"/>
      <c r="W201" s="151"/>
      <c r="X201" s="151"/>
    </row>
    <row r="202" spans="1:24">
      <c r="A202" s="591"/>
      <c r="B202" s="598"/>
      <c r="C202" s="599"/>
      <c r="D202" s="151"/>
      <c r="E202" s="151"/>
      <c r="F202" s="151"/>
      <c r="G202" s="151"/>
      <c r="H202" s="151"/>
      <c r="I202" s="599"/>
      <c r="J202" s="599"/>
      <c r="K202" s="151"/>
      <c r="L202" s="151"/>
      <c r="M202" s="151"/>
      <c r="N202" s="599"/>
      <c r="O202" s="599"/>
      <c r="P202" s="599"/>
      <c r="Q202" s="151"/>
      <c r="R202" s="599"/>
      <c r="S202" s="599"/>
      <c r="T202" s="599"/>
      <c r="U202" s="599"/>
      <c r="V202" s="599"/>
      <c r="W202" s="151"/>
      <c r="X202" s="151"/>
    </row>
    <row r="203" spans="1:24">
      <c r="A203" s="591"/>
      <c r="B203" s="600"/>
      <c r="C203" s="602"/>
      <c r="D203" s="601"/>
      <c r="E203" s="601"/>
      <c r="F203" s="601"/>
      <c r="G203" s="601"/>
      <c r="H203" s="601"/>
      <c r="I203" s="602"/>
      <c r="J203" s="602"/>
      <c r="K203" s="601"/>
      <c r="L203" s="601"/>
      <c r="M203" s="601"/>
      <c r="N203" s="602"/>
      <c r="O203" s="602"/>
      <c r="P203" s="602"/>
      <c r="Q203" s="601"/>
      <c r="R203" s="602"/>
      <c r="S203" s="602"/>
      <c r="T203" s="602"/>
      <c r="U203" s="602"/>
      <c r="V203" s="602"/>
      <c r="W203" s="606"/>
      <c r="X203" s="606"/>
    </row>
    <row r="204" spans="1:24">
      <c r="A204" s="591"/>
      <c r="B204" s="589"/>
      <c r="C204" s="596"/>
      <c r="D204" s="597"/>
      <c r="E204" s="597"/>
      <c r="F204" s="597"/>
      <c r="G204" s="597"/>
      <c r="H204" s="597"/>
      <c r="I204" s="596"/>
      <c r="J204" s="596"/>
      <c r="K204" s="597"/>
      <c r="L204" s="597"/>
      <c r="M204" s="597"/>
      <c r="N204" s="596"/>
      <c r="O204" s="596"/>
      <c r="P204" s="596"/>
      <c r="Q204" s="597"/>
      <c r="R204" s="596"/>
      <c r="S204" s="596"/>
      <c r="T204" s="596"/>
      <c r="U204" s="596"/>
      <c r="V204" s="596"/>
      <c r="W204" s="151"/>
      <c r="X204" s="151"/>
    </row>
    <row r="205" spans="1:24">
      <c r="A205" s="591"/>
      <c r="B205" s="598"/>
      <c r="C205" s="599"/>
      <c r="D205" s="151"/>
      <c r="E205" s="151"/>
      <c r="F205" s="151"/>
      <c r="G205" s="151"/>
      <c r="H205" s="151"/>
      <c r="I205" s="599"/>
      <c r="J205" s="599"/>
      <c r="K205" s="151"/>
      <c r="L205" s="151"/>
      <c r="M205" s="151"/>
      <c r="N205" s="599"/>
      <c r="O205" s="599"/>
      <c r="P205" s="599"/>
      <c r="Q205" s="151"/>
      <c r="R205" s="599"/>
      <c r="S205" s="599"/>
      <c r="T205" s="599"/>
      <c r="U205" s="599"/>
      <c r="V205" s="599"/>
      <c r="W205" s="151"/>
      <c r="X205" s="151"/>
    </row>
    <row r="206" spans="1:24">
      <c r="A206" s="591"/>
      <c r="B206" s="600"/>
      <c r="C206" s="602"/>
      <c r="D206" s="601"/>
      <c r="E206" s="601"/>
      <c r="F206" s="601"/>
      <c r="G206" s="601"/>
      <c r="H206" s="601"/>
      <c r="I206" s="602"/>
      <c r="J206" s="602"/>
      <c r="K206" s="601"/>
      <c r="L206" s="601"/>
      <c r="M206" s="601"/>
      <c r="N206" s="602"/>
      <c r="O206" s="602"/>
      <c r="P206" s="602"/>
      <c r="Q206" s="601"/>
      <c r="R206" s="602"/>
      <c r="S206" s="602"/>
      <c r="T206" s="602"/>
      <c r="U206" s="602"/>
      <c r="V206" s="602"/>
      <c r="W206" s="606"/>
      <c r="X206" s="606"/>
    </row>
    <row r="207" spans="1:24">
      <c r="A207" s="591"/>
      <c r="B207" s="589"/>
      <c r="C207" s="596"/>
      <c r="D207" s="597"/>
      <c r="E207" s="597"/>
      <c r="F207" s="597"/>
      <c r="G207" s="597"/>
      <c r="H207" s="597"/>
      <c r="I207" s="596"/>
      <c r="J207" s="596"/>
      <c r="K207" s="597"/>
      <c r="L207" s="597"/>
      <c r="M207" s="597"/>
      <c r="N207" s="596"/>
      <c r="O207" s="596"/>
      <c r="P207" s="596"/>
      <c r="Q207" s="597"/>
      <c r="R207" s="596"/>
      <c r="S207" s="596"/>
      <c r="T207" s="596"/>
      <c r="U207" s="596"/>
      <c r="V207" s="596"/>
      <c r="W207" s="151"/>
      <c r="X207" s="151"/>
    </row>
    <row r="208" spans="1:24">
      <c r="A208" s="591"/>
      <c r="B208" s="598"/>
      <c r="C208" s="599"/>
      <c r="D208" s="151"/>
      <c r="E208" s="151"/>
      <c r="F208" s="151"/>
      <c r="G208" s="151"/>
      <c r="H208" s="151"/>
      <c r="I208" s="599"/>
      <c r="J208" s="599"/>
      <c r="K208" s="151"/>
      <c r="L208" s="151"/>
      <c r="M208" s="151"/>
      <c r="N208" s="599"/>
      <c r="O208" s="599"/>
      <c r="P208" s="599"/>
      <c r="Q208" s="151"/>
      <c r="R208" s="599"/>
      <c r="S208" s="599"/>
      <c r="T208" s="599"/>
      <c r="U208" s="599"/>
      <c r="V208" s="599"/>
      <c r="W208" s="151"/>
      <c r="X208" s="151"/>
    </row>
    <row r="209" spans="1:24">
      <c r="A209" s="591"/>
      <c r="B209" s="600"/>
      <c r="C209" s="602"/>
      <c r="D209" s="601"/>
      <c r="E209" s="601"/>
      <c r="F209" s="601"/>
      <c r="G209" s="601"/>
      <c r="H209" s="601"/>
      <c r="I209" s="602"/>
      <c r="J209" s="602"/>
      <c r="K209" s="601"/>
      <c r="L209" s="601"/>
      <c r="M209" s="601"/>
      <c r="N209" s="602"/>
      <c r="O209" s="602"/>
      <c r="P209" s="602"/>
      <c r="Q209" s="601"/>
      <c r="R209" s="602"/>
      <c r="S209" s="602"/>
      <c r="T209" s="602"/>
      <c r="U209" s="602"/>
      <c r="V209" s="602"/>
      <c r="W209" s="606"/>
      <c r="X209" s="606"/>
    </row>
    <row r="210" spans="1:24">
      <c r="A210" s="591"/>
      <c r="B210" s="589"/>
      <c r="C210" s="596"/>
      <c r="D210" s="597"/>
      <c r="E210" s="597"/>
      <c r="F210" s="597"/>
      <c r="G210" s="597"/>
      <c r="H210" s="597"/>
      <c r="I210" s="596"/>
      <c r="J210" s="596"/>
      <c r="K210" s="597"/>
      <c r="L210" s="597"/>
      <c r="M210" s="597"/>
      <c r="N210" s="596"/>
      <c r="O210" s="596"/>
      <c r="P210" s="596"/>
      <c r="Q210" s="597"/>
      <c r="R210" s="596"/>
      <c r="S210" s="596"/>
      <c r="T210" s="596"/>
      <c r="U210" s="596"/>
      <c r="V210" s="596"/>
      <c r="W210" s="151"/>
      <c r="X210" s="151"/>
    </row>
    <row r="211" spans="1:24">
      <c r="A211" s="591"/>
      <c r="B211" s="598"/>
      <c r="C211" s="599"/>
      <c r="D211" s="151"/>
      <c r="E211" s="151"/>
      <c r="F211" s="151"/>
      <c r="G211" s="151"/>
      <c r="H211" s="151"/>
      <c r="I211" s="599"/>
      <c r="J211" s="599"/>
      <c r="K211" s="151"/>
      <c r="L211" s="151"/>
      <c r="M211" s="151"/>
      <c r="N211" s="599"/>
      <c r="O211" s="599"/>
      <c r="P211" s="599"/>
      <c r="Q211" s="151"/>
      <c r="R211" s="599"/>
      <c r="S211" s="599"/>
      <c r="T211" s="599"/>
      <c r="U211" s="599"/>
      <c r="V211" s="599"/>
      <c r="W211" s="151"/>
      <c r="X211" s="151"/>
    </row>
    <row r="212" spans="1:24">
      <c r="A212" s="591"/>
      <c r="B212" s="600"/>
      <c r="C212" s="602"/>
      <c r="D212" s="601"/>
      <c r="E212" s="601"/>
      <c r="F212" s="601"/>
      <c r="G212" s="601"/>
      <c r="H212" s="601"/>
      <c r="I212" s="602"/>
      <c r="J212" s="602"/>
      <c r="K212" s="601"/>
      <c r="L212" s="601"/>
      <c r="M212" s="601"/>
      <c r="N212" s="602"/>
      <c r="O212" s="602"/>
      <c r="P212" s="602"/>
      <c r="Q212" s="601"/>
      <c r="R212" s="602"/>
      <c r="S212" s="602"/>
      <c r="T212" s="602"/>
      <c r="U212" s="602"/>
      <c r="V212" s="602"/>
      <c r="W212" s="606"/>
      <c r="X212" s="606"/>
    </row>
    <row r="213" spans="1:24">
      <c r="A213" s="591"/>
      <c r="B213" s="589"/>
      <c r="C213" s="596"/>
      <c r="D213" s="597"/>
      <c r="E213" s="597"/>
      <c r="F213" s="597"/>
      <c r="G213" s="597"/>
      <c r="H213" s="597"/>
      <c r="I213" s="596"/>
      <c r="J213" s="596"/>
      <c r="K213" s="597"/>
      <c r="L213" s="597"/>
      <c r="M213" s="597"/>
      <c r="N213" s="596"/>
      <c r="O213" s="596"/>
      <c r="P213" s="596"/>
      <c r="Q213" s="597"/>
      <c r="R213" s="596"/>
      <c r="S213" s="596"/>
      <c r="T213" s="596"/>
      <c r="U213" s="596"/>
      <c r="V213" s="596"/>
      <c r="W213" s="151"/>
      <c r="X213" s="151"/>
    </row>
    <row r="214" spans="1:24">
      <c r="A214" s="591"/>
      <c r="B214" s="598"/>
      <c r="C214" s="599"/>
      <c r="D214" s="151"/>
      <c r="E214" s="151"/>
      <c r="F214" s="151"/>
      <c r="G214" s="151"/>
      <c r="H214" s="151"/>
      <c r="I214" s="599"/>
      <c r="J214" s="599"/>
      <c r="K214" s="151"/>
      <c r="L214" s="151"/>
      <c r="M214" s="151"/>
      <c r="N214" s="599"/>
      <c r="O214" s="599"/>
      <c r="P214" s="599"/>
      <c r="Q214" s="151"/>
      <c r="R214" s="599"/>
      <c r="S214" s="599"/>
      <c r="T214" s="599"/>
      <c r="U214" s="599"/>
      <c r="V214" s="599"/>
      <c r="W214" s="151"/>
      <c r="X214" s="151"/>
    </row>
    <row r="215" spans="1:24">
      <c r="A215" s="591"/>
      <c r="B215" s="600"/>
      <c r="C215" s="602"/>
      <c r="D215" s="601"/>
      <c r="E215" s="601"/>
      <c r="F215" s="601"/>
      <c r="G215" s="601"/>
      <c r="H215" s="601"/>
      <c r="I215" s="602"/>
      <c r="J215" s="602"/>
      <c r="K215" s="601"/>
      <c r="L215" s="601"/>
      <c r="M215" s="601"/>
      <c r="N215" s="602"/>
      <c r="O215" s="602"/>
      <c r="P215" s="602"/>
      <c r="Q215" s="601"/>
      <c r="R215" s="602"/>
      <c r="S215" s="602"/>
      <c r="T215" s="602"/>
      <c r="U215" s="602"/>
      <c r="V215" s="602"/>
      <c r="W215" s="606"/>
      <c r="X215" s="606"/>
    </row>
    <row r="216" spans="1:24">
      <c r="A216" s="595"/>
      <c r="B216" s="589"/>
      <c r="C216" s="596"/>
      <c r="D216" s="597"/>
      <c r="E216" s="597"/>
      <c r="F216" s="597"/>
      <c r="G216" s="597"/>
      <c r="H216" s="597"/>
      <c r="I216" s="596"/>
      <c r="J216" s="596"/>
      <c r="K216" s="597"/>
      <c r="L216" s="597"/>
      <c r="M216" s="597"/>
      <c r="N216" s="596"/>
      <c r="O216" s="596"/>
      <c r="P216" s="596"/>
      <c r="Q216" s="597"/>
      <c r="R216" s="596"/>
      <c r="S216" s="596"/>
      <c r="T216" s="596"/>
      <c r="U216" s="596"/>
      <c r="V216" s="596"/>
      <c r="W216" s="151"/>
      <c r="X216" s="151"/>
    </row>
    <row r="217" spans="1:24">
      <c r="A217" s="591"/>
      <c r="B217" s="598"/>
      <c r="C217" s="599"/>
      <c r="D217" s="151"/>
      <c r="E217" s="151"/>
      <c r="F217" s="151"/>
      <c r="G217" s="151"/>
      <c r="H217" s="151"/>
      <c r="I217" s="599"/>
      <c r="J217" s="599"/>
      <c r="K217" s="151"/>
      <c r="L217" s="151"/>
      <c r="M217" s="151"/>
      <c r="N217" s="599"/>
      <c r="O217" s="599"/>
      <c r="P217" s="599"/>
      <c r="Q217" s="151"/>
      <c r="R217" s="599"/>
      <c r="S217" s="599"/>
      <c r="T217" s="599"/>
      <c r="U217" s="599"/>
      <c r="V217" s="599"/>
      <c r="W217" s="151"/>
      <c r="X217" s="151"/>
    </row>
    <row r="218" spans="1:24">
      <c r="A218" s="591"/>
      <c r="B218" s="600"/>
      <c r="C218" s="602"/>
      <c r="D218" s="601"/>
      <c r="E218" s="601"/>
      <c r="F218" s="601"/>
      <c r="G218" s="601"/>
      <c r="H218" s="601"/>
      <c r="I218" s="602"/>
      <c r="J218" s="602"/>
      <c r="K218" s="601"/>
      <c r="L218" s="601"/>
      <c r="M218" s="601"/>
      <c r="N218" s="602"/>
      <c r="O218" s="602"/>
      <c r="P218" s="602"/>
      <c r="Q218" s="601"/>
      <c r="R218" s="602"/>
      <c r="S218" s="602"/>
      <c r="T218" s="602"/>
      <c r="U218" s="602"/>
      <c r="V218" s="602"/>
      <c r="W218" s="606"/>
      <c r="X218" s="606"/>
    </row>
    <row r="219" spans="1:24">
      <c r="A219" s="591"/>
      <c r="B219" s="589"/>
      <c r="C219" s="596"/>
      <c r="D219" s="597"/>
      <c r="E219" s="597"/>
      <c r="F219" s="597"/>
      <c r="G219" s="597"/>
      <c r="H219" s="597"/>
      <c r="I219" s="596"/>
      <c r="J219" s="596"/>
      <c r="K219" s="597"/>
      <c r="L219" s="597"/>
      <c r="M219" s="597"/>
      <c r="N219" s="596"/>
      <c r="O219" s="596"/>
      <c r="P219" s="596"/>
      <c r="Q219" s="597"/>
      <c r="R219" s="596"/>
      <c r="S219" s="596"/>
      <c r="T219" s="596"/>
      <c r="U219" s="596"/>
      <c r="V219" s="596"/>
      <c r="W219" s="151"/>
      <c r="X219" s="151"/>
    </row>
    <row r="220" spans="1:24">
      <c r="A220" s="591"/>
      <c r="B220" s="598"/>
      <c r="C220" s="599"/>
      <c r="D220" s="151"/>
      <c r="E220" s="151"/>
      <c r="F220" s="151"/>
      <c r="G220" s="151"/>
      <c r="H220" s="151"/>
      <c r="I220" s="599"/>
      <c r="J220" s="599"/>
      <c r="K220" s="151"/>
      <c r="L220" s="151"/>
      <c r="M220" s="151"/>
      <c r="N220" s="599"/>
      <c r="O220" s="599"/>
      <c r="P220" s="599"/>
      <c r="Q220" s="151"/>
      <c r="R220" s="599"/>
      <c r="S220" s="599"/>
      <c r="T220" s="599"/>
      <c r="U220" s="599"/>
      <c r="V220" s="599"/>
      <c r="W220" s="151"/>
      <c r="X220" s="151"/>
    </row>
    <row r="221" spans="1:24">
      <c r="A221" s="591"/>
      <c r="B221" s="600"/>
      <c r="C221" s="602"/>
      <c r="D221" s="601"/>
      <c r="E221" s="601"/>
      <c r="F221" s="601"/>
      <c r="G221" s="601"/>
      <c r="H221" s="601"/>
      <c r="I221" s="602"/>
      <c r="J221" s="602"/>
      <c r="K221" s="601"/>
      <c r="L221" s="601"/>
      <c r="M221" s="601"/>
      <c r="N221" s="602"/>
      <c r="O221" s="602"/>
      <c r="P221" s="602"/>
      <c r="Q221" s="601"/>
      <c r="R221" s="602"/>
      <c r="S221" s="602"/>
      <c r="T221" s="602"/>
      <c r="U221" s="602"/>
      <c r="V221" s="602"/>
      <c r="W221" s="606"/>
      <c r="X221" s="606"/>
    </row>
    <row r="222" spans="1:24">
      <c r="A222" s="591"/>
      <c r="B222" s="589"/>
      <c r="C222" s="596"/>
      <c r="D222" s="597"/>
      <c r="E222" s="597"/>
      <c r="F222" s="597"/>
      <c r="G222" s="597"/>
      <c r="H222" s="597"/>
      <c r="I222" s="596"/>
      <c r="J222" s="596"/>
      <c r="K222" s="597"/>
      <c r="L222" s="597"/>
      <c r="M222" s="597"/>
      <c r="N222" s="596"/>
      <c r="O222" s="596"/>
      <c r="P222" s="596"/>
      <c r="Q222" s="597"/>
      <c r="R222" s="596"/>
      <c r="S222" s="596"/>
      <c r="T222" s="596"/>
      <c r="U222" s="596"/>
      <c r="V222" s="596"/>
      <c r="W222" s="151"/>
      <c r="X222" s="151"/>
    </row>
    <row r="223" spans="1:24">
      <c r="A223" s="591"/>
      <c r="B223" s="598"/>
      <c r="C223" s="599"/>
      <c r="D223" s="151"/>
      <c r="E223" s="151"/>
      <c r="F223" s="151"/>
      <c r="G223" s="151"/>
      <c r="H223" s="151"/>
      <c r="I223" s="599"/>
      <c r="J223" s="599"/>
      <c r="K223" s="151"/>
      <c r="L223" s="151"/>
      <c r="M223" s="151"/>
      <c r="N223" s="599"/>
      <c r="O223" s="599"/>
      <c r="P223" s="599"/>
      <c r="Q223" s="151"/>
      <c r="R223" s="599"/>
      <c r="S223" s="599"/>
      <c r="T223" s="599"/>
      <c r="U223" s="599"/>
      <c r="V223" s="599"/>
      <c r="W223" s="151"/>
      <c r="X223" s="151"/>
    </row>
    <row r="224" spans="1:24">
      <c r="A224" s="591"/>
      <c r="B224" s="600"/>
      <c r="C224" s="602"/>
      <c r="D224" s="601"/>
      <c r="E224" s="601"/>
      <c r="F224" s="601"/>
      <c r="G224" s="601"/>
      <c r="H224" s="601"/>
      <c r="I224" s="602"/>
      <c r="J224" s="602"/>
      <c r="K224" s="601"/>
      <c r="L224" s="601"/>
      <c r="M224" s="601"/>
      <c r="N224" s="602"/>
      <c r="O224" s="602"/>
      <c r="P224" s="602"/>
      <c r="Q224" s="601"/>
      <c r="R224" s="602"/>
      <c r="S224" s="602"/>
      <c r="T224" s="602"/>
      <c r="U224" s="602"/>
      <c r="V224" s="602"/>
      <c r="W224" s="606"/>
      <c r="X224" s="606"/>
    </row>
    <row r="225" spans="1:24">
      <c r="A225" s="591"/>
      <c r="B225" s="589"/>
      <c r="C225" s="596"/>
      <c r="D225" s="597"/>
      <c r="E225" s="597"/>
      <c r="F225" s="597"/>
      <c r="G225" s="597"/>
      <c r="H225" s="597"/>
      <c r="I225" s="596"/>
      <c r="J225" s="596"/>
      <c r="K225" s="597"/>
      <c r="L225" s="597"/>
      <c r="M225" s="597"/>
      <c r="N225" s="596"/>
      <c r="O225" s="596"/>
      <c r="P225" s="596"/>
      <c r="Q225" s="597"/>
      <c r="R225" s="596"/>
      <c r="S225" s="596"/>
      <c r="T225" s="596"/>
      <c r="U225" s="596"/>
      <c r="V225" s="596"/>
      <c r="W225" s="151"/>
      <c r="X225" s="151"/>
    </row>
    <row r="226" spans="1:24">
      <c r="A226" s="591"/>
      <c r="B226" s="598"/>
      <c r="C226" s="599"/>
      <c r="D226" s="151"/>
      <c r="E226" s="151"/>
      <c r="F226" s="151"/>
      <c r="G226" s="151"/>
      <c r="H226" s="151"/>
      <c r="I226" s="599"/>
      <c r="J226" s="599"/>
      <c r="K226" s="151"/>
      <c r="L226" s="151"/>
      <c r="M226" s="151"/>
      <c r="N226" s="599"/>
      <c r="O226" s="599"/>
      <c r="P226" s="599"/>
      <c r="Q226" s="151"/>
      <c r="R226" s="599"/>
      <c r="S226" s="599"/>
      <c r="T226" s="599"/>
      <c r="U226" s="599"/>
      <c r="V226" s="599"/>
      <c r="W226" s="151"/>
      <c r="X226" s="151"/>
    </row>
    <row r="227" spans="1:24">
      <c r="A227" s="591"/>
      <c r="B227" s="600"/>
      <c r="C227" s="602"/>
      <c r="D227" s="601"/>
      <c r="E227" s="601"/>
      <c r="F227" s="601"/>
      <c r="G227" s="601"/>
      <c r="H227" s="601"/>
      <c r="I227" s="602"/>
      <c r="J227" s="602"/>
      <c r="K227" s="601"/>
      <c r="L227" s="601"/>
      <c r="M227" s="601"/>
      <c r="N227" s="602"/>
      <c r="O227" s="602"/>
      <c r="P227" s="602"/>
      <c r="Q227" s="601"/>
      <c r="R227" s="602"/>
      <c r="S227" s="602"/>
      <c r="T227" s="602"/>
      <c r="U227" s="602"/>
      <c r="V227" s="602"/>
      <c r="W227" s="606"/>
      <c r="X227" s="606"/>
    </row>
    <row r="228" spans="1:24">
      <c r="A228" s="591"/>
      <c r="B228" s="589"/>
      <c r="C228" s="596"/>
      <c r="D228" s="597"/>
      <c r="E228" s="597"/>
      <c r="F228" s="597"/>
      <c r="G228" s="597"/>
      <c r="H228" s="597"/>
      <c r="I228" s="596"/>
      <c r="J228" s="596"/>
      <c r="K228" s="597"/>
      <c r="L228" s="597"/>
      <c r="M228" s="597"/>
      <c r="N228" s="596"/>
      <c r="O228" s="596"/>
      <c r="P228" s="596"/>
      <c r="Q228" s="597"/>
      <c r="R228" s="596"/>
      <c r="S228" s="596"/>
      <c r="T228" s="596"/>
      <c r="U228" s="596"/>
      <c r="V228" s="596"/>
      <c r="W228" s="151"/>
      <c r="X228" s="151"/>
    </row>
    <row r="229" spans="1:24">
      <c r="A229" s="591"/>
      <c r="B229" s="598"/>
      <c r="C229" s="599"/>
      <c r="D229" s="151"/>
      <c r="E229" s="151"/>
      <c r="F229" s="151"/>
      <c r="G229" s="151"/>
      <c r="H229" s="151"/>
      <c r="I229" s="599"/>
      <c r="J229" s="599"/>
      <c r="K229" s="151"/>
      <c r="L229" s="151"/>
      <c r="M229" s="151"/>
      <c r="N229" s="599"/>
      <c r="O229" s="599"/>
      <c r="P229" s="599"/>
      <c r="Q229" s="151"/>
      <c r="R229" s="599"/>
      <c r="S229" s="599"/>
      <c r="T229" s="599"/>
      <c r="U229" s="599"/>
      <c r="V229" s="599"/>
      <c r="W229" s="151"/>
      <c r="X229" s="151"/>
    </row>
    <row r="230" spans="1:24">
      <c r="A230" s="591"/>
      <c r="B230" s="600"/>
      <c r="C230" s="602"/>
      <c r="D230" s="601"/>
      <c r="E230" s="601"/>
      <c r="F230" s="601"/>
      <c r="G230" s="601"/>
      <c r="H230" s="601"/>
      <c r="I230" s="602"/>
      <c r="J230" s="602"/>
      <c r="K230" s="601"/>
      <c r="L230" s="601"/>
      <c r="M230" s="601"/>
      <c r="N230" s="602"/>
      <c r="O230" s="602"/>
      <c r="P230" s="602"/>
      <c r="Q230" s="601"/>
      <c r="R230" s="602"/>
      <c r="S230" s="602"/>
      <c r="T230" s="602"/>
      <c r="U230" s="602"/>
      <c r="V230" s="602"/>
      <c r="W230" s="606"/>
      <c r="X230" s="606"/>
    </row>
    <row r="231" spans="1:24">
      <c r="A231" s="591"/>
      <c r="B231" s="589"/>
      <c r="C231" s="596"/>
      <c r="D231" s="597"/>
      <c r="E231" s="597"/>
      <c r="F231" s="597"/>
      <c r="G231" s="597"/>
      <c r="H231" s="597"/>
      <c r="I231" s="596"/>
      <c r="J231" s="596"/>
      <c r="K231" s="597"/>
      <c r="L231" s="597"/>
      <c r="M231" s="597"/>
      <c r="N231" s="596"/>
      <c r="O231" s="596"/>
      <c r="P231" s="596"/>
      <c r="Q231" s="597"/>
      <c r="R231" s="596"/>
      <c r="S231" s="596"/>
      <c r="T231" s="596"/>
      <c r="U231" s="596"/>
      <c r="V231" s="596"/>
      <c r="W231" s="151"/>
      <c r="X231" s="151"/>
    </row>
    <row r="232" spans="1:24">
      <c r="A232" s="591"/>
      <c r="B232" s="598"/>
      <c r="C232" s="599"/>
      <c r="D232" s="151"/>
      <c r="E232" s="151"/>
      <c r="F232" s="151"/>
      <c r="G232" s="151"/>
      <c r="H232" s="151"/>
      <c r="I232" s="599"/>
      <c r="J232" s="599"/>
      <c r="K232" s="151"/>
      <c r="L232" s="151"/>
      <c r="M232" s="151"/>
      <c r="N232" s="599"/>
      <c r="O232" s="599"/>
      <c r="P232" s="599"/>
      <c r="Q232" s="151"/>
      <c r="R232" s="599"/>
      <c r="S232" s="599"/>
      <c r="T232" s="599"/>
      <c r="U232" s="599"/>
      <c r="V232" s="599"/>
      <c r="W232" s="151"/>
      <c r="X232" s="151"/>
    </row>
    <row r="233" spans="1:24">
      <c r="A233" s="591"/>
      <c r="B233" s="600"/>
      <c r="C233" s="602"/>
      <c r="D233" s="601"/>
      <c r="E233" s="601"/>
      <c r="F233" s="601"/>
      <c r="G233" s="601"/>
      <c r="H233" s="601"/>
      <c r="I233" s="602"/>
      <c r="J233" s="602"/>
      <c r="K233" s="601"/>
      <c r="L233" s="601"/>
      <c r="M233" s="601"/>
      <c r="N233" s="602"/>
      <c r="O233" s="602"/>
      <c r="P233" s="602"/>
      <c r="Q233" s="601"/>
      <c r="R233" s="602"/>
      <c r="S233" s="602"/>
      <c r="T233" s="602"/>
      <c r="U233" s="602"/>
      <c r="V233" s="602"/>
      <c r="W233" s="606"/>
      <c r="X233" s="606"/>
    </row>
    <row r="234" spans="1:24">
      <c r="A234" s="591"/>
      <c r="B234" s="589"/>
      <c r="C234" s="596"/>
      <c r="D234" s="597"/>
      <c r="E234" s="597"/>
      <c r="F234" s="597"/>
      <c r="G234" s="597"/>
      <c r="H234" s="597"/>
      <c r="I234" s="596"/>
      <c r="J234" s="596"/>
      <c r="K234" s="597"/>
      <c r="L234" s="597"/>
      <c r="M234" s="597"/>
      <c r="N234" s="596"/>
      <c r="O234" s="596"/>
      <c r="P234" s="596"/>
      <c r="Q234" s="597"/>
      <c r="R234" s="596"/>
      <c r="S234" s="596"/>
      <c r="T234" s="596"/>
      <c r="U234" s="596"/>
      <c r="V234" s="596"/>
      <c r="W234" s="151"/>
      <c r="X234" s="151"/>
    </row>
    <row r="235" spans="1:24">
      <c r="A235" s="591"/>
      <c r="B235" s="598"/>
      <c r="C235" s="599"/>
      <c r="D235" s="151"/>
      <c r="E235" s="151"/>
      <c r="F235" s="151"/>
      <c r="G235" s="151"/>
      <c r="H235" s="151"/>
      <c r="I235" s="599"/>
      <c r="J235" s="599"/>
      <c r="K235" s="151"/>
      <c r="L235" s="151"/>
      <c r="M235" s="151"/>
      <c r="N235" s="599"/>
      <c r="O235" s="599"/>
      <c r="P235" s="599"/>
      <c r="Q235" s="151"/>
      <c r="R235" s="599"/>
      <c r="S235" s="599"/>
      <c r="T235" s="599"/>
      <c r="U235" s="599"/>
      <c r="V235" s="599"/>
      <c r="W235" s="151"/>
      <c r="X235" s="151"/>
    </row>
    <row r="236" spans="1:24">
      <c r="A236" s="591"/>
      <c r="B236" s="600"/>
      <c r="C236" s="602"/>
      <c r="D236" s="601"/>
      <c r="E236" s="601"/>
      <c r="F236" s="601"/>
      <c r="G236" s="601"/>
      <c r="H236" s="601"/>
      <c r="I236" s="602"/>
      <c r="J236" s="602"/>
      <c r="K236" s="601"/>
      <c r="L236" s="601"/>
      <c r="M236" s="601"/>
      <c r="N236" s="602"/>
      <c r="O236" s="602"/>
      <c r="P236" s="602"/>
      <c r="Q236" s="601"/>
      <c r="R236" s="602"/>
      <c r="S236" s="602"/>
      <c r="T236" s="602"/>
      <c r="U236" s="602"/>
      <c r="V236" s="602"/>
      <c r="W236" s="606"/>
      <c r="X236" s="606"/>
    </row>
    <row r="237" spans="1:24">
      <c r="A237" s="595"/>
      <c r="B237" s="589"/>
      <c r="C237" s="596"/>
      <c r="D237" s="597"/>
      <c r="E237" s="597"/>
      <c r="F237" s="597"/>
      <c r="G237" s="597"/>
      <c r="H237" s="597"/>
      <c r="I237" s="596"/>
      <c r="J237" s="596"/>
      <c r="K237" s="597"/>
      <c r="L237" s="597"/>
      <c r="M237" s="597"/>
      <c r="N237" s="596"/>
      <c r="O237" s="596"/>
      <c r="P237" s="596"/>
      <c r="Q237" s="597"/>
      <c r="R237" s="596"/>
      <c r="S237" s="596"/>
      <c r="T237" s="596"/>
      <c r="U237" s="596"/>
      <c r="V237" s="596"/>
      <c r="W237" s="151"/>
      <c r="X237" s="151"/>
    </row>
    <row r="238" spans="1:24">
      <c r="A238" s="591"/>
      <c r="B238" s="598"/>
      <c r="C238" s="599"/>
      <c r="D238" s="151"/>
      <c r="E238" s="151"/>
      <c r="F238" s="151"/>
      <c r="G238" s="151"/>
      <c r="H238" s="151"/>
      <c r="I238" s="599"/>
      <c r="J238" s="599"/>
      <c r="K238" s="151"/>
      <c r="L238" s="151"/>
      <c r="M238" s="151"/>
      <c r="N238" s="599"/>
      <c r="O238" s="599"/>
      <c r="P238" s="599"/>
      <c r="Q238" s="151"/>
      <c r="R238" s="599"/>
      <c r="S238" s="599"/>
      <c r="T238" s="599"/>
      <c r="U238" s="599"/>
      <c r="V238" s="599"/>
      <c r="W238" s="151"/>
      <c r="X238" s="151"/>
    </row>
    <row r="239" spans="1:24">
      <c r="A239" s="591"/>
      <c r="B239" s="600"/>
      <c r="C239" s="602"/>
      <c r="D239" s="601"/>
      <c r="E239" s="601"/>
      <c r="F239" s="601"/>
      <c r="G239" s="601"/>
      <c r="H239" s="601"/>
      <c r="I239" s="602"/>
      <c r="J239" s="602"/>
      <c r="K239" s="601"/>
      <c r="L239" s="601"/>
      <c r="M239" s="601"/>
      <c r="N239" s="602"/>
      <c r="O239" s="602"/>
      <c r="P239" s="602"/>
      <c r="Q239" s="601"/>
      <c r="R239" s="602"/>
      <c r="S239" s="602"/>
      <c r="T239" s="602"/>
      <c r="U239" s="602"/>
      <c r="V239" s="602"/>
      <c r="W239" s="606"/>
      <c r="X239" s="606"/>
    </row>
    <row r="240" spans="1:24">
      <c r="A240" s="591"/>
      <c r="B240" s="589"/>
      <c r="C240" s="596"/>
      <c r="D240" s="597"/>
      <c r="E240" s="597"/>
      <c r="F240" s="597"/>
      <c r="G240" s="597"/>
      <c r="H240" s="597"/>
      <c r="I240" s="596"/>
      <c r="J240" s="596"/>
      <c r="K240" s="597"/>
      <c r="L240" s="597"/>
      <c r="M240" s="597"/>
      <c r="N240" s="596"/>
      <c r="O240" s="596"/>
      <c r="P240" s="596"/>
      <c r="Q240" s="597"/>
      <c r="R240" s="596"/>
      <c r="S240" s="596"/>
      <c r="T240" s="596"/>
      <c r="U240" s="596"/>
      <c r="V240" s="596"/>
      <c r="W240" s="151"/>
      <c r="X240" s="151"/>
    </row>
    <row r="241" spans="1:24">
      <c r="A241" s="591"/>
      <c r="B241" s="598"/>
      <c r="C241" s="599"/>
      <c r="D241" s="151"/>
      <c r="E241" s="151"/>
      <c r="F241" s="151"/>
      <c r="G241" s="151"/>
      <c r="H241" s="151"/>
      <c r="I241" s="599"/>
      <c r="J241" s="599"/>
      <c r="K241" s="151"/>
      <c r="L241" s="151"/>
      <c r="M241" s="151"/>
      <c r="N241" s="599"/>
      <c r="O241" s="599"/>
      <c r="P241" s="599"/>
      <c r="Q241" s="151"/>
      <c r="R241" s="599"/>
      <c r="S241" s="599"/>
      <c r="T241" s="599"/>
      <c r="U241" s="599"/>
      <c r="V241" s="599"/>
      <c r="W241" s="151"/>
      <c r="X241" s="151"/>
    </row>
    <row r="242" spans="1:24">
      <c r="A242" s="591"/>
      <c r="B242" s="600"/>
      <c r="C242" s="602"/>
      <c r="D242" s="601"/>
      <c r="E242" s="601"/>
      <c r="F242" s="601"/>
      <c r="G242" s="601"/>
      <c r="H242" s="601"/>
      <c r="I242" s="602"/>
      <c r="J242" s="602"/>
      <c r="K242" s="601"/>
      <c r="L242" s="601"/>
      <c r="M242" s="601"/>
      <c r="N242" s="602"/>
      <c r="O242" s="602"/>
      <c r="P242" s="602"/>
      <c r="Q242" s="601"/>
      <c r="R242" s="602"/>
      <c r="S242" s="602"/>
      <c r="T242" s="602"/>
      <c r="U242" s="602"/>
      <c r="V242" s="602"/>
      <c r="W242" s="606"/>
      <c r="X242" s="606"/>
    </row>
    <row r="243" spans="1:24">
      <c r="A243" s="591"/>
      <c r="B243" s="589"/>
      <c r="C243" s="596"/>
      <c r="D243" s="597"/>
      <c r="E243" s="597"/>
      <c r="F243" s="597"/>
      <c r="G243" s="597"/>
      <c r="H243" s="597"/>
      <c r="I243" s="596"/>
      <c r="J243" s="596"/>
      <c r="K243" s="597"/>
      <c r="L243" s="597"/>
      <c r="M243" s="597"/>
      <c r="N243" s="596"/>
      <c r="O243" s="596"/>
      <c r="P243" s="596"/>
      <c r="Q243" s="597"/>
      <c r="R243" s="596"/>
      <c r="S243" s="596"/>
      <c r="T243" s="596"/>
      <c r="U243" s="596"/>
      <c r="V243" s="596"/>
      <c r="W243" s="151"/>
      <c r="X243" s="151"/>
    </row>
    <row r="244" spans="1:24">
      <c r="A244" s="591"/>
      <c r="B244" s="598"/>
      <c r="C244" s="599"/>
      <c r="D244" s="151"/>
      <c r="E244" s="151"/>
      <c r="F244" s="151"/>
      <c r="G244" s="151"/>
      <c r="H244" s="151"/>
      <c r="I244" s="599"/>
      <c r="J244" s="599"/>
      <c r="K244" s="151"/>
      <c r="L244" s="151"/>
      <c r="M244" s="151"/>
      <c r="N244" s="599"/>
      <c r="O244" s="599"/>
      <c r="P244" s="599"/>
      <c r="Q244" s="151"/>
      <c r="R244" s="599"/>
      <c r="S244" s="599"/>
      <c r="T244" s="599"/>
      <c r="U244" s="599"/>
      <c r="V244" s="599"/>
      <c r="W244" s="151"/>
      <c r="X244" s="151"/>
    </row>
    <row r="245" spans="1:24">
      <c r="A245" s="591"/>
      <c r="B245" s="600"/>
      <c r="C245" s="602"/>
      <c r="D245" s="601"/>
      <c r="E245" s="601"/>
      <c r="F245" s="601"/>
      <c r="G245" s="601"/>
      <c r="H245" s="601"/>
      <c r="I245" s="602"/>
      <c r="J245" s="602"/>
      <c r="K245" s="601"/>
      <c r="L245" s="601"/>
      <c r="M245" s="601"/>
      <c r="N245" s="602"/>
      <c r="O245" s="602"/>
      <c r="P245" s="602"/>
      <c r="Q245" s="601"/>
      <c r="R245" s="602"/>
      <c r="S245" s="602"/>
      <c r="T245" s="602"/>
      <c r="U245" s="602"/>
      <c r="V245" s="602"/>
      <c r="W245" s="606"/>
      <c r="X245" s="606"/>
    </row>
    <row r="246" spans="1:24">
      <c r="A246" s="591"/>
      <c r="B246" s="589"/>
      <c r="C246" s="596"/>
      <c r="D246" s="597"/>
      <c r="E246" s="597"/>
      <c r="F246" s="597"/>
      <c r="G246" s="597"/>
      <c r="H246" s="597"/>
      <c r="I246" s="596"/>
      <c r="J246" s="596"/>
      <c r="K246" s="597"/>
      <c r="L246" s="597"/>
      <c r="M246" s="597"/>
      <c r="N246" s="596"/>
      <c r="O246" s="596"/>
      <c r="P246" s="596"/>
      <c r="Q246" s="597"/>
      <c r="R246" s="596"/>
      <c r="S246" s="596"/>
      <c r="T246" s="596"/>
      <c r="U246" s="596"/>
      <c r="V246" s="596"/>
      <c r="W246" s="151"/>
      <c r="X246" s="151"/>
    </row>
    <row r="247" spans="1:24">
      <c r="A247" s="591"/>
      <c r="B247" s="598"/>
      <c r="C247" s="599"/>
      <c r="D247" s="151"/>
      <c r="E247" s="151"/>
      <c r="F247" s="151"/>
      <c r="G247" s="151"/>
      <c r="H247" s="151"/>
      <c r="I247" s="599"/>
      <c r="J247" s="599"/>
      <c r="K247" s="151"/>
      <c r="L247" s="151"/>
      <c r="M247" s="151"/>
      <c r="N247" s="599"/>
      <c r="O247" s="599"/>
      <c r="P247" s="599"/>
      <c r="Q247" s="151"/>
      <c r="R247" s="599"/>
      <c r="S247" s="599"/>
      <c r="T247" s="599"/>
      <c r="U247" s="599"/>
      <c r="V247" s="599"/>
      <c r="W247" s="151"/>
      <c r="X247" s="151"/>
    </row>
    <row r="248" spans="1:24">
      <c r="A248" s="591"/>
      <c r="B248" s="600"/>
      <c r="C248" s="602"/>
      <c r="D248" s="601"/>
      <c r="E248" s="601"/>
      <c r="F248" s="601"/>
      <c r="G248" s="601"/>
      <c r="H248" s="601"/>
      <c r="I248" s="602"/>
      <c r="J248" s="602"/>
      <c r="K248" s="601"/>
      <c r="L248" s="601"/>
      <c r="M248" s="601"/>
      <c r="N248" s="602"/>
      <c r="O248" s="602"/>
      <c r="P248" s="602"/>
      <c r="Q248" s="601"/>
      <c r="R248" s="602"/>
      <c r="S248" s="602"/>
      <c r="T248" s="602"/>
      <c r="U248" s="602"/>
      <c r="V248" s="602"/>
      <c r="W248" s="606"/>
      <c r="X248" s="606"/>
    </row>
    <row r="249" spans="1:24">
      <c r="A249" s="591"/>
      <c r="B249" s="589"/>
      <c r="C249" s="596"/>
      <c r="D249" s="597"/>
      <c r="E249" s="597"/>
      <c r="F249" s="597"/>
      <c r="G249" s="597"/>
      <c r="H249" s="597"/>
      <c r="I249" s="596"/>
      <c r="J249" s="596"/>
      <c r="K249" s="597"/>
      <c r="L249" s="597"/>
      <c r="M249" s="597"/>
      <c r="N249" s="596"/>
      <c r="O249" s="596"/>
      <c r="P249" s="596"/>
      <c r="Q249" s="597"/>
      <c r="R249" s="596"/>
      <c r="S249" s="596"/>
      <c r="T249" s="596"/>
      <c r="U249" s="596"/>
      <c r="V249" s="596"/>
      <c r="W249" s="151"/>
      <c r="X249" s="151"/>
    </row>
    <row r="250" spans="1:24">
      <c r="A250" s="591"/>
      <c r="B250" s="598"/>
      <c r="C250" s="599"/>
      <c r="D250" s="151"/>
      <c r="E250" s="151"/>
      <c r="F250" s="151"/>
      <c r="G250" s="151"/>
      <c r="H250" s="151"/>
      <c r="I250" s="599"/>
      <c r="J250" s="599"/>
      <c r="K250" s="151"/>
      <c r="L250" s="151"/>
      <c r="M250" s="151"/>
      <c r="N250" s="599"/>
      <c r="O250" s="599"/>
      <c r="P250" s="599"/>
      <c r="Q250" s="151"/>
      <c r="R250" s="599"/>
      <c r="S250" s="599"/>
      <c r="T250" s="599"/>
      <c r="U250" s="599"/>
      <c r="V250" s="599"/>
      <c r="W250" s="151"/>
      <c r="X250" s="151"/>
    </row>
    <row r="251" spans="1:24">
      <c r="A251" s="591"/>
      <c r="B251" s="600"/>
      <c r="C251" s="602"/>
      <c r="D251" s="601"/>
      <c r="E251" s="601"/>
      <c r="F251" s="601"/>
      <c r="G251" s="601"/>
      <c r="H251" s="601"/>
      <c r="I251" s="602"/>
      <c r="J251" s="602"/>
      <c r="K251" s="601"/>
      <c r="L251" s="601"/>
      <c r="M251" s="601"/>
      <c r="N251" s="602"/>
      <c r="O251" s="602"/>
      <c r="P251" s="602"/>
      <c r="Q251" s="601"/>
      <c r="R251" s="602"/>
      <c r="S251" s="602"/>
      <c r="T251" s="602"/>
      <c r="U251" s="602"/>
      <c r="V251" s="602"/>
      <c r="W251" s="606"/>
      <c r="X251" s="606"/>
    </row>
    <row r="252" spans="1:24">
      <c r="A252" s="591"/>
      <c r="B252" s="589"/>
      <c r="C252" s="596"/>
      <c r="D252" s="597"/>
      <c r="E252" s="597"/>
      <c r="F252" s="597"/>
      <c r="G252" s="597"/>
      <c r="H252" s="597"/>
      <c r="I252" s="596"/>
      <c r="J252" s="596"/>
      <c r="K252" s="597"/>
      <c r="L252" s="597"/>
      <c r="M252" s="597"/>
      <c r="N252" s="596"/>
      <c r="O252" s="596"/>
      <c r="P252" s="596"/>
      <c r="Q252" s="597"/>
      <c r="R252" s="596"/>
      <c r="S252" s="596"/>
      <c r="T252" s="596"/>
      <c r="U252" s="596"/>
      <c r="V252" s="596"/>
      <c r="W252" s="151"/>
      <c r="X252" s="151"/>
    </row>
    <row r="253" spans="1:24">
      <c r="A253" s="591"/>
      <c r="B253" s="598"/>
      <c r="C253" s="599"/>
      <c r="D253" s="151"/>
      <c r="E253" s="151"/>
      <c r="F253" s="151"/>
      <c r="G253" s="151"/>
      <c r="H253" s="151"/>
      <c r="I253" s="599"/>
      <c r="J253" s="599"/>
      <c r="K253" s="151"/>
      <c r="L253" s="151"/>
      <c r="M253" s="151"/>
      <c r="N253" s="599"/>
      <c r="O253" s="599"/>
      <c r="P253" s="599"/>
      <c r="Q253" s="151"/>
      <c r="R253" s="599"/>
      <c r="S253" s="599"/>
      <c r="T253" s="599"/>
      <c r="U253" s="599"/>
      <c r="V253" s="599"/>
      <c r="W253" s="151"/>
      <c r="X253" s="151"/>
    </row>
    <row r="254" spans="1:24">
      <c r="A254" s="591"/>
      <c r="B254" s="600"/>
      <c r="C254" s="602"/>
      <c r="D254" s="601"/>
      <c r="E254" s="601"/>
      <c r="F254" s="601"/>
      <c r="G254" s="601"/>
      <c r="H254" s="601"/>
      <c r="I254" s="602"/>
      <c r="J254" s="602"/>
      <c r="K254" s="601"/>
      <c r="L254" s="601"/>
      <c r="M254" s="601"/>
      <c r="N254" s="602"/>
      <c r="O254" s="602"/>
      <c r="P254" s="602"/>
      <c r="Q254" s="601"/>
      <c r="R254" s="602"/>
      <c r="S254" s="602"/>
      <c r="T254" s="602"/>
      <c r="U254" s="602"/>
      <c r="V254" s="602"/>
      <c r="W254" s="606"/>
      <c r="X254" s="606"/>
    </row>
    <row r="255" spans="1:24">
      <c r="A255" s="591"/>
      <c r="B255" s="589"/>
      <c r="C255" s="596"/>
      <c r="D255" s="597"/>
      <c r="E255" s="597"/>
      <c r="F255" s="597"/>
      <c r="G255" s="597"/>
      <c r="H255" s="597"/>
      <c r="I255" s="596"/>
      <c r="J255" s="596"/>
      <c r="K255" s="597"/>
      <c r="L255" s="597"/>
      <c r="M255" s="597"/>
      <c r="N255" s="596"/>
      <c r="O255" s="596"/>
      <c r="P255" s="596"/>
      <c r="Q255" s="597"/>
      <c r="R255" s="596"/>
      <c r="S255" s="596"/>
      <c r="T255" s="596"/>
      <c r="U255" s="596"/>
      <c r="V255" s="596"/>
      <c r="W255" s="151"/>
      <c r="X255" s="151"/>
    </row>
    <row r="256" spans="1:24">
      <c r="A256" s="591"/>
      <c r="B256" s="598"/>
      <c r="C256" s="599"/>
      <c r="D256" s="151"/>
      <c r="E256" s="151"/>
      <c r="F256" s="151"/>
      <c r="G256" s="151"/>
      <c r="H256" s="151"/>
      <c r="I256" s="599"/>
      <c r="J256" s="599"/>
      <c r="K256" s="151"/>
      <c r="L256" s="151"/>
      <c r="M256" s="151"/>
      <c r="N256" s="599"/>
      <c r="O256" s="599"/>
      <c r="P256" s="599"/>
      <c r="Q256" s="151"/>
      <c r="R256" s="599"/>
      <c r="S256" s="599"/>
      <c r="T256" s="599"/>
      <c r="U256" s="599"/>
      <c r="V256" s="599"/>
      <c r="W256" s="151"/>
      <c r="X256" s="151"/>
    </row>
    <row r="257" spans="1:24">
      <c r="A257" s="591"/>
      <c r="B257" s="600"/>
      <c r="C257" s="602"/>
      <c r="D257" s="601"/>
      <c r="E257" s="601"/>
      <c r="F257" s="601"/>
      <c r="G257" s="601"/>
      <c r="H257" s="601"/>
      <c r="I257" s="602"/>
      <c r="J257" s="602"/>
      <c r="K257" s="601"/>
      <c r="L257" s="601"/>
      <c r="M257" s="601"/>
      <c r="N257" s="602"/>
      <c r="O257" s="602"/>
      <c r="P257" s="602"/>
      <c r="Q257" s="601"/>
      <c r="R257" s="602"/>
      <c r="S257" s="602"/>
      <c r="T257" s="602"/>
      <c r="U257" s="602"/>
      <c r="V257" s="602"/>
      <c r="W257" s="606"/>
      <c r="X257" s="606"/>
    </row>
    <row r="258" spans="1:24">
      <c r="A258" s="595"/>
      <c r="B258" s="589"/>
      <c r="C258" s="596"/>
      <c r="D258" s="597"/>
      <c r="E258" s="597"/>
      <c r="F258" s="597"/>
      <c r="G258" s="597"/>
      <c r="H258" s="597"/>
      <c r="I258" s="596"/>
      <c r="J258" s="596"/>
      <c r="K258" s="597"/>
      <c r="L258" s="597"/>
      <c r="M258" s="597"/>
      <c r="N258" s="596"/>
      <c r="O258" s="596"/>
      <c r="P258" s="596"/>
      <c r="Q258" s="597"/>
      <c r="R258" s="596"/>
      <c r="S258" s="596"/>
      <c r="T258" s="596"/>
      <c r="U258" s="596"/>
      <c r="V258" s="596"/>
      <c r="W258" s="151"/>
      <c r="X258" s="151"/>
    </row>
    <row r="259" spans="1:24">
      <c r="A259" s="591"/>
      <c r="B259" s="598"/>
      <c r="C259" s="599"/>
      <c r="D259" s="151"/>
      <c r="E259" s="151"/>
      <c r="F259" s="151"/>
      <c r="G259" s="151"/>
      <c r="H259" s="151"/>
      <c r="I259" s="599"/>
      <c r="J259" s="599"/>
      <c r="K259" s="151"/>
      <c r="L259" s="151"/>
      <c r="M259" s="151"/>
      <c r="N259" s="599"/>
      <c r="O259" s="599"/>
      <c r="P259" s="599"/>
      <c r="Q259" s="151"/>
      <c r="R259" s="599"/>
      <c r="S259" s="599"/>
      <c r="T259" s="599"/>
      <c r="U259" s="599"/>
      <c r="V259" s="599"/>
      <c r="W259" s="151"/>
      <c r="X259" s="151"/>
    </row>
    <row r="260" spans="1:24">
      <c r="A260" s="591"/>
      <c r="B260" s="600"/>
      <c r="C260" s="602"/>
      <c r="D260" s="601"/>
      <c r="E260" s="601"/>
      <c r="F260" s="601"/>
      <c r="G260" s="601"/>
      <c r="H260" s="601"/>
      <c r="I260" s="602"/>
      <c r="J260" s="602"/>
      <c r="K260" s="601"/>
      <c r="L260" s="601"/>
      <c r="M260" s="601"/>
      <c r="N260" s="602"/>
      <c r="O260" s="602"/>
      <c r="P260" s="602"/>
      <c r="Q260" s="601"/>
      <c r="R260" s="602"/>
      <c r="S260" s="602"/>
      <c r="T260" s="602"/>
      <c r="U260" s="602"/>
      <c r="V260" s="602"/>
      <c r="W260" s="606"/>
      <c r="X260" s="606"/>
    </row>
    <row r="261" spans="1:24">
      <c r="A261" s="591"/>
      <c r="B261" s="589"/>
      <c r="C261" s="596"/>
      <c r="D261" s="597"/>
      <c r="E261" s="597"/>
      <c r="F261" s="597"/>
      <c r="G261" s="597"/>
      <c r="H261" s="597"/>
      <c r="I261" s="596"/>
      <c r="J261" s="596"/>
      <c r="K261" s="597"/>
      <c r="L261" s="597"/>
      <c r="M261" s="597"/>
      <c r="N261" s="596"/>
      <c r="O261" s="596"/>
      <c r="P261" s="596"/>
      <c r="Q261" s="597"/>
      <c r="R261" s="596"/>
      <c r="S261" s="596"/>
      <c r="T261" s="596"/>
      <c r="U261" s="596"/>
      <c r="V261" s="596"/>
      <c r="W261" s="151"/>
      <c r="X261" s="151"/>
    </row>
    <row r="262" spans="1:24">
      <c r="A262" s="591"/>
      <c r="B262" s="598"/>
      <c r="C262" s="599"/>
      <c r="D262" s="151"/>
      <c r="E262" s="151"/>
      <c r="F262" s="151"/>
      <c r="G262" s="151"/>
      <c r="H262" s="151"/>
      <c r="I262" s="599"/>
      <c r="J262" s="599"/>
      <c r="K262" s="151"/>
      <c r="L262" s="151"/>
      <c r="M262" s="151"/>
      <c r="N262" s="599"/>
      <c r="O262" s="599"/>
      <c r="P262" s="599"/>
      <c r="Q262" s="151"/>
      <c r="R262" s="599"/>
      <c r="S262" s="599"/>
      <c r="T262" s="599"/>
      <c r="U262" s="599"/>
      <c r="V262" s="599"/>
      <c r="W262" s="151"/>
      <c r="X262" s="151"/>
    </row>
    <row r="263" spans="1:24">
      <c r="A263" s="591"/>
      <c r="B263" s="600"/>
      <c r="C263" s="602"/>
      <c r="D263" s="601"/>
      <c r="E263" s="601"/>
      <c r="F263" s="601"/>
      <c r="G263" s="601"/>
      <c r="H263" s="601"/>
      <c r="I263" s="602"/>
      <c r="J263" s="602"/>
      <c r="K263" s="601"/>
      <c r="L263" s="601"/>
      <c r="M263" s="601"/>
      <c r="N263" s="602"/>
      <c r="O263" s="602"/>
      <c r="P263" s="602"/>
      <c r="Q263" s="601"/>
      <c r="R263" s="602"/>
      <c r="S263" s="602"/>
      <c r="T263" s="602"/>
      <c r="U263" s="602"/>
      <c r="V263" s="602"/>
      <c r="W263" s="606"/>
      <c r="X263" s="606"/>
    </row>
    <row r="264" spans="1:24">
      <c r="A264" s="591"/>
      <c r="B264" s="589"/>
      <c r="C264" s="596"/>
      <c r="D264" s="597"/>
      <c r="E264" s="597"/>
      <c r="F264" s="597"/>
      <c r="G264" s="597"/>
      <c r="H264" s="597"/>
      <c r="I264" s="596"/>
      <c r="J264" s="596"/>
      <c r="K264" s="597"/>
      <c r="L264" s="597"/>
      <c r="M264" s="597"/>
      <c r="N264" s="596"/>
      <c r="O264" s="596"/>
      <c r="P264" s="596"/>
      <c r="Q264" s="597"/>
      <c r="R264" s="596"/>
      <c r="S264" s="596"/>
      <c r="T264" s="596"/>
      <c r="U264" s="596"/>
      <c r="V264" s="596"/>
      <c r="W264" s="151"/>
      <c r="X264" s="151"/>
    </row>
    <row r="265" spans="1:24">
      <c r="A265" s="591"/>
      <c r="B265" s="598"/>
      <c r="C265" s="599"/>
      <c r="D265" s="151"/>
      <c r="E265" s="151"/>
      <c r="F265" s="151"/>
      <c r="G265" s="151"/>
      <c r="H265" s="151"/>
      <c r="I265" s="599"/>
      <c r="J265" s="599"/>
      <c r="K265" s="151"/>
      <c r="L265" s="151"/>
      <c r="M265" s="151"/>
      <c r="N265" s="599"/>
      <c r="O265" s="599"/>
      <c r="P265" s="599"/>
      <c r="Q265" s="151"/>
      <c r="R265" s="599"/>
      <c r="S265" s="599"/>
      <c r="T265" s="599"/>
      <c r="U265" s="599"/>
      <c r="V265" s="599"/>
      <c r="W265" s="151"/>
      <c r="X265" s="151"/>
    </row>
    <row r="266" spans="1:24">
      <c r="A266" s="591"/>
      <c r="B266" s="600"/>
      <c r="C266" s="602"/>
      <c r="D266" s="601"/>
      <c r="E266" s="601"/>
      <c r="F266" s="601"/>
      <c r="G266" s="601"/>
      <c r="H266" s="601"/>
      <c r="I266" s="602"/>
      <c r="J266" s="602"/>
      <c r="K266" s="601"/>
      <c r="L266" s="601"/>
      <c r="M266" s="601"/>
      <c r="N266" s="602"/>
      <c r="O266" s="602"/>
      <c r="P266" s="602"/>
      <c r="Q266" s="601"/>
      <c r="R266" s="602"/>
      <c r="S266" s="602"/>
      <c r="T266" s="602"/>
      <c r="U266" s="602"/>
      <c r="V266" s="602"/>
      <c r="W266" s="606"/>
      <c r="X266" s="606"/>
    </row>
    <row r="267" spans="1:24">
      <c r="A267" s="591"/>
      <c r="B267" s="589"/>
      <c r="C267" s="596"/>
      <c r="D267" s="597"/>
      <c r="E267" s="597"/>
      <c r="F267" s="597"/>
      <c r="G267" s="597"/>
      <c r="H267" s="597"/>
      <c r="I267" s="596"/>
      <c r="J267" s="596"/>
      <c r="K267" s="597"/>
      <c r="L267" s="597"/>
      <c r="M267" s="597"/>
      <c r="N267" s="596"/>
      <c r="O267" s="596"/>
      <c r="P267" s="596"/>
      <c r="Q267" s="597"/>
      <c r="R267" s="596"/>
      <c r="S267" s="596"/>
      <c r="T267" s="596"/>
      <c r="U267" s="596"/>
      <c r="V267" s="596"/>
      <c r="W267" s="151"/>
      <c r="X267" s="151"/>
    </row>
    <row r="268" spans="1:24">
      <c r="A268" s="591"/>
      <c r="B268" s="598"/>
      <c r="C268" s="599"/>
      <c r="D268" s="151"/>
      <c r="E268" s="151"/>
      <c r="F268" s="151"/>
      <c r="G268" s="151"/>
      <c r="H268" s="151"/>
      <c r="I268" s="599"/>
      <c r="J268" s="599"/>
      <c r="K268" s="151"/>
      <c r="L268" s="151"/>
      <c r="M268" s="151"/>
      <c r="N268" s="599"/>
      <c r="O268" s="599"/>
      <c r="P268" s="599"/>
      <c r="Q268" s="151"/>
      <c r="R268" s="599"/>
      <c r="S268" s="599"/>
      <c r="T268" s="599"/>
      <c r="U268" s="599"/>
      <c r="V268" s="599"/>
      <c r="W268" s="151"/>
      <c r="X268" s="151"/>
    </row>
    <row r="269" spans="1:24">
      <c r="A269" s="591"/>
      <c r="B269" s="600"/>
      <c r="C269" s="602"/>
      <c r="D269" s="601"/>
      <c r="E269" s="601"/>
      <c r="F269" s="601"/>
      <c r="G269" s="601"/>
      <c r="H269" s="601"/>
      <c r="I269" s="602"/>
      <c r="J269" s="602"/>
      <c r="K269" s="601"/>
      <c r="L269" s="601"/>
      <c r="M269" s="601"/>
      <c r="N269" s="602"/>
      <c r="O269" s="602"/>
      <c r="P269" s="602"/>
      <c r="Q269" s="601"/>
      <c r="R269" s="602"/>
      <c r="S269" s="602"/>
      <c r="T269" s="602"/>
      <c r="U269" s="602"/>
      <c r="V269" s="602"/>
      <c r="W269" s="606"/>
      <c r="X269" s="606"/>
    </row>
    <row r="270" spans="1:24">
      <c r="A270" s="591"/>
      <c r="B270" s="589"/>
      <c r="C270" s="596"/>
      <c r="D270" s="597"/>
      <c r="E270" s="597"/>
      <c r="F270" s="597"/>
      <c r="G270" s="597"/>
      <c r="H270" s="597"/>
      <c r="I270" s="596"/>
      <c r="J270" s="596"/>
      <c r="K270" s="597"/>
      <c r="L270" s="597"/>
      <c r="M270" s="597"/>
      <c r="N270" s="596"/>
      <c r="O270" s="596"/>
      <c r="P270" s="596"/>
      <c r="Q270" s="597"/>
      <c r="R270" s="596"/>
      <c r="S270" s="596"/>
      <c r="T270" s="596"/>
      <c r="U270" s="596"/>
      <c r="V270" s="596"/>
      <c r="W270" s="151"/>
      <c r="X270" s="151"/>
    </row>
    <row r="271" spans="1:24">
      <c r="A271" s="591"/>
      <c r="B271" s="598"/>
      <c r="C271" s="599"/>
      <c r="D271" s="151"/>
      <c r="E271" s="151"/>
      <c r="F271" s="151"/>
      <c r="G271" s="151"/>
      <c r="H271" s="151"/>
      <c r="I271" s="599"/>
      <c r="J271" s="599"/>
      <c r="K271" s="151"/>
      <c r="L271" s="151"/>
      <c r="M271" s="151"/>
      <c r="N271" s="599"/>
      <c r="O271" s="599"/>
      <c r="P271" s="599"/>
      <c r="Q271" s="151"/>
      <c r="R271" s="599"/>
      <c r="S271" s="599"/>
      <c r="T271" s="599"/>
      <c r="U271" s="599"/>
      <c r="V271" s="599"/>
      <c r="W271" s="151"/>
      <c r="X271" s="151"/>
    </row>
    <row r="272" spans="1:24">
      <c r="A272" s="591"/>
      <c r="B272" s="600"/>
      <c r="C272" s="602"/>
      <c r="D272" s="601"/>
      <c r="E272" s="601"/>
      <c r="F272" s="601"/>
      <c r="G272" s="601"/>
      <c r="H272" s="601"/>
      <c r="I272" s="602"/>
      <c r="J272" s="602"/>
      <c r="K272" s="601"/>
      <c r="L272" s="601"/>
      <c r="M272" s="601"/>
      <c r="N272" s="602"/>
      <c r="O272" s="602"/>
      <c r="P272" s="602"/>
      <c r="Q272" s="601"/>
      <c r="R272" s="602"/>
      <c r="S272" s="602"/>
      <c r="T272" s="602"/>
      <c r="U272" s="602"/>
      <c r="V272" s="602"/>
      <c r="W272" s="606"/>
      <c r="X272" s="606"/>
    </row>
    <row r="273" spans="1:24">
      <c r="A273" s="591"/>
      <c r="B273" s="589"/>
      <c r="C273" s="596"/>
      <c r="D273" s="597"/>
      <c r="E273" s="597"/>
      <c r="F273" s="597"/>
      <c r="G273" s="597"/>
      <c r="H273" s="597"/>
      <c r="I273" s="596"/>
      <c r="J273" s="596"/>
      <c r="K273" s="597"/>
      <c r="L273" s="597"/>
      <c r="M273" s="597"/>
      <c r="N273" s="596"/>
      <c r="O273" s="596"/>
      <c r="P273" s="596"/>
      <c r="Q273" s="597"/>
      <c r="R273" s="596"/>
      <c r="S273" s="596"/>
      <c r="T273" s="596"/>
      <c r="U273" s="596"/>
      <c r="V273" s="596"/>
      <c r="W273" s="151"/>
      <c r="X273" s="151"/>
    </row>
    <row r="274" spans="1:24">
      <c r="A274" s="591"/>
      <c r="B274" s="598"/>
      <c r="C274" s="599"/>
      <c r="D274" s="151"/>
      <c r="E274" s="151"/>
      <c r="F274" s="151"/>
      <c r="G274" s="151"/>
      <c r="H274" s="151"/>
      <c r="I274" s="599"/>
      <c r="J274" s="599"/>
      <c r="K274" s="151"/>
      <c r="L274" s="151"/>
      <c r="M274" s="151"/>
      <c r="N274" s="599"/>
      <c r="O274" s="599"/>
      <c r="P274" s="599"/>
      <c r="Q274" s="151"/>
      <c r="R274" s="599"/>
      <c r="S274" s="599"/>
      <c r="T274" s="599"/>
      <c r="U274" s="599"/>
      <c r="V274" s="599"/>
      <c r="W274" s="151"/>
      <c r="X274" s="151"/>
    </row>
    <row r="275" spans="1:24">
      <c r="A275" s="591"/>
      <c r="B275" s="600"/>
      <c r="C275" s="602"/>
      <c r="D275" s="601"/>
      <c r="E275" s="601"/>
      <c r="F275" s="601"/>
      <c r="G275" s="601"/>
      <c r="H275" s="601"/>
      <c r="I275" s="602"/>
      <c r="J275" s="602"/>
      <c r="K275" s="601"/>
      <c r="L275" s="601"/>
      <c r="M275" s="601"/>
      <c r="N275" s="602"/>
      <c r="O275" s="602"/>
      <c r="P275" s="602"/>
      <c r="Q275" s="601"/>
      <c r="R275" s="602"/>
      <c r="S275" s="602"/>
      <c r="T275" s="602"/>
      <c r="U275" s="602"/>
      <c r="V275" s="602"/>
      <c r="W275" s="606"/>
      <c r="X275" s="606"/>
    </row>
    <row r="276" spans="1:24">
      <c r="A276" s="591"/>
      <c r="B276" s="589"/>
      <c r="C276" s="596"/>
      <c r="D276" s="597"/>
      <c r="E276" s="597"/>
      <c r="F276" s="597"/>
      <c r="G276" s="597"/>
      <c r="H276" s="597"/>
      <c r="I276" s="596"/>
      <c r="J276" s="596"/>
      <c r="K276" s="597"/>
      <c r="L276" s="597"/>
      <c r="M276" s="597"/>
      <c r="N276" s="596"/>
      <c r="O276" s="596"/>
      <c r="P276" s="596"/>
      <c r="Q276" s="597"/>
      <c r="R276" s="596"/>
      <c r="S276" s="596"/>
      <c r="T276" s="596"/>
      <c r="U276" s="596"/>
      <c r="V276" s="596"/>
      <c r="W276" s="151"/>
      <c r="X276" s="151"/>
    </row>
    <row r="277" spans="1:24">
      <c r="A277" s="591"/>
      <c r="B277" s="598"/>
      <c r="C277" s="599"/>
      <c r="D277" s="151"/>
      <c r="E277" s="151"/>
      <c r="F277" s="151"/>
      <c r="G277" s="151"/>
      <c r="H277" s="151"/>
      <c r="I277" s="599"/>
      <c r="J277" s="599"/>
      <c r="K277" s="151"/>
      <c r="L277" s="151"/>
      <c r="M277" s="151"/>
      <c r="N277" s="599"/>
      <c r="O277" s="599"/>
      <c r="P277" s="599"/>
      <c r="Q277" s="151"/>
      <c r="R277" s="599"/>
      <c r="S277" s="599"/>
      <c r="T277" s="599"/>
      <c r="U277" s="599"/>
      <c r="V277" s="599"/>
      <c r="W277" s="151"/>
      <c r="X277" s="151"/>
    </row>
    <row r="278" spans="1:24">
      <c r="A278" s="591"/>
      <c r="B278" s="600"/>
      <c r="C278" s="602"/>
      <c r="D278" s="601"/>
      <c r="E278" s="601"/>
      <c r="F278" s="601"/>
      <c r="G278" s="601"/>
      <c r="H278" s="601"/>
      <c r="I278" s="602"/>
      <c r="J278" s="602"/>
      <c r="K278" s="601"/>
      <c r="L278" s="601"/>
      <c r="M278" s="601"/>
      <c r="N278" s="602"/>
      <c r="O278" s="602"/>
      <c r="P278" s="602"/>
      <c r="Q278" s="601"/>
      <c r="R278" s="602"/>
      <c r="S278" s="602"/>
      <c r="T278" s="602"/>
      <c r="U278" s="602"/>
      <c r="V278" s="602"/>
      <c r="W278" s="606"/>
      <c r="X278" s="606"/>
    </row>
    <row r="279" spans="1:24">
      <c r="A279" s="595"/>
      <c r="B279" s="589"/>
      <c r="C279" s="596"/>
      <c r="D279" s="597"/>
      <c r="E279" s="597"/>
      <c r="F279" s="597"/>
      <c r="G279" s="597"/>
      <c r="H279" s="597"/>
      <c r="I279" s="596"/>
      <c r="J279" s="596"/>
      <c r="K279" s="597"/>
      <c r="L279" s="597"/>
      <c r="M279" s="597"/>
      <c r="N279" s="596"/>
      <c r="O279" s="596"/>
      <c r="P279" s="596"/>
      <c r="Q279" s="597"/>
      <c r="R279" s="596"/>
      <c r="S279" s="596"/>
      <c r="T279" s="596"/>
      <c r="U279" s="596"/>
      <c r="V279" s="596"/>
      <c r="W279" s="151"/>
      <c r="X279" s="151"/>
    </row>
    <row r="280" spans="1:24">
      <c r="A280" s="591"/>
      <c r="B280" s="598"/>
      <c r="C280" s="599"/>
      <c r="D280" s="151"/>
      <c r="E280" s="151"/>
      <c r="F280" s="151"/>
      <c r="G280" s="151"/>
      <c r="H280" s="151"/>
      <c r="I280" s="599"/>
      <c r="J280" s="599"/>
      <c r="K280" s="151"/>
      <c r="L280" s="151"/>
      <c r="M280" s="151"/>
      <c r="N280" s="599"/>
      <c r="O280" s="599"/>
      <c r="P280" s="599"/>
      <c r="Q280" s="151"/>
      <c r="R280" s="599"/>
      <c r="S280" s="599"/>
      <c r="T280" s="599"/>
      <c r="U280" s="599"/>
      <c r="V280" s="599"/>
      <c r="W280" s="151"/>
      <c r="X280" s="151"/>
    </row>
    <row r="281" spans="1:24">
      <c r="A281" s="591"/>
      <c r="B281" s="600"/>
      <c r="C281" s="602"/>
      <c r="D281" s="601"/>
      <c r="E281" s="601"/>
      <c r="F281" s="601"/>
      <c r="G281" s="601"/>
      <c r="H281" s="601"/>
      <c r="I281" s="602"/>
      <c r="J281" s="602"/>
      <c r="K281" s="601"/>
      <c r="L281" s="601"/>
      <c r="M281" s="601"/>
      <c r="N281" s="602"/>
      <c r="O281" s="602"/>
      <c r="P281" s="602"/>
      <c r="Q281" s="601"/>
      <c r="R281" s="602"/>
      <c r="S281" s="602"/>
      <c r="T281" s="602"/>
      <c r="U281" s="602"/>
      <c r="V281" s="602"/>
      <c r="W281" s="606"/>
      <c r="X281" s="606"/>
    </row>
    <row r="282" spans="1:24">
      <c r="A282" s="591"/>
      <c r="B282" s="589"/>
      <c r="C282" s="596"/>
      <c r="D282" s="597"/>
      <c r="E282" s="597"/>
      <c r="F282" s="597"/>
      <c r="G282" s="597"/>
      <c r="H282" s="597"/>
      <c r="I282" s="596"/>
      <c r="J282" s="596"/>
      <c r="K282" s="597"/>
      <c r="L282" s="597"/>
      <c r="M282" s="597"/>
      <c r="N282" s="596"/>
      <c r="O282" s="596"/>
      <c r="P282" s="596"/>
      <c r="Q282" s="597"/>
      <c r="R282" s="596"/>
      <c r="S282" s="596"/>
      <c r="T282" s="596"/>
      <c r="U282" s="596"/>
      <c r="V282" s="596"/>
      <c r="W282" s="151"/>
      <c r="X282" s="151"/>
    </row>
    <row r="283" spans="1:24">
      <c r="A283" s="591"/>
      <c r="B283" s="598"/>
      <c r="C283" s="599"/>
      <c r="D283" s="151"/>
      <c r="E283" s="151"/>
      <c r="F283" s="151"/>
      <c r="G283" s="151"/>
      <c r="H283" s="151"/>
      <c r="I283" s="599"/>
      <c r="J283" s="599"/>
      <c r="K283" s="151"/>
      <c r="L283" s="151"/>
      <c r="M283" s="151"/>
      <c r="N283" s="599"/>
      <c r="O283" s="599"/>
      <c r="P283" s="599"/>
      <c r="Q283" s="151"/>
      <c r="R283" s="599"/>
      <c r="S283" s="599"/>
      <c r="T283" s="599"/>
      <c r="U283" s="599"/>
      <c r="V283" s="599"/>
      <c r="W283" s="151"/>
      <c r="X283" s="151"/>
    </row>
    <row r="284" spans="1:24">
      <c r="A284" s="591"/>
      <c r="B284" s="600"/>
      <c r="C284" s="602"/>
      <c r="D284" s="601"/>
      <c r="E284" s="601"/>
      <c r="F284" s="601"/>
      <c r="G284" s="601"/>
      <c r="H284" s="601"/>
      <c r="I284" s="602"/>
      <c r="J284" s="602"/>
      <c r="K284" s="601"/>
      <c r="L284" s="601"/>
      <c r="M284" s="601"/>
      <c r="N284" s="602"/>
      <c r="O284" s="602"/>
      <c r="P284" s="602"/>
      <c r="Q284" s="601"/>
      <c r="R284" s="602"/>
      <c r="S284" s="602"/>
      <c r="T284" s="602"/>
      <c r="U284" s="602"/>
      <c r="V284" s="602"/>
      <c r="W284" s="606"/>
      <c r="X284" s="606"/>
    </row>
    <row r="285" spans="1:24">
      <c r="A285" s="591"/>
      <c r="B285" s="589"/>
      <c r="C285" s="596"/>
      <c r="D285" s="597"/>
      <c r="E285" s="597"/>
      <c r="F285" s="597"/>
      <c r="G285" s="597"/>
      <c r="H285" s="597"/>
      <c r="I285" s="596"/>
      <c r="J285" s="596"/>
      <c r="K285" s="597"/>
      <c r="L285" s="597"/>
      <c r="M285" s="597"/>
      <c r="N285" s="596"/>
      <c r="O285" s="596"/>
      <c r="P285" s="596"/>
      <c r="Q285" s="597"/>
      <c r="R285" s="596"/>
      <c r="S285" s="596"/>
      <c r="T285" s="596"/>
      <c r="U285" s="596"/>
      <c r="V285" s="596"/>
      <c r="W285" s="151"/>
      <c r="X285" s="151"/>
    </row>
    <row r="286" spans="1:24">
      <c r="A286" s="591"/>
      <c r="B286" s="598"/>
      <c r="C286" s="599"/>
      <c r="D286" s="151"/>
      <c r="E286" s="151"/>
      <c r="F286" s="151"/>
      <c r="G286" s="151"/>
      <c r="H286" s="151"/>
      <c r="I286" s="599"/>
      <c r="J286" s="599"/>
      <c r="K286" s="151"/>
      <c r="L286" s="151"/>
      <c r="M286" s="151"/>
      <c r="N286" s="599"/>
      <c r="O286" s="599"/>
      <c r="P286" s="599"/>
      <c r="Q286" s="151"/>
      <c r="R286" s="599"/>
      <c r="S286" s="599"/>
      <c r="T286" s="599"/>
      <c r="U286" s="599"/>
      <c r="V286" s="599"/>
      <c r="W286" s="151"/>
      <c r="X286" s="151"/>
    </row>
    <row r="287" spans="1:24">
      <c r="A287" s="591"/>
      <c r="B287" s="600"/>
      <c r="C287" s="602"/>
      <c r="D287" s="601"/>
      <c r="E287" s="601"/>
      <c r="F287" s="601"/>
      <c r="G287" s="601"/>
      <c r="H287" s="601"/>
      <c r="I287" s="602"/>
      <c r="J287" s="602"/>
      <c r="K287" s="601"/>
      <c r="L287" s="601"/>
      <c r="M287" s="601"/>
      <c r="N287" s="602"/>
      <c r="O287" s="602"/>
      <c r="P287" s="602"/>
      <c r="Q287" s="601"/>
      <c r="R287" s="602"/>
      <c r="S287" s="602"/>
      <c r="T287" s="602"/>
      <c r="U287" s="602"/>
      <c r="V287" s="602"/>
      <c r="W287" s="606"/>
      <c r="X287" s="606"/>
    </row>
    <row r="288" spans="1:24">
      <c r="A288" s="591"/>
      <c r="B288" s="589"/>
      <c r="C288" s="596"/>
      <c r="D288" s="597"/>
      <c r="E288" s="597"/>
      <c r="F288" s="597"/>
      <c r="G288" s="597"/>
      <c r="H288" s="597"/>
      <c r="I288" s="596"/>
      <c r="J288" s="596"/>
      <c r="K288" s="597"/>
      <c r="L288" s="597"/>
      <c r="M288" s="597"/>
      <c r="N288" s="596"/>
      <c r="O288" s="596"/>
      <c r="P288" s="596"/>
      <c r="Q288" s="597"/>
      <c r="R288" s="596"/>
      <c r="S288" s="596"/>
      <c r="T288" s="596"/>
      <c r="U288" s="596"/>
      <c r="V288" s="596"/>
      <c r="W288" s="151"/>
      <c r="X288" s="151"/>
    </row>
    <row r="289" spans="1:24">
      <c r="A289" s="591"/>
      <c r="B289" s="598"/>
      <c r="C289" s="599"/>
      <c r="D289" s="151"/>
      <c r="E289" s="151"/>
      <c r="F289" s="151"/>
      <c r="G289" s="151"/>
      <c r="H289" s="151"/>
      <c r="I289" s="599"/>
      <c r="J289" s="599"/>
      <c r="K289" s="151"/>
      <c r="L289" s="151"/>
      <c r="M289" s="151"/>
      <c r="N289" s="599"/>
      <c r="O289" s="599"/>
      <c r="P289" s="599"/>
      <c r="Q289" s="151"/>
      <c r="R289" s="599"/>
      <c r="S289" s="599"/>
      <c r="T289" s="599"/>
      <c r="U289" s="599"/>
      <c r="V289" s="599"/>
      <c r="W289" s="151"/>
      <c r="X289" s="151"/>
    </row>
    <row r="290" spans="1:24">
      <c r="A290" s="591"/>
      <c r="B290" s="600"/>
      <c r="C290" s="602"/>
      <c r="D290" s="601"/>
      <c r="E290" s="601"/>
      <c r="F290" s="601"/>
      <c r="G290" s="601"/>
      <c r="H290" s="601"/>
      <c r="I290" s="602"/>
      <c r="J290" s="602"/>
      <c r="K290" s="601"/>
      <c r="L290" s="601"/>
      <c r="M290" s="601"/>
      <c r="N290" s="602"/>
      <c r="O290" s="602"/>
      <c r="P290" s="602"/>
      <c r="Q290" s="601"/>
      <c r="R290" s="602"/>
      <c r="S290" s="602"/>
      <c r="T290" s="602"/>
      <c r="U290" s="602"/>
      <c r="V290" s="602"/>
      <c r="W290" s="606"/>
      <c r="X290" s="606"/>
    </row>
    <row r="291" spans="1:24">
      <c r="A291" s="591"/>
      <c r="B291" s="589"/>
      <c r="C291" s="596"/>
      <c r="D291" s="597"/>
      <c r="E291" s="597"/>
      <c r="F291" s="597"/>
      <c r="G291" s="597"/>
      <c r="H291" s="597"/>
      <c r="I291" s="596"/>
      <c r="J291" s="596"/>
      <c r="K291" s="597"/>
      <c r="L291" s="597"/>
      <c r="M291" s="597"/>
      <c r="N291" s="596"/>
      <c r="O291" s="596"/>
      <c r="P291" s="596"/>
      <c r="Q291" s="597"/>
      <c r="R291" s="596"/>
      <c r="S291" s="596"/>
      <c r="T291" s="596"/>
      <c r="U291" s="596"/>
      <c r="V291" s="596"/>
      <c r="W291" s="151"/>
      <c r="X291" s="151"/>
    </row>
    <row r="292" spans="1:24">
      <c r="A292" s="591"/>
      <c r="B292" s="598"/>
      <c r="C292" s="599"/>
      <c r="D292" s="151"/>
      <c r="E292" s="151"/>
      <c r="F292" s="151"/>
      <c r="G292" s="151"/>
      <c r="H292" s="151"/>
      <c r="I292" s="599"/>
      <c r="J292" s="599"/>
      <c r="K292" s="151"/>
      <c r="L292" s="151"/>
      <c r="M292" s="151"/>
      <c r="N292" s="599"/>
      <c r="O292" s="599"/>
      <c r="P292" s="599"/>
      <c r="Q292" s="151"/>
      <c r="R292" s="599"/>
      <c r="S292" s="599"/>
      <c r="T292" s="599"/>
      <c r="U292" s="599"/>
      <c r="V292" s="599"/>
      <c r="W292" s="151"/>
      <c r="X292" s="151"/>
    </row>
    <row r="293" spans="1:24">
      <c r="A293" s="591"/>
      <c r="B293" s="600"/>
      <c r="C293" s="602"/>
      <c r="D293" s="601"/>
      <c r="E293" s="601"/>
      <c r="F293" s="601"/>
      <c r="G293" s="601"/>
      <c r="H293" s="601"/>
      <c r="I293" s="602"/>
      <c r="J293" s="602"/>
      <c r="K293" s="601"/>
      <c r="L293" s="601"/>
      <c r="M293" s="601"/>
      <c r="N293" s="602"/>
      <c r="O293" s="602"/>
      <c r="P293" s="602"/>
      <c r="Q293" s="601"/>
      <c r="R293" s="602"/>
      <c r="S293" s="602"/>
      <c r="T293" s="602"/>
      <c r="U293" s="602"/>
      <c r="V293" s="602"/>
      <c r="W293" s="606"/>
      <c r="X293" s="606"/>
    </row>
    <row r="294" spans="1:24">
      <c r="A294" s="591"/>
      <c r="B294" s="589"/>
      <c r="C294" s="596"/>
      <c r="D294" s="597"/>
      <c r="E294" s="597"/>
      <c r="F294" s="597"/>
      <c r="G294" s="597"/>
      <c r="H294" s="597"/>
      <c r="I294" s="596"/>
      <c r="J294" s="596"/>
      <c r="K294" s="597"/>
      <c r="L294" s="597"/>
      <c r="M294" s="597"/>
      <c r="N294" s="596"/>
      <c r="O294" s="596"/>
      <c r="P294" s="596"/>
      <c r="Q294" s="597"/>
      <c r="R294" s="596"/>
      <c r="S294" s="596"/>
      <c r="T294" s="596"/>
      <c r="U294" s="596"/>
      <c r="V294" s="596"/>
      <c r="W294" s="151"/>
      <c r="X294" s="151"/>
    </row>
    <row r="295" spans="1:24">
      <c r="A295" s="591"/>
      <c r="B295" s="598"/>
      <c r="C295" s="599"/>
      <c r="D295" s="151"/>
      <c r="E295" s="151"/>
      <c r="F295" s="151"/>
      <c r="G295" s="151"/>
      <c r="H295" s="151"/>
      <c r="I295" s="599"/>
      <c r="J295" s="599"/>
      <c r="K295" s="151"/>
      <c r="L295" s="151"/>
      <c r="M295" s="151"/>
      <c r="N295" s="599"/>
      <c r="O295" s="599"/>
      <c r="P295" s="599"/>
      <c r="Q295" s="151"/>
      <c r="R295" s="599"/>
      <c r="S295" s="599"/>
      <c r="T295" s="599"/>
      <c r="U295" s="599"/>
      <c r="V295" s="599"/>
      <c r="W295" s="151"/>
      <c r="X295" s="151"/>
    </row>
    <row r="296" spans="1:24">
      <c r="A296" s="591"/>
      <c r="B296" s="600"/>
      <c r="C296" s="602"/>
      <c r="D296" s="601"/>
      <c r="E296" s="601"/>
      <c r="F296" s="601"/>
      <c r="G296" s="601"/>
      <c r="H296" s="601"/>
      <c r="I296" s="602"/>
      <c r="J296" s="602"/>
      <c r="K296" s="601"/>
      <c r="L296" s="601"/>
      <c r="M296" s="601"/>
      <c r="N296" s="602"/>
      <c r="O296" s="602"/>
      <c r="P296" s="602"/>
      <c r="Q296" s="601"/>
      <c r="R296" s="602"/>
      <c r="S296" s="602"/>
      <c r="T296" s="602"/>
      <c r="U296" s="602"/>
      <c r="V296" s="602"/>
      <c r="W296" s="606"/>
      <c r="X296" s="606"/>
    </row>
    <row r="297" spans="1:24">
      <c r="A297" s="591"/>
      <c r="B297" s="589"/>
      <c r="C297" s="596"/>
      <c r="D297" s="597"/>
      <c r="E297" s="597"/>
      <c r="F297" s="597"/>
      <c r="G297" s="597"/>
      <c r="H297" s="597"/>
      <c r="I297" s="596"/>
      <c r="J297" s="596"/>
      <c r="K297" s="597"/>
      <c r="L297" s="597"/>
      <c r="M297" s="597"/>
      <c r="N297" s="596"/>
      <c r="O297" s="596"/>
      <c r="P297" s="596"/>
      <c r="Q297" s="597"/>
      <c r="R297" s="596"/>
      <c r="S297" s="596"/>
      <c r="T297" s="596"/>
      <c r="U297" s="596"/>
      <c r="V297" s="596"/>
      <c r="W297" s="151"/>
      <c r="X297" s="151"/>
    </row>
    <row r="298" spans="1:24">
      <c r="A298" s="591"/>
      <c r="B298" s="598"/>
      <c r="C298" s="599"/>
      <c r="D298" s="151"/>
      <c r="E298" s="151"/>
      <c r="F298" s="151"/>
      <c r="G298" s="151"/>
      <c r="H298" s="151"/>
      <c r="I298" s="599"/>
      <c r="J298" s="599"/>
      <c r="K298" s="151"/>
      <c r="L298" s="151"/>
      <c r="M298" s="151"/>
      <c r="N298" s="599"/>
      <c r="O298" s="599"/>
      <c r="P298" s="599"/>
      <c r="Q298" s="151"/>
      <c r="R298" s="599"/>
      <c r="S298" s="599"/>
      <c r="T298" s="599"/>
      <c r="U298" s="599"/>
      <c r="V298" s="599"/>
      <c r="W298" s="151"/>
      <c r="X298" s="151"/>
    </row>
    <row r="299" spans="1:24">
      <c r="A299" s="591"/>
      <c r="B299" s="600"/>
      <c r="C299" s="602"/>
      <c r="D299" s="601"/>
      <c r="E299" s="601"/>
      <c r="F299" s="601"/>
      <c r="G299" s="601"/>
      <c r="H299" s="601"/>
      <c r="I299" s="602"/>
      <c r="J299" s="602"/>
      <c r="K299" s="601"/>
      <c r="L299" s="601"/>
      <c r="M299" s="601"/>
      <c r="N299" s="602"/>
      <c r="O299" s="602"/>
      <c r="P299" s="602"/>
      <c r="Q299" s="601"/>
      <c r="R299" s="602"/>
      <c r="S299" s="602"/>
      <c r="T299" s="602"/>
      <c r="U299" s="602"/>
      <c r="V299" s="602"/>
      <c r="W299" s="606"/>
      <c r="X299" s="606"/>
    </row>
    <row r="300" spans="1:24">
      <c r="A300" s="595"/>
      <c r="B300" s="589"/>
      <c r="C300" s="596"/>
      <c r="D300" s="597"/>
      <c r="E300" s="597"/>
      <c r="F300" s="597"/>
      <c r="G300" s="597"/>
      <c r="H300" s="597"/>
      <c r="I300" s="596"/>
      <c r="J300" s="596"/>
      <c r="K300" s="597"/>
      <c r="L300" s="597"/>
      <c r="M300" s="597"/>
      <c r="N300" s="596"/>
      <c r="O300" s="596"/>
      <c r="P300" s="596"/>
      <c r="Q300" s="597"/>
      <c r="R300" s="596"/>
      <c r="S300" s="596"/>
      <c r="T300" s="596"/>
      <c r="U300" s="596"/>
      <c r="V300" s="596"/>
      <c r="W300" s="151"/>
      <c r="X300" s="151"/>
    </row>
    <row r="301" spans="1:24">
      <c r="A301" s="591"/>
      <c r="B301" s="598"/>
      <c r="C301" s="599"/>
      <c r="D301" s="151"/>
      <c r="E301" s="151"/>
      <c r="F301" s="151"/>
      <c r="G301" s="151"/>
      <c r="H301" s="151"/>
      <c r="I301" s="599"/>
      <c r="J301" s="599"/>
      <c r="K301" s="151"/>
      <c r="L301" s="151"/>
      <c r="M301" s="151"/>
      <c r="N301" s="599"/>
      <c r="O301" s="599"/>
      <c r="P301" s="599"/>
      <c r="Q301" s="151"/>
      <c r="R301" s="599"/>
      <c r="S301" s="599"/>
      <c r="T301" s="599"/>
      <c r="U301" s="599"/>
      <c r="V301" s="599"/>
      <c r="W301" s="151"/>
      <c r="X301" s="151"/>
    </row>
    <row r="302" spans="1:24">
      <c r="A302" s="591"/>
      <c r="B302" s="600"/>
      <c r="C302" s="602"/>
      <c r="D302" s="601"/>
      <c r="E302" s="601"/>
      <c r="F302" s="601"/>
      <c r="G302" s="601"/>
      <c r="H302" s="601"/>
      <c r="I302" s="602"/>
      <c r="J302" s="602"/>
      <c r="K302" s="601"/>
      <c r="L302" s="601"/>
      <c r="M302" s="601"/>
      <c r="N302" s="602"/>
      <c r="O302" s="602"/>
      <c r="P302" s="602"/>
      <c r="Q302" s="601"/>
      <c r="R302" s="602"/>
      <c r="S302" s="602"/>
      <c r="T302" s="602"/>
      <c r="U302" s="602"/>
      <c r="V302" s="602"/>
      <c r="W302" s="606"/>
      <c r="X302" s="606"/>
    </row>
    <row r="303" spans="1:24">
      <c r="A303" s="591"/>
      <c r="B303" s="589"/>
      <c r="C303" s="596"/>
      <c r="D303" s="597"/>
      <c r="E303" s="597"/>
      <c r="F303" s="597"/>
      <c r="G303" s="597"/>
      <c r="H303" s="597"/>
      <c r="I303" s="596"/>
      <c r="J303" s="596"/>
      <c r="K303" s="597"/>
      <c r="L303" s="597"/>
      <c r="M303" s="597"/>
      <c r="N303" s="596"/>
      <c r="O303" s="596"/>
      <c r="P303" s="596"/>
      <c r="Q303" s="597"/>
      <c r="R303" s="596"/>
      <c r="S303" s="596"/>
      <c r="T303" s="596"/>
      <c r="U303" s="596"/>
      <c r="V303" s="596"/>
      <c r="W303" s="151"/>
      <c r="X303" s="151"/>
    </row>
    <row r="304" spans="1:24">
      <c r="A304" s="591"/>
      <c r="B304" s="598"/>
      <c r="C304" s="599"/>
      <c r="D304" s="151"/>
      <c r="E304" s="151"/>
      <c r="F304" s="151"/>
      <c r="G304" s="151"/>
      <c r="H304" s="151"/>
      <c r="I304" s="599"/>
      <c r="J304" s="599"/>
      <c r="K304" s="151"/>
      <c r="L304" s="151"/>
      <c r="M304" s="151"/>
      <c r="N304" s="599"/>
      <c r="O304" s="599"/>
      <c r="P304" s="599"/>
      <c r="Q304" s="151"/>
      <c r="R304" s="599"/>
      <c r="S304" s="599"/>
      <c r="T304" s="599"/>
      <c r="U304" s="599"/>
      <c r="V304" s="599"/>
      <c r="W304" s="151"/>
      <c r="X304" s="151"/>
    </row>
    <row r="305" spans="1:24">
      <c r="A305" s="591"/>
      <c r="B305" s="600"/>
      <c r="C305" s="602"/>
      <c r="D305" s="601"/>
      <c r="E305" s="601"/>
      <c r="F305" s="601"/>
      <c r="G305" s="601"/>
      <c r="H305" s="601"/>
      <c r="I305" s="602"/>
      <c r="J305" s="602"/>
      <c r="K305" s="601"/>
      <c r="L305" s="601"/>
      <c r="M305" s="601"/>
      <c r="N305" s="602"/>
      <c r="O305" s="602"/>
      <c r="P305" s="602"/>
      <c r="Q305" s="601"/>
      <c r="R305" s="602"/>
      <c r="S305" s="602"/>
      <c r="T305" s="602"/>
      <c r="U305" s="602"/>
      <c r="V305" s="602"/>
      <c r="W305" s="606"/>
      <c r="X305" s="606"/>
    </row>
    <row r="306" spans="1:24">
      <c r="A306" s="591"/>
      <c r="B306" s="589"/>
      <c r="C306" s="596"/>
      <c r="D306" s="597"/>
      <c r="E306" s="597"/>
      <c r="F306" s="597"/>
      <c r="G306" s="597"/>
      <c r="H306" s="597"/>
      <c r="I306" s="596"/>
      <c r="J306" s="596"/>
      <c r="K306" s="597"/>
      <c r="L306" s="597"/>
      <c r="M306" s="597"/>
      <c r="N306" s="596"/>
      <c r="O306" s="596"/>
      <c r="P306" s="596"/>
      <c r="Q306" s="597"/>
      <c r="R306" s="596"/>
      <c r="S306" s="596"/>
      <c r="T306" s="596"/>
      <c r="U306" s="596"/>
      <c r="V306" s="596"/>
      <c r="W306" s="151"/>
      <c r="X306" s="151"/>
    </row>
    <row r="307" spans="1:24">
      <c r="A307" s="591"/>
      <c r="B307" s="598"/>
      <c r="C307" s="599"/>
      <c r="D307" s="151"/>
      <c r="E307" s="151"/>
      <c r="F307" s="151"/>
      <c r="G307" s="151"/>
      <c r="H307" s="151"/>
      <c r="I307" s="599"/>
      <c r="J307" s="599"/>
      <c r="K307" s="151"/>
      <c r="L307" s="151"/>
      <c r="M307" s="151"/>
      <c r="N307" s="599"/>
      <c r="O307" s="599"/>
      <c r="P307" s="599"/>
      <c r="Q307" s="151"/>
      <c r="R307" s="599"/>
      <c r="S307" s="599"/>
      <c r="T307" s="599"/>
      <c r="U307" s="599"/>
      <c r="V307" s="599"/>
      <c r="W307" s="151"/>
      <c r="X307" s="151"/>
    </row>
    <row r="308" spans="1:24">
      <c r="A308" s="591"/>
      <c r="B308" s="600"/>
      <c r="C308" s="602"/>
      <c r="D308" s="601"/>
      <c r="E308" s="601"/>
      <c r="F308" s="601"/>
      <c r="G308" s="601"/>
      <c r="H308" s="601"/>
      <c r="I308" s="602"/>
      <c r="J308" s="602"/>
      <c r="K308" s="601"/>
      <c r="L308" s="601"/>
      <c r="M308" s="601"/>
      <c r="N308" s="602"/>
      <c r="O308" s="602"/>
      <c r="P308" s="602"/>
      <c r="Q308" s="601"/>
      <c r="R308" s="602"/>
      <c r="S308" s="602"/>
      <c r="T308" s="602"/>
      <c r="U308" s="602"/>
      <c r="V308" s="602"/>
      <c r="W308" s="606"/>
      <c r="X308" s="606"/>
    </row>
    <row r="309" spans="1:24">
      <c r="A309" s="591"/>
      <c r="B309" s="589"/>
      <c r="C309" s="596"/>
      <c r="D309" s="597"/>
      <c r="E309" s="597"/>
      <c r="F309" s="597"/>
      <c r="G309" s="597"/>
      <c r="H309" s="597"/>
      <c r="I309" s="596"/>
      <c r="J309" s="596"/>
      <c r="K309" s="597"/>
      <c r="L309" s="597"/>
      <c r="M309" s="597"/>
      <c r="N309" s="596"/>
      <c r="O309" s="596"/>
      <c r="P309" s="596"/>
      <c r="Q309" s="597"/>
      <c r="R309" s="596"/>
      <c r="S309" s="596"/>
      <c r="T309" s="596"/>
      <c r="U309" s="596"/>
      <c r="V309" s="596"/>
      <c r="W309" s="151"/>
      <c r="X309" s="151"/>
    </row>
    <row r="310" spans="1:24">
      <c r="A310" s="591"/>
      <c r="B310" s="598"/>
      <c r="C310" s="599"/>
      <c r="D310" s="151"/>
      <c r="E310" s="151"/>
      <c r="F310" s="151"/>
      <c r="G310" s="151"/>
      <c r="H310" s="151"/>
      <c r="I310" s="599"/>
      <c r="J310" s="599"/>
      <c r="K310" s="151"/>
      <c r="L310" s="151"/>
      <c r="M310" s="151"/>
      <c r="N310" s="599"/>
      <c r="O310" s="599"/>
      <c r="P310" s="599"/>
      <c r="Q310" s="151"/>
      <c r="R310" s="599"/>
      <c r="S310" s="599"/>
      <c r="T310" s="599"/>
      <c r="U310" s="599"/>
      <c r="V310" s="599"/>
      <c r="W310" s="151"/>
      <c r="X310" s="151"/>
    </row>
    <row r="311" spans="1:24">
      <c r="A311" s="591"/>
      <c r="B311" s="600"/>
      <c r="C311" s="602"/>
      <c r="D311" s="601"/>
      <c r="E311" s="601"/>
      <c r="F311" s="601"/>
      <c r="G311" s="601"/>
      <c r="H311" s="601"/>
      <c r="I311" s="602"/>
      <c r="J311" s="602"/>
      <c r="K311" s="601"/>
      <c r="L311" s="601"/>
      <c r="M311" s="601"/>
      <c r="N311" s="602"/>
      <c r="O311" s="602"/>
      <c r="P311" s="602"/>
      <c r="Q311" s="601"/>
      <c r="R311" s="602"/>
      <c r="S311" s="602"/>
      <c r="T311" s="602"/>
      <c r="U311" s="602"/>
      <c r="V311" s="602"/>
      <c r="W311" s="606"/>
      <c r="X311" s="606"/>
    </row>
    <row r="312" spans="1:24">
      <c r="A312" s="591"/>
      <c r="B312" s="589"/>
      <c r="C312" s="596"/>
      <c r="D312" s="597"/>
      <c r="E312" s="597"/>
      <c r="F312" s="597"/>
      <c r="G312" s="597"/>
      <c r="H312" s="597"/>
      <c r="I312" s="596"/>
      <c r="J312" s="596"/>
      <c r="K312" s="597"/>
      <c r="L312" s="597"/>
      <c r="M312" s="597"/>
      <c r="N312" s="596"/>
      <c r="O312" s="596"/>
      <c r="P312" s="596"/>
      <c r="Q312" s="597"/>
      <c r="R312" s="596"/>
      <c r="S312" s="596"/>
      <c r="T312" s="596"/>
      <c r="U312" s="596"/>
      <c r="V312" s="596"/>
      <c r="W312" s="151"/>
      <c r="X312" s="151"/>
    </row>
    <row r="313" spans="1:24">
      <c r="A313" s="591"/>
      <c r="B313" s="598"/>
      <c r="C313" s="599"/>
      <c r="D313" s="151"/>
      <c r="E313" s="151"/>
      <c r="F313" s="151"/>
      <c r="G313" s="151"/>
      <c r="H313" s="151"/>
      <c r="I313" s="599"/>
      <c r="J313" s="599"/>
      <c r="K313" s="151"/>
      <c r="L313" s="151"/>
      <c r="M313" s="151"/>
      <c r="N313" s="599"/>
      <c r="O313" s="599"/>
      <c r="P313" s="599"/>
      <c r="Q313" s="151"/>
      <c r="R313" s="599"/>
      <c r="S313" s="599"/>
      <c r="T313" s="599"/>
      <c r="U313" s="599"/>
      <c r="V313" s="599"/>
      <c r="W313" s="151"/>
      <c r="X313" s="151"/>
    </row>
    <row r="314" spans="1:24">
      <c r="A314" s="591"/>
      <c r="B314" s="600"/>
      <c r="C314" s="602"/>
      <c r="D314" s="601"/>
      <c r="E314" s="601"/>
      <c r="F314" s="601"/>
      <c r="G314" s="601"/>
      <c r="H314" s="601"/>
      <c r="I314" s="602"/>
      <c r="J314" s="602"/>
      <c r="K314" s="601"/>
      <c r="L314" s="601"/>
      <c r="M314" s="601"/>
      <c r="N314" s="602"/>
      <c r="O314" s="602"/>
      <c r="P314" s="602"/>
      <c r="Q314" s="601"/>
      <c r="R314" s="602"/>
      <c r="S314" s="602"/>
      <c r="T314" s="602"/>
      <c r="U314" s="602"/>
      <c r="V314" s="602"/>
      <c r="W314" s="606"/>
      <c r="X314" s="606"/>
    </row>
    <row r="315" spans="1:24">
      <c r="A315" s="591"/>
      <c r="B315" s="589"/>
      <c r="C315" s="596"/>
      <c r="D315" s="597"/>
      <c r="E315" s="597"/>
      <c r="F315" s="597"/>
      <c r="G315" s="597"/>
      <c r="H315" s="597"/>
      <c r="I315" s="596"/>
      <c r="J315" s="596"/>
      <c r="K315" s="597"/>
      <c r="L315" s="597"/>
      <c r="M315" s="597"/>
      <c r="N315" s="596"/>
      <c r="O315" s="596"/>
      <c r="P315" s="596"/>
      <c r="Q315" s="597"/>
      <c r="R315" s="596"/>
      <c r="S315" s="596"/>
      <c r="T315" s="596"/>
      <c r="U315" s="596"/>
      <c r="V315" s="596"/>
      <c r="W315" s="151"/>
      <c r="X315" s="151"/>
    </row>
    <row r="316" spans="1:24">
      <c r="A316" s="591"/>
      <c r="B316" s="598"/>
      <c r="C316" s="599"/>
      <c r="D316" s="151"/>
      <c r="E316" s="151"/>
      <c r="F316" s="151"/>
      <c r="G316" s="151"/>
      <c r="H316" s="151"/>
      <c r="I316" s="599"/>
      <c r="J316" s="599"/>
      <c r="K316" s="151"/>
      <c r="L316" s="151"/>
      <c r="M316" s="151"/>
      <c r="N316" s="599"/>
      <c r="O316" s="599"/>
      <c r="P316" s="599"/>
      <c r="Q316" s="151"/>
      <c r="R316" s="599"/>
      <c r="S316" s="599"/>
      <c r="T316" s="599"/>
      <c r="U316" s="599"/>
      <c r="V316" s="599"/>
      <c r="W316" s="151"/>
      <c r="X316" s="151"/>
    </row>
    <row r="317" spans="1:24">
      <c r="A317" s="591"/>
      <c r="B317" s="600"/>
      <c r="C317" s="602"/>
      <c r="D317" s="601"/>
      <c r="E317" s="601"/>
      <c r="F317" s="601"/>
      <c r="G317" s="601"/>
      <c r="H317" s="601"/>
      <c r="I317" s="602"/>
      <c r="J317" s="602"/>
      <c r="K317" s="601"/>
      <c r="L317" s="601"/>
      <c r="M317" s="601"/>
      <c r="N317" s="602"/>
      <c r="O317" s="602"/>
      <c r="P317" s="602"/>
      <c r="Q317" s="601"/>
      <c r="R317" s="602"/>
      <c r="S317" s="602"/>
      <c r="T317" s="602"/>
      <c r="U317" s="602"/>
      <c r="V317" s="602"/>
      <c r="W317" s="606"/>
      <c r="X317" s="606"/>
    </row>
    <row r="318" spans="1:24">
      <c r="A318" s="591"/>
      <c r="B318" s="589"/>
      <c r="C318" s="596"/>
      <c r="D318" s="597"/>
      <c r="E318" s="597"/>
      <c r="F318" s="597"/>
      <c r="G318" s="597"/>
      <c r="H318" s="597"/>
      <c r="I318" s="596"/>
      <c r="J318" s="596"/>
      <c r="K318" s="597"/>
      <c r="L318" s="597"/>
      <c r="M318" s="597"/>
      <c r="N318" s="596"/>
      <c r="O318" s="596"/>
      <c r="P318" s="596"/>
      <c r="Q318" s="597"/>
      <c r="R318" s="596"/>
      <c r="S318" s="596"/>
      <c r="T318" s="596"/>
      <c r="U318" s="596"/>
      <c r="V318" s="596"/>
      <c r="W318" s="151"/>
      <c r="X318" s="151"/>
    </row>
    <row r="319" spans="1:24">
      <c r="A319" s="591"/>
      <c r="B319" s="598"/>
      <c r="C319" s="599"/>
      <c r="D319" s="151"/>
      <c r="E319" s="151"/>
      <c r="F319" s="151"/>
      <c r="G319" s="151"/>
      <c r="H319" s="151"/>
      <c r="I319" s="599"/>
      <c r="J319" s="599"/>
      <c r="K319" s="151"/>
      <c r="L319" s="151"/>
      <c r="M319" s="151"/>
      <c r="N319" s="599"/>
      <c r="O319" s="599"/>
      <c r="P319" s="599"/>
      <c r="Q319" s="151"/>
      <c r="R319" s="599"/>
      <c r="S319" s="599"/>
      <c r="T319" s="599"/>
      <c r="U319" s="599"/>
      <c r="V319" s="599"/>
      <c r="W319" s="151"/>
      <c r="X319" s="151"/>
    </row>
    <row r="320" spans="1:24">
      <c r="A320" s="591"/>
      <c r="B320" s="600"/>
      <c r="C320" s="602"/>
      <c r="D320" s="601"/>
      <c r="E320" s="601"/>
      <c r="F320" s="601"/>
      <c r="G320" s="601"/>
      <c r="H320" s="601"/>
      <c r="I320" s="602"/>
      <c r="J320" s="602"/>
      <c r="K320" s="601"/>
      <c r="L320" s="601"/>
      <c r="M320" s="601"/>
      <c r="N320" s="602"/>
      <c r="O320" s="602"/>
      <c r="P320" s="602"/>
      <c r="Q320" s="601"/>
      <c r="R320" s="602"/>
      <c r="S320" s="602"/>
      <c r="T320" s="602"/>
      <c r="U320" s="602"/>
      <c r="V320" s="602"/>
      <c r="W320" s="606"/>
      <c r="X320" s="606"/>
    </row>
    <row r="321" spans="1:24">
      <c r="A321" s="595"/>
      <c r="B321" s="589"/>
      <c r="C321" s="596"/>
      <c r="D321" s="597"/>
      <c r="E321" s="597"/>
      <c r="F321" s="597"/>
      <c r="G321" s="597"/>
      <c r="H321" s="597"/>
      <c r="I321" s="596"/>
      <c r="J321" s="596"/>
      <c r="K321" s="597"/>
      <c r="L321" s="597"/>
      <c r="M321" s="597"/>
      <c r="N321" s="596"/>
      <c r="O321" s="596"/>
      <c r="P321" s="596"/>
      <c r="Q321" s="597"/>
      <c r="R321" s="596"/>
      <c r="S321" s="596"/>
      <c r="T321" s="596"/>
      <c r="U321" s="596"/>
      <c r="V321" s="596"/>
      <c r="W321" s="151"/>
      <c r="X321" s="151"/>
    </row>
    <row r="322" spans="1:24">
      <c r="A322" s="591"/>
      <c r="B322" s="598"/>
      <c r="C322" s="599"/>
      <c r="D322" s="151"/>
      <c r="E322" s="151"/>
      <c r="F322" s="151"/>
      <c r="G322" s="151"/>
      <c r="H322" s="151"/>
      <c r="I322" s="599"/>
      <c r="J322" s="599"/>
      <c r="K322" s="151"/>
      <c r="L322" s="151"/>
      <c r="M322" s="151"/>
      <c r="N322" s="599"/>
      <c r="O322" s="599"/>
      <c r="P322" s="599"/>
      <c r="Q322" s="151"/>
      <c r="R322" s="599"/>
      <c r="S322" s="599"/>
      <c r="T322" s="599"/>
      <c r="U322" s="599"/>
      <c r="V322" s="599"/>
      <c r="W322" s="151"/>
      <c r="X322" s="151"/>
    </row>
    <row r="323" spans="1:24">
      <c r="A323" s="591"/>
      <c r="B323" s="600"/>
      <c r="C323" s="602"/>
      <c r="D323" s="601"/>
      <c r="E323" s="601"/>
      <c r="F323" s="601"/>
      <c r="G323" s="601"/>
      <c r="H323" s="601"/>
      <c r="I323" s="602"/>
      <c r="J323" s="602"/>
      <c r="K323" s="601"/>
      <c r="L323" s="601"/>
      <c r="M323" s="601"/>
      <c r="N323" s="602"/>
      <c r="O323" s="602"/>
      <c r="P323" s="602"/>
      <c r="Q323" s="601"/>
      <c r="R323" s="602"/>
      <c r="S323" s="602"/>
      <c r="T323" s="602"/>
      <c r="U323" s="602"/>
      <c r="V323" s="602"/>
      <c r="W323" s="606"/>
      <c r="X323" s="606"/>
    </row>
    <row r="324" spans="1:24">
      <c r="A324" s="591"/>
      <c r="B324" s="589"/>
      <c r="C324" s="596"/>
      <c r="D324" s="597"/>
      <c r="E324" s="597"/>
      <c r="F324" s="597"/>
      <c r="G324" s="597"/>
      <c r="H324" s="597"/>
      <c r="I324" s="596"/>
      <c r="J324" s="596"/>
      <c r="K324" s="597"/>
      <c r="L324" s="597"/>
      <c r="M324" s="597"/>
      <c r="N324" s="596"/>
      <c r="O324" s="596"/>
      <c r="P324" s="596"/>
      <c r="Q324" s="597"/>
      <c r="R324" s="596"/>
      <c r="S324" s="596"/>
      <c r="T324" s="596"/>
      <c r="U324" s="596"/>
      <c r="V324" s="596"/>
      <c r="W324" s="151"/>
      <c r="X324" s="151"/>
    </row>
    <row r="325" spans="1:24">
      <c r="A325" s="591"/>
      <c r="B325" s="598"/>
      <c r="C325" s="599"/>
      <c r="D325" s="151"/>
      <c r="E325" s="151"/>
      <c r="F325" s="151"/>
      <c r="G325" s="151"/>
      <c r="H325" s="151"/>
      <c r="I325" s="599"/>
      <c r="J325" s="599"/>
      <c r="K325" s="151"/>
      <c r="L325" s="151"/>
      <c r="M325" s="151"/>
      <c r="N325" s="599"/>
      <c r="O325" s="599"/>
      <c r="P325" s="599"/>
      <c r="Q325" s="151"/>
      <c r="R325" s="599"/>
      <c r="S325" s="599"/>
      <c r="T325" s="599"/>
      <c r="U325" s="599"/>
      <c r="V325" s="599"/>
      <c r="W325" s="151"/>
      <c r="X325" s="151"/>
    </row>
    <row r="326" spans="1:24">
      <c r="A326" s="591"/>
      <c r="B326" s="600"/>
      <c r="C326" s="602"/>
      <c r="D326" s="601"/>
      <c r="E326" s="601"/>
      <c r="F326" s="601"/>
      <c r="G326" s="601"/>
      <c r="H326" s="601"/>
      <c r="I326" s="602"/>
      <c r="J326" s="602"/>
      <c r="K326" s="601"/>
      <c r="L326" s="601"/>
      <c r="M326" s="601"/>
      <c r="N326" s="602"/>
      <c r="O326" s="602"/>
      <c r="P326" s="602"/>
      <c r="Q326" s="601"/>
      <c r="R326" s="602"/>
      <c r="S326" s="602"/>
      <c r="T326" s="602"/>
      <c r="U326" s="602"/>
      <c r="V326" s="602"/>
      <c r="W326" s="606"/>
      <c r="X326" s="606"/>
    </row>
    <row r="327" spans="1:24">
      <c r="A327" s="591"/>
      <c r="B327" s="589"/>
      <c r="C327" s="596"/>
      <c r="D327" s="597"/>
      <c r="E327" s="597"/>
      <c r="F327" s="597"/>
      <c r="G327" s="597"/>
      <c r="H327" s="597"/>
      <c r="I327" s="596"/>
      <c r="J327" s="596"/>
      <c r="K327" s="597"/>
      <c r="L327" s="597"/>
      <c r="M327" s="597"/>
      <c r="N327" s="596"/>
      <c r="O327" s="596"/>
      <c r="P327" s="596"/>
      <c r="Q327" s="597"/>
      <c r="R327" s="596"/>
      <c r="S327" s="596"/>
      <c r="T327" s="596"/>
      <c r="U327" s="596"/>
      <c r="V327" s="596"/>
      <c r="W327" s="151"/>
      <c r="X327" s="151"/>
    </row>
    <row r="328" spans="1:24">
      <c r="A328" s="591"/>
      <c r="B328" s="598"/>
      <c r="C328" s="599"/>
      <c r="D328" s="151"/>
      <c r="E328" s="151"/>
      <c r="F328" s="151"/>
      <c r="G328" s="151"/>
      <c r="H328" s="151"/>
      <c r="I328" s="599"/>
      <c r="J328" s="599"/>
      <c r="K328" s="151"/>
      <c r="L328" s="151"/>
      <c r="M328" s="151"/>
      <c r="N328" s="599"/>
      <c r="O328" s="599"/>
      <c r="P328" s="599"/>
      <c r="Q328" s="151"/>
      <c r="R328" s="599"/>
      <c r="S328" s="599"/>
      <c r="T328" s="599"/>
      <c r="U328" s="599"/>
      <c r="V328" s="599"/>
      <c r="W328" s="151"/>
      <c r="X328" s="151"/>
    </row>
    <row r="329" spans="1:24">
      <c r="A329" s="591"/>
      <c r="B329" s="600"/>
      <c r="C329" s="602"/>
      <c r="D329" s="601"/>
      <c r="E329" s="601"/>
      <c r="F329" s="601"/>
      <c r="G329" s="601"/>
      <c r="H329" s="601"/>
      <c r="I329" s="602"/>
      <c r="J329" s="602"/>
      <c r="K329" s="601"/>
      <c r="L329" s="601"/>
      <c r="M329" s="601"/>
      <c r="N329" s="602"/>
      <c r="O329" s="602"/>
      <c r="P329" s="602"/>
      <c r="Q329" s="601"/>
      <c r="R329" s="602"/>
      <c r="S329" s="602"/>
      <c r="T329" s="602"/>
      <c r="U329" s="602"/>
      <c r="V329" s="602"/>
      <c r="W329" s="606"/>
      <c r="X329" s="606"/>
    </row>
    <row r="330" spans="1:24">
      <c r="A330" s="591"/>
      <c r="B330" s="589"/>
      <c r="C330" s="596"/>
      <c r="D330" s="597"/>
      <c r="E330" s="597"/>
      <c r="F330" s="597"/>
      <c r="G330" s="597"/>
      <c r="H330" s="597"/>
      <c r="I330" s="596"/>
      <c r="J330" s="596"/>
      <c r="K330" s="597"/>
      <c r="L330" s="597"/>
      <c r="M330" s="597"/>
      <c r="N330" s="596"/>
      <c r="O330" s="596"/>
      <c r="P330" s="596"/>
      <c r="Q330" s="597"/>
      <c r="R330" s="596"/>
      <c r="S330" s="596"/>
      <c r="T330" s="596"/>
      <c r="U330" s="596"/>
      <c r="V330" s="596"/>
      <c r="W330" s="151"/>
      <c r="X330" s="151"/>
    </row>
    <row r="331" spans="1:24">
      <c r="A331" s="591"/>
      <c r="B331" s="598"/>
      <c r="C331" s="599"/>
      <c r="D331" s="151"/>
      <c r="E331" s="151"/>
      <c r="F331" s="151"/>
      <c r="G331" s="151"/>
      <c r="H331" s="151"/>
      <c r="I331" s="599"/>
      <c r="J331" s="599"/>
      <c r="K331" s="151"/>
      <c r="L331" s="151"/>
      <c r="M331" s="151"/>
      <c r="N331" s="599"/>
      <c r="O331" s="599"/>
      <c r="P331" s="599"/>
      <c r="Q331" s="151"/>
      <c r="R331" s="599"/>
      <c r="S331" s="599"/>
      <c r="T331" s="599"/>
      <c r="U331" s="599"/>
      <c r="V331" s="599"/>
      <c r="W331" s="151"/>
      <c r="X331" s="151"/>
    </row>
    <row r="332" spans="1:24">
      <c r="A332" s="591"/>
      <c r="B332" s="600"/>
      <c r="C332" s="602"/>
      <c r="D332" s="601"/>
      <c r="E332" s="601"/>
      <c r="F332" s="601"/>
      <c r="G332" s="601"/>
      <c r="H332" s="601"/>
      <c r="I332" s="602"/>
      <c r="J332" s="602"/>
      <c r="K332" s="601"/>
      <c r="L332" s="601"/>
      <c r="M332" s="601"/>
      <c r="N332" s="602"/>
      <c r="O332" s="602"/>
      <c r="P332" s="602"/>
      <c r="Q332" s="601"/>
      <c r="R332" s="602"/>
      <c r="S332" s="602"/>
      <c r="T332" s="602"/>
      <c r="U332" s="602"/>
      <c r="V332" s="602"/>
      <c r="W332" s="606"/>
      <c r="X332" s="606"/>
    </row>
    <row r="333" spans="1:24">
      <c r="A333" s="591"/>
      <c r="B333" s="589"/>
      <c r="C333" s="596"/>
      <c r="D333" s="597"/>
      <c r="E333" s="597"/>
      <c r="F333" s="597"/>
      <c r="G333" s="597"/>
      <c r="H333" s="597"/>
      <c r="I333" s="596"/>
      <c r="J333" s="596"/>
      <c r="K333" s="597"/>
      <c r="L333" s="597"/>
      <c r="M333" s="597"/>
      <c r="N333" s="596"/>
      <c r="O333" s="596"/>
      <c r="P333" s="596"/>
      <c r="Q333" s="597"/>
      <c r="R333" s="596"/>
      <c r="S333" s="596"/>
      <c r="T333" s="596"/>
      <c r="U333" s="596"/>
      <c r="V333" s="596"/>
      <c r="W333" s="151"/>
      <c r="X333" s="151"/>
    </row>
    <row r="334" spans="1:24">
      <c r="A334" s="591"/>
      <c r="B334" s="598"/>
      <c r="C334" s="599"/>
      <c r="D334" s="151"/>
      <c r="E334" s="151"/>
      <c r="F334" s="151"/>
      <c r="G334" s="151"/>
      <c r="H334" s="151"/>
      <c r="I334" s="599"/>
      <c r="J334" s="599"/>
      <c r="K334" s="151"/>
      <c r="L334" s="151"/>
      <c r="M334" s="151"/>
      <c r="N334" s="599"/>
      <c r="O334" s="599"/>
      <c r="P334" s="599"/>
      <c r="Q334" s="151"/>
      <c r="R334" s="599"/>
      <c r="S334" s="599"/>
      <c r="T334" s="599"/>
      <c r="U334" s="599"/>
      <c r="V334" s="599"/>
      <c r="W334" s="151"/>
      <c r="X334" s="151"/>
    </row>
    <row r="335" spans="1:24">
      <c r="A335" s="591"/>
      <c r="B335" s="600"/>
      <c r="C335" s="602"/>
      <c r="D335" s="601"/>
      <c r="E335" s="601"/>
      <c r="F335" s="601"/>
      <c r="G335" s="601"/>
      <c r="H335" s="601"/>
      <c r="I335" s="602"/>
      <c r="J335" s="602"/>
      <c r="K335" s="601"/>
      <c r="L335" s="601"/>
      <c r="M335" s="601"/>
      <c r="N335" s="602"/>
      <c r="O335" s="602"/>
      <c r="P335" s="602"/>
      <c r="Q335" s="601"/>
      <c r="R335" s="602"/>
      <c r="S335" s="602"/>
      <c r="T335" s="602"/>
      <c r="U335" s="602"/>
      <c r="V335" s="602"/>
      <c r="W335" s="606"/>
      <c r="X335" s="606"/>
    </row>
    <row r="336" spans="1:24">
      <c r="A336" s="591"/>
      <c r="B336" s="589"/>
      <c r="C336" s="596"/>
      <c r="D336" s="597"/>
      <c r="E336" s="597"/>
      <c r="F336" s="597"/>
      <c r="G336" s="597"/>
      <c r="H336" s="597"/>
      <c r="I336" s="596"/>
      <c r="J336" s="596"/>
      <c r="K336" s="597"/>
      <c r="L336" s="597"/>
      <c r="M336" s="597"/>
      <c r="N336" s="596"/>
      <c r="O336" s="596"/>
      <c r="P336" s="596"/>
      <c r="Q336" s="597"/>
      <c r="R336" s="596"/>
      <c r="S336" s="596"/>
      <c r="T336" s="596"/>
      <c r="U336" s="596"/>
      <c r="V336" s="596"/>
      <c r="W336" s="151"/>
      <c r="X336" s="151"/>
    </row>
    <row r="337" spans="1:24">
      <c r="A337" s="591"/>
      <c r="B337" s="598"/>
      <c r="C337" s="599"/>
      <c r="D337" s="151"/>
      <c r="E337" s="151"/>
      <c r="F337" s="151"/>
      <c r="G337" s="151"/>
      <c r="H337" s="151"/>
      <c r="I337" s="599"/>
      <c r="J337" s="599"/>
      <c r="K337" s="151"/>
      <c r="L337" s="151"/>
      <c r="M337" s="151"/>
      <c r="N337" s="599"/>
      <c r="O337" s="599"/>
      <c r="P337" s="599"/>
      <c r="Q337" s="151"/>
      <c r="R337" s="599"/>
      <c r="S337" s="599"/>
      <c r="T337" s="599"/>
      <c r="U337" s="599"/>
      <c r="V337" s="599"/>
      <c r="W337" s="151"/>
      <c r="X337" s="151"/>
    </row>
    <row r="338" spans="1:24">
      <c r="A338" s="591"/>
      <c r="B338" s="600"/>
      <c r="C338" s="602"/>
      <c r="D338" s="601"/>
      <c r="E338" s="601"/>
      <c r="F338" s="601"/>
      <c r="G338" s="601"/>
      <c r="H338" s="601"/>
      <c r="I338" s="602"/>
      <c r="J338" s="602"/>
      <c r="K338" s="601"/>
      <c r="L338" s="601"/>
      <c r="M338" s="601"/>
      <c r="N338" s="602"/>
      <c r="O338" s="602"/>
      <c r="P338" s="602"/>
      <c r="Q338" s="601"/>
      <c r="R338" s="602"/>
      <c r="S338" s="602"/>
      <c r="T338" s="602"/>
      <c r="U338" s="602"/>
      <c r="V338" s="602"/>
      <c r="W338" s="606"/>
      <c r="X338" s="606"/>
    </row>
    <row r="339" spans="1:24">
      <c r="A339" s="591"/>
      <c r="B339" s="589"/>
      <c r="C339" s="596"/>
      <c r="D339" s="597"/>
      <c r="E339" s="597"/>
      <c r="F339" s="597"/>
      <c r="G339" s="597"/>
      <c r="H339" s="597"/>
      <c r="I339" s="596"/>
      <c r="J339" s="596"/>
      <c r="K339" s="597"/>
      <c r="L339" s="597"/>
      <c r="M339" s="597"/>
      <c r="N339" s="596"/>
      <c r="O339" s="596"/>
      <c r="P339" s="596"/>
      <c r="Q339" s="597"/>
      <c r="R339" s="596"/>
      <c r="S339" s="596"/>
      <c r="T339" s="596"/>
      <c r="U339" s="596"/>
      <c r="V339" s="596"/>
      <c r="W339" s="151"/>
      <c r="X339" s="151"/>
    </row>
    <row r="340" spans="1:24">
      <c r="A340" s="591"/>
      <c r="B340" s="598"/>
      <c r="C340" s="599"/>
      <c r="D340" s="151"/>
      <c r="E340" s="151"/>
      <c r="F340" s="151"/>
      <c r="G340" s="151"/>
      <c r="H340" s="151"/>
      <c r="I340" s="599"/>
      <c r="J340" s="599"/>
      <c r="K340" s="151"/>
      <c r="L340" s="151"/>
      <c r="M340" s="151"/>
      <c r="N340" s="599"/>
      <c r="O340" s="599"/>
      <c r="P340" s="599"/>
      <c r="Q340" s="151"/>
      <c r="R340" s="599"/>
      <c r="S340" s="599"/>
      <c r="T340" s="599"/>
      <c r="U340" s="599"/>
      <c r="V340" s="599"/>
      <c r="W340" s="151"/>
      <c r="X340" s="151"/>
    </row>
    <row r="341" spans="1:24">
      <c r="A341" s="591"/>
      <c r="B341" s="600"/>
      <c r="C341" s="602"/>
      <c r="D341" s="601"/>
      <c r="E341" s="601"/>
      <c r="F341" s="601"/>
      <c r="G341" s="601"/>
      <c r="H341" s="601"/>
      <c r="I341" s="602"/>
      <c r="J341" s="602"/>
      <c r="K341" s="601"/>
      <c r="L341" s="601"/>
      <c r="M341" s="601"/>
      <c r="N341" s="602"/>
      <c r="O341" s="602"/>
      <c r="P341" s="602"/>
      <c r="Q341" s="601"/>
      <c r="R341" s="602"/>
      <c r="S341" s="602"/>
      <c r="T341" s="602"/>
      <c r="U341" s="602"/>
      <c r="V341" s="602"/>
      <c r="W341" s="606"/>
      <c r="X341" s="606"/>
    </row>
    <row r="342" spans="1:24">
      <c r="A342" s="595"/>
      <c r="B342" s="589"/>
      <c r="C342" s="596"/>
      <c r="D342" s="597"/>
      <c r="E342" s="597"/>
      <c r="F342" s="597"/>
      <c r="G342" s="597"/>
      <c r="H342" s="597"/>
      <c r="I342" s="596"/>
      <c r="J342" s="596"/>
      <c r="K342" s="597"/>
      <c r="L342" s="597"/>
      <c r="M342" s="597"/>
      <c r="N342" s="596"/>
      <c r="O342" s="596"/>
      <c r="P342" s="596"/>
      <c r="Q342" s="597"/>
      <c r="R342" s="596"/>
      <c r="S342" s="596"/>
      <c r="T342" s="596"/>
      <c r="U342" s="596"/>
      <c r="V342" s="596"/>
      <c r="W342" s="151"/>
      <c r="X342" s="151"/>
    </row>
    <row r="343" spans="1:24">
      <c r="A343" s="591"/>
      <c r="B343" s="598"/>
      <c r="C343" s="599"/>
      <c r="D343" s="151"/>
      <c r="E343" s="151"/>
      <c r="F343" s="151"/>
      <c r="G343" s="151"/>
      <c r="H343" s="151"/>
      <c r="I343" s="599"/>
      <c r="J343" s="599"/>
      <c r="K343" s="151"/>
      <c r="L343" s="151"/>
      <c r="M343" s="151"/>
      <c r="N343" s="599"/>
      <c r="O343" s="599"/>
      <c r="P343" s="599"/>
      <c r="Q343" s="151"/>
      <c r="R343" s="599"/>
      <c r="S343" s="599"/>
      <c r="T343" s="599"/>
      <c r="U343" s="599"/>
      <c r="V343" s="599"/>
      <c r="W343" s="151"/>
      <c r="X343" s="151"/>
    </row>
    <row r="344" spans="1:24">
      <c r="A344" s="591"/>
      <c r="B344" s="600"/>
      <c r="C344" s="602"/>
      <c r="D344" s="601"/>
      <c r="E344" s="601"/>
      <c r="F344" s="601"/>
      <c r="G344" s="601"/>
      <c r="H344" s="601"/>
      <c r="I344" s="602"/>
      <c r="J344" s="602"/>
      <c r="K344" s="601"/>
      <c r="L344" s="601"/>
      <c r="M344" s="601"/>
      <c r="N344" s="602"/>
      <c r="O344" s="602"/>
      <c r="P344" s="602"/>
      <c r="Q344" s="601"/>
      <c r="R344" s="602"/>
      <c r="S344" s="602"/>
      <c r="T344" s="602"/>
      <c r="U344" s="602"/>
      <c r="V344" s="602"/>
      <c r="W344" s="606"/>
      <c r="X344" s="606"/>
    </row>
    <row r="345" spans="1:24">
      <c r="A345" s="591"/>
      <c r="B345" s="589"/>
      <c r="C345" s="596"/>
      <c r="D345" s="597"/>
      <c r="E345" s="597"/>
      <c r="F345" s="597"/>
      <c r="G345" s="597"/>
      <c r="H345" s="597"/>
      <c r="I345" s="596"/>
      <c r="J345" s="596"/>
      <c r="K345" s="597"/>
      <c r="L345" s="597"/>
      <c r="M345" s="597"/>
      <c r="N345" s="596"/>
      <c r="O345" s="596"/>
      <c r="P345" s="596"/>
      <c r="Q345" s="597"/>
      <c r="R345" s="596"/>
      <c r="S345" s="596"/>
      <c r="T345" s="596"/>
      <c r="U345" s="596"/>
      <c r="V345" s="596"/>
      <c r="W345" s="151"/>
      <c r="X345" s="151"/>
    </row>
    <row r="346" spans="1:24">
      <c r="A346" s="591"/>
      <c r="B346" s="598"/>
      <c r="C346" s="599"/>
      <c r="D346" s="151"/>
      <c r="E346" s="151"/>
      <c r="F346" s="151"/>
      <c r="G346" s="151"/>
      <c r="H346" s="151"/>
      <c r="I346" s="599"/>
      <c r="J346" s="599"/>
      <c r="K346" s="151"/>
      <c r="L346" s="151"/>
      <c r="M346" s="151"/>
      <c r="N346" s="599"/>
      <c r="O346" s="599"/>
      <c r="P346" s="599"/>
      <c r="Q346" s="151"/>
      <c r="R346" s="599"/>
      <c r="S346" s="599"/>
      <c r="T346" s="599"/>
      <c r="U346" s="599"/>
      <c r="V346" s="599"/>
      <c r="W346" s="151"/>
      <c r="X346" s="151"/>
    </row>
    <row r="347" spans="1:24">
      <c r="A347" s="591"/>
      <c r="B347" s="600"/>
      <c r="C347" s="602"/>
      <c r="D347" s="601"/>
      <c r="E347" s="601"/>
      <c r="F347" s="601"/>
      <c r="G347" s="601"/>
      <c r="H347" s="601"/>
      <c r="I347" s="602"/>
      <c r="J347" s="602"/>
      <c r="K347" s="601"/>
      <c r="L347" s="601"/>
      <c r="M347" s="601"/>
      <c r="N347" s="602"/>
      <c r="O347" s="602"/>
      <c r="P347" s="602"/>
      <c r="Q347" s="601"/>
      <c r="R347" s="602"/>
      <c r="S347" s="602"/>
      <c r="T347" s="602"/>
      <c r="U347" s="602"/>
      <c r="V347" s="602"/>
      <c r="W347" s="606"/>
      <c r="X347" s="606"/>
    </row>
    <row r="348" spans="1:24">
      <c r="A348" s="591"/>
      <c r="B348" s="589"/>
      <c r="C348" s="596"/>
      <c r="D348" s="597"/>
      <c r="E348" s="597"/>
      <c r="F348" s="597"/>
      <c r="G348" s="597"/>
      <c r="H348" s="597"/>
      <c r="I348" s="596"/>
      <c r="J348" s="596"/>
      <c r="K348" s="597"/>
      <c r="L348" s="597"/>
      <c r="M348" s="597"/>
      <c r="N348" s="596"/>
      <c r="O348" s="596"/>
      <c r="P348" s="596"/>
      <c r="Q348" s="597"/>
      <c r="R348" s="596"/>
      <c r="S348" s="596"/>
      <c r="T348" s="596"/>
      <c r="U348" s="596"/>
      <c r="V348" s="596"/>
      <c r="W348" s="151"/>
      <c r="X348" s="151"/>
    </row>
    <row r="349" spans="1:24">
      <c r="A349" s="591"/>
      <c r="B349" s="598"/>
      <c r="C349" s="599"/>
      <c r="D349" s="151"/>
      <c r="E349" s="151"/>
      <c r="F349" s="151"/>
      <c r="G349" s="151"/>
      <c r="H349" s="151"/>
      <c r="I349" s="599"/>
      <c r="J349" s="599"/>
      <c r="K349" s="151"/>
      <c r="L349" s="151"/>
      <c r="M349" s="151"/>
      <c r="N349" s="599"/>
      <c r="O349" s="599"/>
      <c r="P349" s="599"/>
      <c r="Q349" s="151"/>
      <c r="R349" s="599"/>
      <c r="S349" s="599"/>
      <c r="T349" s="599"/>
      <c r="U349" s="599"/>
      <c r="V349" s="599"/>
      <c r="W349" s="151"/>
      <c r="X349" s="151"/>
    </row>
    <row r="350" spans="1:24">
      <c r="A350" s="591"/>
      <c r="B350" s="600"/>
      <c r="C350" s="602"/>
      <c r="D350" s="601"/>
      <c r="E350" s="601"/>
      <c r="F350" s="601"/>
      <c r="G350" s="601"/>
      <c r="H350" s="601"/>
      <c r="I350" s="602"/>
      <c r="J350" s="602"/>
      <c r="K350" s="601"/>
      <c r="L350" s="601"/>
      <c r="M350" s="601"/>
      <c r="N350" s="602"/>
      <c r="O350" s="602"/>
      <c r="P350" s="602"/>
      <c r="Q350" s="601"/>
      <c r="R350" s="602"/>
      <c r="S350" s="602"/>
      <c r="T350" s="602"/>
      <c r="U350" s="602"/>
      <c r="V350" s="602"/>
      <c r="W350" s="606"/>
      <c r="X350" s="606"/>
    </row>
    <row r="351" spans="1:24">
      <c r="A351" s="591"/>
      <c r="B351" s="589"/>
      <c r="C351" s="596"/>
      <c r="D351" s="597"/>
      <c r="E351" s="597"/>
      <c r="F351" s="597"/>
      <c r="G351" s="597"/>
      <c r="H351" s="597"/>
      <c r="I351" s="596"/>
      <c r="J351" s="596"/>
      <c r="K351" s="597"/>
      <c r="L351" s="597"/>
      <c r="M351" s="597"/>
      <c r="N351" s="596"/>
      <c r="O351" s="596"/>
      <c r="P351" s="596"/>
      <c r="Q351" s="597"/>
      <c r="R351" s="596"/>
      <c r="S351" s="596"/>
      <c r="T351" s="596"/>
      <c r="U351" s="596"/>
      <c r="V351" s="596"/>
      <c r="W351" s="151"/>
      <c r="X351" s="151"/>
    </row>
    <row r="352" spans="1:24">
      <c r="A352" s="591"/>
      <c r="B352" s="598"/>
      <c r="C352" s="599"/>
      <c r="D352" s="151"/>
      <c r="E352" s="151"/>
      <c r="F352" s="151"/>
      <c r="G352" s="151"/>
      <c r="H352" s="151"/>
      <c r="I352" s="599"/>
      <c r="J352" s="599"/>
      <c r="K352" s="151"/>
      <c r="L352" s="151"/>
      <c r="M352" s="151"/>
      <c r="N352" s="599"/>
      <c r="O352" s="599"/>
      <c r="P352" s="599"/>
      <c r="Q352" s="151"/>
      <c r="R352" s="599"/>
      <c r="S352" s="599"/>
      <c r="T352" s="599"/>
      <c r="U352" s="599"/>
      <c r="V352" s="599"/>
      <c r="W352" s="151"/>
      <c r="X352" s="151"/>
    </row>
    <row r="353" spans="1:24">
      <c r="A353" s="591"/>
      <c r="B353" s="600"/>
      <c r="C353" s="602"/>
      <c r="D353" s="601"/>
      <c r="E353" s="601"/>
      <c r="F353" s="601"/>
      <c r="G353" s="601"/>
      <c r="H353" s="601"/>
      <c r="I353" s="602"/>
      <c r="J353" s="602"/>
      <c r="K353" s="601"/>
      <c r="L353" s="601"/>
      <c r="M353" s="601"/>
      <c r="N353" s="602"/>
      <c r="O353" s="602"/>
      <c r="P353" s="602"/>
      <c r="Q353" s="601"/>
      <c r="R353" s="602"/>
      <c r="S353" s="602"/>
      <c r="T353" s="602"/>
      <c r="U353" s="602"/>
      <c r="V353" s="602"/>
      <c r="W353" s="606"/>
      <c r="X353" s="606"/>
    </row>
    <row r="354" spans="1:24">
      <c r="A354" s="591"/>
      <c r="B354" s="589"/>
      <c r="C354" s="596"/>
      <c r="D354" s="597"/>
      <c r="E354" s="597"/>
      <c r="F354" s="597"/>
      <c r="G354" s="597"/>
      <c r="H354" s="597"/>
      <c r="I354" s="596"/>
      <c r="J354" s="596"/>
      <c r="K354" s="597"/>
      <c r="L354" s="597"/>
      <c r="M354" s="597"/>
      <c r="N354" s="596"/>
      <c r="O354" s="596"/>
      <c r="P354" s="596"/>
      <c r="Q354" s="597"/>
      <c r="R354" s="596"/>
      <c r="S354" s="596"/>
      <c r="T354" s="596"/>
      <c r="U354" s="596"/>
      <c r="V354" s="596"/>
      <c r="W354" s="151"/>
      <c r="X354" s="151"/>
    </row>
    <row r="355" spans="1:24">
      <c r="A355" s="591"/>
      <c r="B355" s="598"/>
      <c r="C355" s="599"/>
      <c r="D355" s="151"/>
      <c r="E355" s="151"/>
      <c r="F355" s="151"/>
      <c r="G355" s="151"/>
      <c r="H355" s="151"/>
      <c r="I355" s="599"/>
      <c r="J355" s="599"/>
      <c r="K355" s="151"/>
      <c r="L355" s="151"/>
      <c r="M355" s="151"/>
      <c r="N355" s="599"/>
      <c r="O355" s="599"/>
      <c r="P355" s="599"/>
      <c r="Q355" s="151"/>
      <c r="R355" s="599"/>
      <c r="S355" s="599"/>
      <c r="T355" s="599"/>
      <c r="U355" s="599"/>
      <c r="V355" s="599"/>
      <c r="W355" s="151"/>
      <c r="X355" s="151"/>
    </row>
    <row r="356" spans="1:24">
      <c r="A356" s="591"/>
      <c r="B356" s="600"/>
      <c r="C356" s="602"/>
      <c r="D356" s="601"/>
      <c r="E356" s="601"/>
      <c r="F356" s="601"/>
      <c r="G356" s="601"/>
      <c r="H356" s="601"/>
      <c r="I356" s="602"/>
      <c r="J356" s="602"/>
      <c r="K356" s="601"/>
      <c r="L356" s="601"/>
      <c r="M356" s="601"/>
      <c r="N356" s="602"/>
      <c r="O356" s="602"/>
      <c r="P356" s="602"/>
      <c r="Q356" s="601"/>
      <c r="R356" s="602"/>
      <c r="S356" s="602"/>
      <c r="T356" s="602"/>
      <c r="U356" s="602"/>
      <c r="V356" s="602"/>
      <c r="W356" s="606"/>
      <c r="X356" s="606"/>
    </row>
    <row r="357" spans="1:24">
      <c r="A357" s="591"/>
      <c r="B357" s="589"/>
      <c r="C357" s="596"/>
      <c r="D357" s="597"/>
      <c r="E357" s="597"/>
      <c r="F357" s="597"/>
      <c r="G357" s="597"/>
      <c r="H357" s="597"/>
      <c r="I357" s="596"/>
      <c r="J357" s="596"/>
      <c r="K357" s="597"/>
      <c r="L357" s="597"/>
      <c r="M357" s="597"/>
      <c r="N357" s="596"/>
      <c r="O357" s="596"/>
      <c r="P357" s="596"/>
      <c r="Q357" s="597"/>
      <c r="R357" s="596"/>
      <c r="S357" s="596"/>
      <c r="T357" s="596"/>
      <c r="U357" s="596"/>
      <c r="V357" s="596"/>
      <c r="W357" s="151"/>
      <c r="X357" s="151"/>
    </row>
    <row r="358" spans="1:24">
      <c r="A358" s="591"/>
      <c r="B358" s="598"/>
      <c r="C358" s="599"/>
      <c r="D358" s="151"/>
      <c r="E358" s="151"/>
      <c r="F358" s="151"/>
      <c r="G358" s="151"/>
      <c r="H358" s="151"/>
      <c r="I358" s="599"/>
      <c r="J358" s="599"/>
      <c r="K358" s="151"/>
      <c r="L358" s="151"/>
      <c r="M358" s="151"/>
      <c r="N358" s="599"/>
      <c r="O358" s="599"/>
      <c r="P358" s="599"/>
      <c r="Q358" s="151"/>
      <c r="R358" s="599"/>
      <c r="S358" s="599"/>
      <c r="T358" s="599"/>
      <c r="U358" s="599"/>
      <c r="V358" s="599"/>
      <c r="W358" s="151"/>
      <c r="X358" s="151"/>
    </row>
    <row r="359" spans="1:24">
      <c r="A359" s="591"/>
      <c r="B359" s="600"/>
      <c r="C359" s="602"/>
      <c r="D359" s="601"/>
      <c r="E359" s="601"/>
      <c r="F359" s="601"/>
      <c r="G359" s="601"/>
      <c r="H359" s="601"/>
      <c r="I359" s="602"/>
      <c r="J359" s="602"/>
      <c r="K359" s="601"/>
      <c r="L359" s="601"/>
      <c r="M359" s="601"/>
      <c r="N359" s="602"/>
      <c r="O359" s="602"/>
      <c r="P359" s="602"/>
      <c r="Q359" s="601"/>
      <c r="R359" s="602"/>
      <c r="S359" s="602"/>
      <c r="T359" s="602"/>
      <c r="U359" s="602"/>
      <c r="V359" s="602"/>
      <c r="W359" s="606"/>
      <c r="X359" s="606"/>
    </row>
    <row r="360" spans="1:24">
      <c r="A360" s="591"/>
      <c r="B360" s="589"/>
      <c r="C360" s="596"/>
      <c r="D360" s="597"/>
      <c r="E360" s="597"/>
      <c r="F360" s="597"/>
      <c r="G360" s="597"/>
      <c r="H360" s="597"/>
      <c r="I360" s="596"/>
      <c r="J360" s="596"/>
      <c r="K360" s="597"/>
      <c r="L360" s="597"/>
      <c r="M360" s="597"/>
      <c r="N360" s="596"/>
      <c r="O360" s="596"/>
      <c r="P360" s="596"/>
      <c r="Q360" s="597"/>
      <c r="R360" s="596"/>
      <c r="S360" s="596"/>
      <c r="T360" s="596"/>
      <c r="U360" s="596"/>
      <c r="V360" s="596"/>
      <c r="W360" s="151"/>
      <c r="X360" s="151"/>
    </row>
    <row r="361" spans="1:24">
      <c r="A361" s="591"/>
      <c r="B361" s="598"/>
      <c r="C361" s="599"/>
      <c r="D361" s="151"/>
      <c r="E361" s="151"/>
      <c r="F361" s="151"/>
      <c r="G361" s="151"/>
      <c r="H361" s="151"/>
      <c r="I361" s="599"/>
      <c r="J361" s="599"/>
      <c r="K361" s="151"/>
      <c r="L361" s="151"/>
      <c r="M361" s="151"/>
      <c r="N361" s="599"/>
      <c r="O361" s="599"/>
      <c r="P361" s="599"/>
      <c r="Q361" s="151"/>
      <c r="R361" s="599"/>
      <c r="S361" s="599"/>
      <c r="T361" s="599"/>
      <c r="U361" s="599"/>
      <c r="V361" s="599"/>
      <c r="W361" s="151"/>
      <c r="X361" s="151"/>
    </row>
    <row r="362" spans="1:24">
      <c r="A362" s="591"/>
      <c r="B362" s="600"/>
      <c r="C362" s="602"/>
      <c r="D362" s="601"/>
      <c r="E362" s="601"/>
      <c r="F362" s="601"/>
      <c r="G362" s="601"/>
      <c r="H362" s="601"/>
      <c r="I362" s="602"/>
      <c r="J362" s="602"/>
      <c r="K362" s="601"/>
      <c r="L362" s="601"/>
      <c r="M362" s="601"/>
      <c r="N362" s="602"/>
      <c r="O362" s="602"/>
      <c r="P362" s="602"/>
      <c r="Q362" s="601"/>
      <c r="R362" s="602"/>
      <c r="S362" s="602"/>
      <c r="T362" s="602"/>
      <c r="U362" s="602"/>
      <c r="V362" s="602"/>
      <c r="W362" s="606"/>
      <c r="X362" s="606"/>
    </row>
    <row r="363" spans="1:24">
      <c r="A363" s="58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9">
    <tabColor rgb="FFFFFF00"/>
  </sheetPr>
  <dimension ref="A1:V124"/>
  <sheetViews>
    <sheetView workbookViewId="0">
      <selection sqref="A1:XFD1048576"/>
    </sheetView>
  </sheetViews>
  <sheetFormatPr defaultRowHeight="15.75"/>
  <cols>
    <col min="1" max="1" width="7.125" style="583" customWidth="1"/>
    <col min="2" max="2" width="17.25" style="78" customWidth="1"/>
    <col min="3" max="8" width="11" style="78" customWidth="1"/>
    <col min="9" max="9" width="7.75" style="78" customWidth="1"/>
    <col min="10" max="13" width="7.625" style="78" customWidth="1"/>
    <col min="14" max="14" width="7.75" style="78" customWidth="1"/>
    <col min="15" max="17" width="9.125" style="78" customWidth="1"/>
    <col min="18" max="18" width="7.75" style="78" customWidth="1"/>
    <col min="19" max="19" width="6.875" style="78" customWidth="1"/>
    <col min="20" max="20" width="7.75" style="78" customWidth="1"/>
    <col min="21" max="21" width="5.625" style="78" customWidth="1"/>
    <col min="22" max="22" width="7.75" style="78" customWidth="1"/>
    <col min="23" max="23" width="9.875" bestFit="1" customWidth="1"/>
  </cols>
  <sheetData>
    <row r="1" spans="1:22">
      <c r="A1" s="570"/>
    </row>
    <row r="3" spans="1:22">
      <c r="A3" s="571"/>
      <c r="B3" s="572"/>
      <c r="C3" s="577"/>
      <c r="D3" s="573"/>
      <c r="E3" s="573"/>
      <c r="F3" s="573"/>
      <c r="G3" s="573"/>
      <c r="H3" s="573"/>
      <c r="I3" s="573"/>
      <c r="J3" s="573"/>
      <c r="K3" s="573"/>
      <c r="L3" s="573"/>
      <c r="M3" s="573"/>
      <c r="N3" s="573"/>
      <c r="O3" s="573"/>
      <c r="P3" s="573"/>
      <c r="Q3" s="573"/>
      <c r="R3" s="573"/>
      <c r="S3" s="573"/>
      <c r="T3" s="573"/>
      <c r="U3" s="574"/>
      <c r="V3" s="573"/>
    </row>
    <row r="4" spans="1:22">
      <c r="A4" s="575"/>
      <c r="B4" s="576"/>
      <c r="C4" s="577"/>
      <c r="D4" s="573"/>
      <c r="E4" s="573"/>
      <c r="F4" s="573"/>
      <c r="G4" s="573"/>
      <c r="H4" s="573"/>
      <c r="I4" s="577"/>
      <c r="J4" s="577"/>
      <c r="K4" s="573"/>
      <c r="L4" s="573"/>
      <c r="M4" s="573"/>
      <c r="N4" s="577"/>
      <c r="O4" s="577"/>
      <c r="P4" s="573"/>
      <c r="Q4" s="573"/>
      <c r="R4" s="577"/>
      <c r="S4" s="577"/>
      <c r="T4" s="577"/>
      <c r="U4" s="577"/>
      <c r="V4" s="577"/>
    </row>
    <row r="5" spans="1:22">
      <c r="A5" s="571"/>
      <c r="B5" s="577"/>
      <c r="C5" s="577"/>
      <c r="D5" s="574"/>
      <c r="E5" s="574"/>
      <c r="F5" s="574"/>
      <c r="G5" s="574"/>
      <c r="H5" s="574"/>
      <c r="I5" s="578"/>
      <c r="J5" s="577"/>
      <c r="K5" s="574"/>
      <c r="L5" s="574"/>
      <c r="M5" s="574"/>
      <c r="N5" s="578"/>
      <c r="O5" s="577"/>
      <c r="P5" s="574"/>
      <c r="Q5" s="574"/>
      <c r="R5" s="578"/>
      <c r="S5" s="577"/>
      <c r="T5" s="578"/>
      <c r="U5" s="577"/>
      <c r="V5" s="578"/>
    </row>
    <row r="6" spans="1:22">
      <c r="A6" s="571"/>
      <c r="B6" s="577"/>
      <c r="C6" s="577"/>
      <c r="D6" s="574"/>
      <c r="E6" s="574"/>
      <c r="F6" s="574"/>
      <c r="G6" s="574"/>
      <c r="H6" s="574"/>
      <c r="I6" s="577"/>
      <c r="J6" s="577"/>
      <c r="K6" s="574"/>
      <c r="L6" s="574"/>
      <c r="M6" s="574"/>
      <c r="N6" s="577"/>
      <c r="O6" s="577"/>
      <c r="P6" s="574"/>
      <c r="Q6" s="574"/>
      <c r="R6" s="577"/>
      <c r="S6" s="577"/>
      <c r="T6" s="577"/>
      <c r="U6" s="577"/>
      <c r="V6" s="577"/>
    </row>
    <row r="7" spans="1:22">
      <c r="A7" s="575"/>
      <c r="B7" s="579"/>
      <c r="C7" s="579"/>
      <c r="I7" s="579"/>
      <c r="J7" s="579"/>
      <c r="N7" s="579"/>
      <c r="O7" s="579"/>
      <c r="R7" s="579"/>
      <c r="S7" s="579"/>
      <c r="T7" s="579"/>
      <c r="U7" s="579"/>
      <c r="V7" s="579"/>
    </row>
    <row r="8" spans="1:22">
      <c r="A8" s="575"/>
      <c r="B8" s="579"/>
      <c r="C8" s="579"/>
      <c r="I8" s="579"/>
      <c r="J8" s="579"/>
      <c r="N8" s="579"/>
      <c r="O8" s="579"/>
      <c r="R8" s="579"/>
      <c r="S8" s="579"/>
      <c r="T8" s="579"/>
      <c r="U8" s="579"/>
      <c r="V8" s="579"/>
    </row>
    <row r="9" spans="1:22">
      <c r="A9" s="575"/>
      <c r="B9" s="579"/>
      <c r="C9" s="579"/>
      <c r="I9" s="579"/>
      <c r="J9" s="579"/>
      <c r="N9" s="579"/>
      <c r="O9" s="579"/>
      <c r="R9" s="579"/>
      <c r="S9" s="579"/>
      <c r="T9" s="579"/>
      <c r="U9" s="579"/>
      <c r="V9" s="579"/>
    </row>
    <row r="10" spans="1:22">
      <c r="A10" s="575"/>
      <c r="B10" s="579"/>
      <c r="C10" s="579"/>
      <c r="I10" s="579"/>
      <c r="J10" s="579"/>
      <c r="N10" s="579"/>
      <c r="O10" s="579"/>
      <c r="R10" s="579"/>
      <c r="S10" s="579"/>
      <c r="T10" s="579"/>
      <c r="U10" s="579"/>
      <c r="V10" s="579"/>
    </row>
    <row r="11" spans="1:22">
      <c r="A11" s="575"/>
      <c r="B11" s="579"/>
      <c r="C11" s="579"/>
      <c r="I11" s="579"/>
      <c r="J11" s="579"/>
      <c r="N11" s="579"/>
      <c r="O11" s="579"/>
      <c r="R11" s="579"/>
      <c r="S11" s="579"/>
      <c r="T11" s="579"/>
      <c r="U11" s="579"/>
      <c r="V11" s="579"/>
    </row>
    <row r="12" spans="1:22">
      <c r="A12" s="575"/>
      <c r="B12" s="579"/>
      <c r="C12" s="579"/>
      <c r="I12" s="579"/>
      <c r="J12" s="579"/>
      <c r="N12" s="579"/>
      <c r="O12" s="579"/>
      <c r="R12" s="579"/>
      <c r="S12" s="579"/>
      <c r="T12" s="579"/>
      <c r="U12" s="579"/>
      <c r="V12" s="579"/>
    </row>
    <row r="13" spans="1:22">
      <c r="A13" s="571"/>
      <c r="B13" s="577"/>
      <c r="C13" s="577"/>
      <c r="D13" s="574"/>
      <c r="E13" s="574"/>
      <c r="F13" s="574"/>
      <c r="G13" s="574"/>
      <c r="H13" s="574"/>
      <c r="I13" s="577"/>
      <c r="J13" s="577"/>
      <c r="K13" s="574"/>
      <c r="L13" s="574"/>
      <c r="M13" s="574"/>
      <c r="N13" s="577"/>
      <c r="O13" s="577"/>
      <c r="P13" s="574"/>
      <c r="Q13" s="574"/>
      <c r="R13" s="577"/>
      <c r="S13" s="577"/>
      <c r="T13" s="577"/>
      <c r="U13" s="577"/>
      <c r="V13" s="577"/>
    </row>
    <row r="14" spans="1:22">
      <c r="A14" s="575"/>
      <c r="B14" s="579"/>
      <c r="C14" s="579"/>
      <c r="I14" s="579"/>
      <c r="J14" s="579"/>
      <c r="N14" s="579"/>
      <c r="O14" s="579"/>
      <c r="R14" s="579"/>
      <c r="S14" s="579"/>
      <c r="T14" s="579"/>
      <c r="U14" s="579"/>
      <c r="V14" s="579"/>
    </row>
    <row r="15" spans="1:22">
      <c r="A15" s="575"/>
      <c r="B15" s="579"/>
      <c r="C15" s="579"/>
      <c r="I15" s="579"/>
      <c r="J15" s="579"/>
      <c r="N15" s="579"/>
      <c r="O15" s="579"/>
      <c r="R15" s="579"/>
      <c r="S15" s="579"/>
      <c r="T15" s="579"/>
      <c r="U15" s="579"/>
      <c r="V15" s="579"/>
    </row>
    <row r="16" spans="1:22">
      <c r="A16" s="575"/>
      <c r="B16" s="579"/>
      <c r="C16" s="579"/>
      <c r="I16" s="579"/>
      <c r="J16" s="579"/>
      <c r="N16" s="579"/>
      <c r="O16" s="579"/>
      <c r="R16" s="579"/>
      <c r="S16" s="579"/>
      <c r="T16" s="579"/>
      <c r="U16" s="579"/>
      <c r="V16" s="579"/>
    </row>
    <row r="17" spans="1:22">
      <c r="A17" s="575"/>
      <c r="B17" s="579"/>
      <c r="C17" s="579"/>
      <c r="I17" s="579"/>
      <c r="J17" s="579"/>
      <c r="N17" s="579"/>
      <c r="O17" s="579"/>
      <c r="R17" s="579"/>
      <c r="S17" s="579"/>
      <c r="T17" s="579"/>
      <c r="U17" s="579"/>
      <c r="V17" s="579"/>
    </row>
    <row r="18" spans="1:22">
      <c r="A18" s="575"/>
      <c r="B18" s="579"/>
      <c r="C18" s="579"/>
      <c r="I18" s="579"/>
      <c r="J18" s="579"/>
      <c r="N18" s="579"/>
      <c r="O18" s="579"/>
      <c r="R18" s="579"/>
      <c r="S18" s="579"/>
      <c r="T18" s="579"/>
      <c r="U18" s="579"/>
      <c r="V18" s="579"/>
    </row>
    <row r="19" spans="1:22">
      <c r="A19" s="575"/>
      <c r="B19" s="579"/>
      <c r="C19" s="579"/>
      <c r="I19" s="579"/>
      <c r="J19" s="579"/>
      <c r="N19" s="579"/>
      <c r="O19" s="579"/>
      <c r="R19" s="579"/>
      <c r="S19" s="579"/>
      <c r="T19" s="579"/>
      <c r="U19" s="579"/>
      <c r="V19" s="579"/>
    </row>
    <row r="20" spans="1:22">
      <c r="A20" s="571"/>
      <c r="B20" s="577"/>
      <c r="C20" s="577"/>
      <c r="D20" s="574"/>
      <c r="E20" s="574"/>
      <c r="F20" s="574"/>
      <c r="G20" s="574"/>
      <c r="H20" s="574"/>
      <c r="I20" s="577"/>
      <c r="J20" s="577"/>
      <c r="K20" s="574"/>
      <c r="L20" s="574"/>
      <c r="M20" s="574"/>
      <c r="N20" s="577"/>
      <c r="O20" s="577"/>
      <c r="P20" s="574"/>
      <c r="Q20" s="574"/>
      <c r="R20" s="577"/>
      <c r="S20" s="577"/>
      <c r="T20" s="577"/>
      <c r="U20" s="577"/>
      <c r="V20" s="577"/>
    </row>
    <row r="21" spans="1:22">
      <c r="A21" s="575"/>
      <c r="B21" s="579"/>
      <c r="C21" s="579"/>
      <c r="I21" s="579"/>
      <c r="J21" s="579"/>
      <c r="N21" s="579"/>
      <c r="O21" s="579"/>
      <c r="R21" s="579"/>
      <c r="S21" s="579"/>
      <c r="T21" s="579"/>
      <c r="U21" s="579"/>
      <c r="V21" s="579"/>
    </row>
    <row r="22" spans="1:22">
      <c r="A22" s="575"/>
      <c r="B22" s="579"/>
      <c r="C22" s="579"/>
      <c r="I22" s="579"/>
      <c r="J22" s="579"/>
      <c r="N22" s="579"/>
      <c r="O22" s="579"/>
      <c r="R22" s="579"/>
      <c r="S22" s="579"/>
      <c r="T22" s="579"/>
      <c r="U22" s="579"/>
      <c r="V22" s="579"/>
    </row>
    <row r="23" spans="1:22">
      <c r="A23" s="575"/>
      <c r="B23" s="579"/>
      <c r="C23" s="579"/>
      <c r="I23" s="579"/>
      <c r="J23" s="579"/>
      <c r="N23" s="579"/>
      <c r="O23" s="579"/>
      <c r="R23" s="579"/>
      <c r="S23" s="579"/>
      <c r="T23" s="579"/>
      <c r="U23" s="579"/>
      <c r="V23" s="579"/>
    </row>
    <row r="24" spans="1:22">
      <c r="A24" s="575"/>
      <c r="B24" s="579"/>
      <c r="C24" s="579"/>
      <c r="I24" s="579"/>
      <c r="J24" s="579"/>
      <c r="N24" s="579"/>
      <c r="O24" s="579"/>
      <c r="R24" s="579"/>
      <c r="S24" s="579"/>
      <c r="T24" s="579"/>
      <c r="U24" s="579"/>
      <c r="V24" s="579"/>
    </row>
    <row r="25" spans="1:22">
      <c r="A25" s="575"/>
      <c r="B25" s="579"/>
      <c r="C25" s="579"/>
      <c r="I25" s="579"/>
      <c r="J25" s="579"/>
      <c r="N25" s="579"/>
      <c r="O25" s="579"/>
      <c r="R25" s="579"/>
      <c r="S25" s="579"/>
      <c r="T25" s="579"/>
      <c r="U25" s="579"/>
      <c r="V25" s="579"/>
    </row>
    <row r="26" spans="1:22">
      <c r="A26" s="575"/>
      <c r="B26" s="579"/>
      <c r="C26" s="579"/>
      <c r="I26" s="579"/>
      <c r="J26" s="579"/>
      <c r="N26" s="579"/>
      <c r="O26" s="579"/>
      <c r="R26" s="579"/>
      <c r="S26" s="579"/>
      <c r="T26" s="579"/>
      <c r="U26" s="579"/>
      <c r="V26" s="579"/>
    </row>
    <row r="27" spans="1:22">
      <c r="A27" s="571"/>
      <c r="B27" s="577"/>
      <c r="C27" s="577"/>
      <c r="D27" s="574"/>
      <c r="E27" s="574"/>
      <c r="F27" s="574"/>
      <c r="G27" s="574"/>
      <c r="H27" s="574"/>
      <c r="I27" s="577"/>
      <c r="J27" s="577"/>
      <c r="K27" s="574"/>
      <c r="L27" s="574"/>
      <c r="M27" s="574"/>
      <c r="N27" s="577"/>
      <c r="O27" s="577"/>
      <c r="P27" s="574"/>
      <c r="Q27" s="574"/>
      <c r="R27" s="577"/>
      <c r="S27" s="577"/>
      <c r="T27" s="577"/>
      <c r="U27" s="577"/>
      <c r="V27" s="577"/>
    </row>
    <row r="28" spans="1:22">
      <c r="A28" s="575"/>
      <c r="B28" s="579"/>
      <c r="C28" s="579"/>
      <c r="I28" s="579"/>
      <c r="J28" s="579"/>
      <c r="N28" s="579"/>
      <c r="O28" s="579"/>
      <c r="R28" s="579"/>
      <c r="S28" s="579"/>
      <c r="T28" s="579"/>
      <c r="U28" s="579"/>
      <c r="V28" s="579"/>
    </row>
    <row r="29" spans="1:22">
      <c r="A29" s="575"/>
      <c r="B29" s="579"/>
      <c r="C29" s="579"/>
      <c r="I29" s="579"/>
      <c r="J29" s="579"/>
      <c r="N29" s="579"/>
      <c r="O29" s="579"/>
      <c r="R29" s="579"/>
      <c r="S29" s="579"/>
      <c r="T29" s="579"/>
      <c r="U29" s="579"/>
      <c r="V29" s="579"/>
    </row>
    <row r="30" spans="1:22">
      <c r="A30" s="575"/>
      <c r="B30" s="579"/>
      <c r="C30" s="579"/>
      <c r="I30" s="579"/>
      <c r="J30" s="579"/>
      <c r="N30" s="579"/>
      <c r="O30" s="579"/>
      <c r="R30" s="579"/>
      <c r="S30" s="579"/>
      <c r="T30" s="579"/>
      <c r="U30" s="579"/>
      <c r="V30" s="579"/>
    </row>
    <row r="31" spans="1:22">
      <c r="A31" s="575"/>
      <c r="B31" s="579"/>
      <c r="C31" s="579"/>
      <c r="I31" s="579"/>
      <c r="J31" s="579"/>
      <c r="N31" s="579"/>
      <c r="O31" s="579"/>
      <c r="R31" s="579"/>
      <c r="S31" s="579"/>
      <c r="T31" s="579"/>
      <c r="U31" s="579"/>
      <c r="V31" s="579"/>
    </row>
    <row r="32" spans="1:22">
      <c r="A32" s="575"/>
      <c r="B32" s="579"/>
      <c r="C32" s="579"/>
      <c r="I32" s="579"/>
      <c r="J32" s="579"/>
      <c r="N32" s="579"/>
      <c r="O32" s="579"/>
      <c r="R32" s="579"/>
      <c r="S32" s="579"/>
      <c r="T32" s="579"/>
      <c r="U32" s="579"/>
      <c r="V32" s="579"/>
    </row>
    <row r="33" spans="1:22">
      <c r="A33" s="575"/>
      <c r="B33" s="579"/>
      <c r="C33" s="579"/>
      <c r="I33" s="579"/>
      <c r="J33" s="579"/>
      <c r="N33" s="579"/>
      <c r="O33" s="579"/>
      <c r="R33" s="579"/>
      <c r="S33" s="579"/>
      <c r="T33" s="579"/>
      <c r="U33" s="579"/>
      <c r="V33" s="579"/>
    </row>
    <row r="34" spans="1:22">
      <c r="A34" s="571"/>
      <c r="B34" s="577"/>
      <c r="C34" s="577"/>
      <c r="D34" s="574"/>
      <c r="E34" s="574"/>
      <c r="F34" s="574"/>
      <c r="G34" s="574"/>
      <c r="H34" s="574"/>
      <c r="I34" s="577"/>
      <c r="J34" s="577"/>
      <c r="K34" s="574"/>
      <c r="L34" s="574"/>
      <c r="M34" s="574"/>
      <c r="N34" s="577"/>
      <c r="O34" s="577"/>
      <c r="P34" s="574"/>
      <c r="Q34" s="574"/>
      <c r="R34" s="577"/>
      <c r="S34" s="577"/>
      <c r="T34" s="577"/>
      <c r="U34" s="577"/>
      <c r="V34" s="577"/>
    </row>
    <row r="35" spans="1:22">
      <c r="A35" s="575"/>
      <c r="B35" s="579"/>
      <c r="C35" s="579"/>
      <c r="I35" s="579"/>
      <c r="J35" s="579"/>
      <c r="N35" s="579"/>
      <c r="O35" s="579"/>
      <c r="R35" s="579"/>
      <c r="S35" s="579"/>
      <c r="T35" s="579"/>
      <c r="U35" s="579"/>
      <c r="V35" s="579"/>
    </row>
    <row r="36" spans="1:22">
      <c r="A36" s="575"/>
      <c r="B36" s="579"/>
      <c r="C36" s="579"/>
      <c r="I36" s="579"/>
      <c r="J36" s="579"/>
      <c r="N36" s="579"/>
      <c r="O36" s="579"/>
      <c r="R36" s="579"/>
      <c r="S36" s="579"/>
      <c r="T36" s="579"/>
      <c r="U36" s="579"/>
      <c r="V36" s="579"/>
    </row>
    <row r="37" spans="1:22">
      <c r="A37" s="575"/>
      <c r="B37" s="579"/>
      <c r="C37" s="579"/>
      <c r="I37" s="579"/>
      <c r="J37" s="579"/>
      <c r="N37" s="579"/>
      <c r="O37" s="579"/>
      <c r="R37" s="579"/>
      <c r="S37" s="579"/>
      <c r="T37" s="579"/>
      <c r="U37" s="579"/>
      <c r="V37" s="579"/>
    </row>
    <row r="38" spans="1:22">
      <c r="A38" s="575"/>
      <c r="B38" s="579"/>
      <c r="C38" s="579"/>
      <c r="I38" s="579"/>
      <c r="J38" s="579"/>
      <c r="N38" s="579"/>
      <c r="O38" s="579"/>
      <c r="R38" s="579"/>
      <c r="S38" s="579"/>
      <c r="T38" s="579"/>
      <c r="U38" s="579"/>
      <c r="V38" s="579"/>
    </row>
    <row r="39" spans="1:22">
      <c r="A39" s="575"/>
      <c r="B39" s="579"/>
      <c r="C39" s="579"/>
      <c r="I39" s="579"/>
      <c r="J39" s="579"/>
      <c r="N39" s="579"/>
      <c r="O39" s="579"/>
      <c r="R39" s="579"/>
      <c r="S39" s="579"/>
      <c r="T39" s="579"/>
      <c r="U39" s="579"/>
      <c r="V39" s="579"/>
    </row>
    <row r="40" spans="1:22">
      <c r="A40" s="575"/>
      <c r="B40" s="579"/>
      <c r="C40" s="579"/>
      <c r="I40" s="579"/>
      <c r="J40" s="579"/>
      <c r="N40" s="579"/>
      <c r="O40" s="579"/>
      <c r="R40" s="579"/>
      <c r="S40" s="579"/>
      <c r="T40" s="579"/>
      <c r="U40" s="579"/>
      <c r="V40" s="579"/>
    </row>
    <row r="41" spans="1:22">
      <c r="A41" s="571"/>
      <c r="B41" s="577"/>
      <c r="C41" s="577"/>
      <c r="D41" s="574"/>
      <c r="E41" s="574"/>
      <c r="F41" s="574"/>
      <c r="G41" s="574"/>
      <c r="H41" s="574"/>
      <c r="I41" s="577"/>
      <c r="J41" s="577"/>
      <c r="K41" s="574"/>
      <c r="L41" s="574"/>
      <c r="M41" s="574"/>
      <c r="N41" s="577"/>
      <c r="O41" s="577"/>
      <c r="P41" s="574"/>
      <c r="Q41" s="574"/>
      <c r="R41" s="577"/>
      <c r="S41" s="577"/>
      <c r="T41" s="577"/>
      <c r="U41" s="577"/>
      <c r="V41" s="577"/>
    </row>
    <row r="42" spans="1:22">
      <c r="A42" s="575"/>
      <c r="B42" s="579"/>
      <c r="C42" s="579"/>
      <c r="I42" s="579"/>
      <c r="J42" s="579"/>
      <c r="N42" s="579"/>
      <c r="O42" s="579"/>
      <c r="R42" s="579"/>
      <c r="S42" s="579"/>
      <c r="T42" s="579"/>
      <c r="U42" s="579"/>
      <c r="V42" s="579"/>
    </row>
    <row r="43" spans="1:22">
      <c r="A43" s="575"/>
      <c r="B43" s="579"/>
      <c r="C43" s="579"/>
      <c r="I43" s="579"/>
      <c r="J43" s="579"/>
      <c r="N43" s="579"/>
      <c r="O43" s="579"/>
      <c r="R43" s="579"/>
      <c r="S43" s="579"/>
      <c r="T43" s="579"/>
      <c r="U43" s="579"/>
      <c r="V43" s="579"/>
    </row>
    <row r="44" spans="1:22">
      <c r="A44" s="575"/>
      <c r="B44" s="579"/>
      <c r="C44" s="579"/>
      <c r="I44" s="579"/>
      <c r="J44" s="579"/>
      <c r="N44" s="579"/>
      <c r="O44" s="579"/>
      <c r="R44" s="579"/>
      <c r="S44" s="579"/>
      <c r="T44" s="579"/>
      <c r="U44" s="579"/>
      <c r="V44" s="579"/>
    </row>
    <row r="45" spans="1:22">
      <c r="A45" s="575"/>
      <c r="B45" s="579"/>
      <c r="C45" s="579"/>
      <c r="I45" s="579"/>
      <c r="J45" s="579"/>
      <c r="N45" s="579"/>
      <c r="O45" s="579"/>
      <c r="R45" s="579"/>
      <c r="S45" s="579"/>
      <c r="T45" s="579"/>
      <c r="U45" s="579"/>
      <c r="V45" s="579"/>
    </row>
    <row r="46" spans="1:22">
      <c r="A46" s="575"/>
      <c r="B46" s="579"/>
      <c r="C46" s="579"/>
      <c r="I46" s="579"/>
      <c r="J46" s="579"/>
      <c r="N46" s="579"/>
      <c r="O46" s="579"/>
      <c r="R46" s="579"/>
      <c r="S46" s="579"/>
      <c r="T46" s="579"/>
      <c r="U46" s="579"/>
      <c r="V46" s="579"/>
    </row>
    <row r="47" spans="1:22">
      <c r="A47" s="575"/>
      <c r="B47" s="579"/>
      <c r="C47" s="579"/>
      <c r="I47" s="579"/>
      <c r="J47" s="579"/>
      <c r="N47" s="579"/>
      <c r="O47" s="579"/>
      <c r="R47" s="579"/>
      <c r="S47" s="579"/>
      <c r="T47" s="579"/>
      <c r="U47" s="579"/>
      <c r="V47" s="579"/>
    </row>
    <row r="48" spans="1:22">
      <c r="A48" s="571"/>
      <c r="B48" s="577"/>
      <c r="C48" s="577"/>
      <c r="D48" s="574"/>
      <c r="E48" s="574"/>
      <c r="F48" s="574"/>
      <c r="G48" s="574"/>
      <c r="H48" s="574"/>
      <c r="I48" s="577"/>
      <c r="J48" s="577"/>
      <c r="K48" s="574"/>
      <c r="L48" s="574"/>
      <c r="M48" s="574"/>
      <c r="N48" s="577"/>
      <c r="O48" s="577"/>
      <c r="P48" s="574"/>
      <c r="Q48" s="574"/>
      <c r="R48" s="577"/>
      <c r="S48" s="577"/>
      <c r="T48" s="577"/>
      <c r="U48" s="577"/>
      <c r="V48" s="577"/>
    </row>
    <row r="49" spans="1:22">
      <c r="A49" s="575"/>
      <c r="B49" s="579"/>
      <c r="C49" s="579"/>
      <c r="I49" s="579"/>
      <c r="J49" s="579"/>
      <c r="N49" s="579"/>
      <c r="O49" s="579"/>
      <c r="R49" s="579"/>
      <c r="S49" s="579"/>
      <c r="T49" s="579"/>
      <c r="U49" s="579"/>
      <c r="V49" s="579"/>
    </row>
    <row r="50" spans="1:22">
      <c r="A50" s="575"/>
      <c r="B50" s="579"/>
      <c r="C50" s="579"/>
      <c r="I50" s="579"/>
      <c r="J50" s="579"/>
      <c r="N50" s="579"/>
      <c r="O50" s="579"/>
      <c r="R50" s="579"/>
      <c r="S50" s="579"/>
      <c r="T50" s="579"/>
      <c r="U50" s="579"/>
      <c r="V50" s="579"/>
    </row>
    <row r="51" spans="1:22">
      <c r="A51" s="575"/>
      <c r="B51" s="579"/>
      <c r="C51" s="579"/>
      <c r="I51" s="579"/>
      <c r="J51" s="579"/>
      <c r="N51" s="579"/>
      <c r="O51" s="579"/>
      <c r="R51" s="579"/>
      <c r="S51" s="579"/>
      <c r="T51" s="579"/>
      <c r="U51" s="579"/>
      <c r="V51" s="579"/>
    </row>
    <row r="52" spans="1:22">
      <c r="A52" s="575"/>
      <c r="B52" s="579"/>
      <c r="C52" s="579"/>
      <c r="I52" s="579"/>
      <c r="J52" s="579"/>
      <c r="N52" s="579"/>
      <c r="O52" s="579"/>
      <c r="R52" s="579"/>
      <c r="S52" s="579"/>
      <c r="T52" s="579"/>
      <c r="U52" s="579"/>
      <c r="V52" s="579"/>
    </row>
    <row r="53" spans="1:22">
      <c r="A53" s="575"/>
      <c r="B53" s="579"/>
      <c r="C53" s="579"/>
      <c r="I53" s="579"/>
      <c r="J53" s="579"/>
      <c r="N53" s="579"/>
      <c r="O53" s="579"/>
      <c r="R53" s="579"/>
      <c r="S53" s="579"/>
      <c r="T53" s="579"/>
      <c r="U53" s="579"/>
      <c r="V53" s="579"/>
    </row>
    <row r="54" spans="1:22">
      <c r="A54" s="575"/>
      <c r="B54" s="579"/>
      <c r="C54" s="579"/>
      <c r="I54" s="579"/>
      <c r="J54" s="579"/>
      <c r="N54" s="579"/>
      <c r="O54" s="579"/>
      <c r="R54" s="579"/>
      <c r="S54" s="579"/>
      <c r="T54" s="579"/>
      <c r="U54" s="579"/>
      <c r="V54" s="579"/>
    </row>
    <row r="55" spans="1:22">
      <c r="A55" s="571"/>
      <c r="B55" s="577"/>
      <c r="C55" s="577"/>
      <c r="D55" s="574"/>
      <c r="E55" s="574"/>
      <c r="F55" s="574"/>
      <c r="G55" s="574"/>
      <c r="H55" s="574"/>
      <c r="I55" s="577"/>
      <c r="J55" s="577"/>
      <c r="K55" s="574"/>
      <c r="L55" s="574"/>
      <c r="M55" s="574"/>
      <c r="N55" s="577"/>
      <c r="O55" s="577"/>
      <c r="P55" s="574"/>
      <c r="Q55" s="574"/>
      <c r="R55" s="577"/>
      <c r="S55" s="577"/>
      <c r="T55" s="577"/>
      <c r="U55" s="577"/>
      <c r="V55" s="577"/>
    </row>
    <row r="56" spans="1:22">
      <c r="A56" s="575"/>
      <c r="B56" s="579"/>
      <c r="C56" s="579"/>
      <c r="I56" s="579"/>
      <c r="J56" s="579"/>
      <c r="N56" s="579"/>
      <c r="O56" s="579"/>
      <c r="R56" s="579"/>
      <c r="S56" s="579"/>
      <c r="T56" s="579"/>
      <c r="U56" s="579"/>
      <c r="V56" s="579"/>
    </row>
    <row r="57" spans="1:22">
      <c r="A57" s="575"/>
      <c r="B57" s="579"/>
      <c r="C57" s="579"/>
      <c r="I57" s="579"/>
      <c r="J57" s="579"/>
      <c r="N57" s="579"/>
      <c r="O57" s="579"/>
      <c r="R57" s="579"/>
      <c r="S57" s="579"/>
      <c r="T57" s="579"/>
      <c r="U57" s="579"/>
      <c r="V57" s="579"/>
    </row>
    <row r="58" spans="1:22">
      <c r="A58" s="575"/>
      <c r="B58" s="579"/>
      <c r="C58" s="579"/>
      <c r="I58" s="579"/>
      <c r="J58" s="579"/>
      <c r="N58" s="579"/>
      <c r="O58" s="579"/>
      <c r="R58" s="579"/>
      <c r="S58" s="579"/>
      <c r="T58" s="579"/>
      <c r="U58" s="579"/>
      <c r="V58" s="579"/>
    </row>
    <row r="59" spans="1:22">
      <c r="A59" s="575"/>
      <c r="B59" s="579"/>
      <c r="C59" s="579"/>
      <c r="I59" s="579"/>
      <c r="J59" s="579"/>
      <c r="N59" s="579"/>
      <c r="O59" s="579"/>
      <c r="R59" s="579"/>
      <c r="S59" s="579"/>
      <c r="T59" s="579"/>
      <c r="U59" s="579"/>
      <c r="V59" s="579"/>
    </row>
    <row r="60" spans="1:22">
      <c r="A60" s="575"/>
      <c r="B60" s="579"/>
      <c r="C60" s="579"/>
      <c r="I60" s="579"/>
      <c r="J60" s="579"/>
      <c r="N60" s="579"/>
      <c r="O60" s="579"/>
      <c r="R60" s="579"/>
      <c r="S60" s="579"/>
      <c r="T60" s="579"/>
      <c r="U60" s="579"/>
      <c r="V60" s="579"/>
    </row>
    <row r="61" spans="1:22">
      <c r="A61" s="575"/>
      <c r="B61" s="579"/>
      <c r="C61" s="579"/>
      <c r="I61" s="579"/>
      <c r="J61" s="579"/>
      <c r="N61" s="579"/>
      <c r="O61" s="579"/>
      <c r="R61" s="579"/>
      <c r="S61" s="579"/>
      <c r="T61" s="579"/>
      <c r="U61" s="579"/>
      <c r="V61" s="579"/>
    </row>
    <row r="62" spans="1:22">
      <c r="A62" s="571"/>
      <c r="B62" s="577"/>
      <c r="C62" s="577"/>
      <c r="D62" s="574"/>
      <c r="E62" s="574"/>
      <c r="F62" s="574"/>
      <c r="G62" s="574"/>
      <c r="H62" s="574"/>
      <c r="I62" s="577"/>
      <c r="J62" s="577"/>
      <c r="K62" s="574"/>
      <c r="L62" s="574"/>
      <c r="M62" s="574"/>
      <c r="N62" s="577"/>
      <c r="O62" s="577"/>
      <c r="P62" s="574"/>
      <c r="Q62" s="574"/>
      <c r="R62" s="577"/>
      <c r="S62" s="577"/>
      <c r="T62" s="577"/>
      <c r="U62" s="577"/>
      <c r="V62" s="577"/>
    </row>
    <row r="63" spans="1:22">
      <c r="A63" s="575"/>
      <c r="B63" s="579"/>
      <c r="C63" s="579"/>
      <c r="I63" s="579"/>
      <c r="J63" s="579"/>
      <c r="N63" s="579"/>
      <c r="O63" s="579"/>
      <c r="R63" s="579"/>
      <c r="S63" s="579"/>
      <c r="T63" s="579"/>
      <c r="U63" s="579"/>
      <c r="V63" s="579"/>
    </row>
    <row r="64" spans="1:22">
      <c r="A64" s="575"/>
      <c r="B64" s="579"/>
      <c r="C64" s="579"/>
      <c r="I64" s="579"/>
      <c r="J64" s="579"/>
      <c r="N64" s="579"/>
      <c r="O64" s="579"/>
      <c r="R64" s="579"/>
      <c r="S64" s="579"/>
      <c r="T64" s="579"/>
      <c r="U64" s="579"/>
      <c r="V64" s="579"/>
    </row>
    <row r="65" spans="1:22">
      <c r="A65" s="575"/>
      <c r="B65" s="579"/>
      <c r="C65" s="579"/>
      <c r="I65" s="579"/>
      <c r="J65" s="579"/>
      <c r="N65" s="579"/>
      <c r="O65" s="579"/>
      <c r="R65" s="579"/>
      <c r="S65" s="579"/>
      <c r="T65" s="579"/>
      <c r="U65" s="579"/>
      <c r="V65" s="579"/>
    </row>
    <row r="66" spans="1:22">
      <c r="A66" s="575"/>
      <c r="B66" s="579"/>
      <c r="C66" s="579"/>
      <c r="I66" s="579"/>
      <c r="J66" s="579"/>
      <c r="N66" s="579"/>
      <c r="O66" s="579"/>
      <c r="R66" s="579"/>
      <c r="S66" s="579"/>
      <c r="T66" s="579"/>
      <c r="U66" s="579"/>
      <c r="V66" s="579"/>
    </row>
    <row r="67" spans="1:22">
      <c r="A67" s="575"/>
      <c r="B67" s="579"/>
      <c r="C67" s="579"/>
      <c r="I67" s="579"/>
      <c r="J67" s="579"/>
      <c r="N67" s="579"/>
      <c r="O67" s="579"/>
      <c r="R67" s="579"/>
      <c r="S67" s="579"/>
      <c r="T67" s="579"/>
      <c r="U67" s="579"/>
      <c r="V67" s="579"/>
    </row>
    <row r="68" spans="1:22">
      <c r="A68" s="575"/>
      <c r="B68" s="579"/>
      <c r="C68" s="579"/>
      <c r="I68" s="579"/>
      <c r="J68" s="579"/>
      <c r="N68" s="579"/>
      <c r="O68" s="579"/>
      <c r="R68" s="579"/>
      <c r="S68" s="579"/>
      <c r="T68" s="579"/>
      <c r="U68" s="579"/>
      <c r="V68" s="579"/>
    </row>
    <row r="69" spans="1:22">
      <c r="A69" s="571"/>
      <c r="B69" s="577"/>
      <c r="C69" s="577"/>
      <c r="D69" s="574"/>
      <c r="E69" s="574"/>
      <c r="F69" s="574"/>
      <c r="G69" s="574"/>
      <c r="H69" s="574"/>
      <c r="I69" s="577"/>
      <c r="J69" s="577"/>
      <c r="K69" s="574"/>
      <c r="L69" s="574"/>
      <c r="M69" s="574"/>
      <c r="N69" s="577"/>
      <c r="O69" s="577"/>
      <c r="P69" s="574"/>
      <c r="Q69" s="574"/>
      <c r="R69" s="577"/>
      <c r="S69" s="577"/>
      <c r="T69" s="577"/>
      <c r="U69" s="577"/>
      <c r="V69" s="577"/>
    </row>
    <row r="70" spans="1:22">
      <c r="A70" s="575"/>
      <c r="B70" s="579"/>
      <c r="C70" s="579"/>
      <c r="I70" s="579"/>
      <c r="J70" s="579"/>
      <c r="N70" s="579"/>
      <c r="O70" s="579"/>
      <c r="R70" s="579"/>
      <c r="S70" s="579"/>
      <c r="T70" s="579"/>
      <c r="U70" s="579"/>
      <c r="V70" s="579"/>
    </row>
    <row r="71" spans="1:22">
      <c r="A71" s="575"/>
      <c r="B71" s="579"/>
      <c r="C71" s="579"/>
      <c r="I71" s="579"/>
      <c r="J71" s="579"/>
      <c r="N71" s="579"/>
      <c r="O71" s="579"/>
      <c r="R71" s="579"/>
      <c r="S71" s="579"/>
      <c r="T71" s="579"/>
      <c r="U71" s="579"/>
      <c r="V71" s="579"/>
    </row>
    <row r="72" spans="1:22">
      <c r="A72" s="575"/>
      <c r="B72" s="579"/>
      <c r="C72" s="579"/>
      <c r="I72" s="579"/>
      <c r="J72" s="579"/>
      <c r="N72" s="579"/>
      <c r="O72" s="579"/>
      <c r="R72" s="579"/>
      <c r="S72" s="579"/>
      <c r="T72" s="579"/>
      <c r="U72" s="579"/>
      <c r="V72" s="579"/>
    </row>
    <row r="73" spans="1:22">
      <c r="A73" s="575"/>
      <c r="B73" s="579"/>
      <c r="C73" s="579"/>
      <c r="I73" s="579"/>
      <c r="J73" s="579"/>
      <c r="N73" s="579"/>
      <c r="O73" s="579"/>
      <c r="R73" s="579"/>
      <c r="S73" s="579"/>
      <c r="T73" s="579"/>
      <c r="U73" s="579"/>
      <c r="V73" s="579"/>
    </row>
    <row r="74" spans="1:22">
      <c r="A74" s="575"/>
      <c r="B74" s="579"/>
      <c r="C74" s="579"/>
      <c r="I74" s="579"/>
      <c r="J74" s="579"/>
      <c r="N74" s="579"/>
      <c r="O74" s="579"/>
      <c r="R74" s="579"/>
      <c r="S74" s="579"/>
      <c r="T74" s="579"/>
      <c r="U74" s="579"/>
      <c r="V74" s="579"/>
    </row>
    <row r="75" spans="1:22">
      <c r="A75" s="575"/>
      <c r="B75" s="579"/>
      <c r="C75" s="579"/>
      <c r="I75" s="579"/>
      <c r="J75" s="579"/>
      <c r="N75" s="579"/>
      <c r="O75" s="579"/>
      <c r="R75" s="579"/>
      <c r="S75" s="579"/>
      <c r="T75" s="579"/>
      <c r="U75" s="579"/>
      <c r="V75" s="579"/>
    </row>
    <row r="76" spans="1:22">
      <c r="A76" s="571"/>
      <c r="B76" s="577"/>
      <c r="C76" s="577"/>
      <c r="D76" s="574"/>
      <c r="E76" s="574"/>
      <c r="F76" s="574"/>
      <c r="G76" s="574"/>
      <c r="H76" s="574"/>
      <c r="I76" s="577"/>
      <c r="J76" s="577"/>
      <c r="K76" s="574"/>
      <c r="L76" s="574"/>
      <c r="M76" s="574"/>
      <c r="N76" s="577"/>
      <c r="O76" s="577"/>
      <c r="P76" s="574"/>
      <c r="Q76" s="574"/>
      <c r="R76" s="577"/>
      <c r="S76" s="577"/>
      <c r="T76" s="577"/>
      <c r="U76" s="577"/>
      <c r="V76" s="577"/>
    </row>
    <row r="77" spans="1:22">
      <c r="A77" s="575"/>
      <c r="B77" s="579"/>
      <c r="C77" s="579"/>
      <c r="I77" s="579"/>
      <c r="J77" s="579"/>
      <c r="N77" s="579"/>
      <c r="O77" s="579"/>
      <c r="R77" s="579"/>
      <c r="S77" s="579"/>
      <c r="T77" s="579"/>
      <c r="U77" s="579"/>
      <c r="V77" s="579"/>
    </row>
    <row r="78" spans="1:22">
      <c r="A78" s="575"/>
      <c r="B78" s="579"/>
      <c r="C78" s="579"/>
      <c r="I78" s="579"/>
      <c r="J78" s="579"/>
      <c r="N78" s="579"/>
      <c r="O78" s="579"/>
      <c r="R78" s="579"/>
      <c r="S78" s="579"/>
      <c r="T78" s="579"/>
      <c r="U78" s="579"/>
      <c r="V78" s="579"/>
    </row>
    <row r="79" spans="1:22">
      <c r="A79" s="575"/>
      <c r="B79" s="579"/>
      <c r="C79" s="579"/>
      <c r="I79" s="579"/>
      <c r="J79" s="579"/>
      <c r="N79" s="579"/>
      <c r="O79" s="579"/>
      <c r="R79" s="579"/>
      <c r="S79" s="579"/>
      <c r="T79" s="579"/>
      <c r="U79" s="579"/>
      <c r="V79" s="579"/>
    </row>
    <row r="80" spans="1:22">
      <c r="A80" s="575"/>
      <c r="B80" s="579"/>
      <c r="C80" s="579"/>
      <c r="I80" s="579"/>
      <c r="J80" s="579"/>
      <c r="N80" s="579"/>
      <c r="O80" s="579"/>
      <c r="R80" s="579"/>
      <c r="S80" s="579"/>
      <c r="T80" s="579"/>
      <c r="U80" s="579"/>
      <c r="V80" s="579"/>
    </row>
    <row r="81" spans="1:22">
      <c r="A81" s="575"/>
      <c r="B81" s="579"/>
      <c r="C81" s="579"/>
      <c r="I81" s="579"/>
      <c r="J81" s="579"/>
      <c r="N81" s="579"/>
      <c r="O81" s="579"/>
      <c r="R81" s="579"/>
      <c r="S81" s="579"/>
      <c r="T81" s="579"/>
      <c r="U81" s="579"/>
      <c r="V81" s="579"/>
    </row>
    <row r="82" spans="1:22">
      <c r="A82" s="575"/>
      <c r="B82" s="579"/>
      <c r="C82" s="579"/>
      <c r="I82" s="579"/>
      <c r="J82" s="579"/>
      <c r="N82" s="579"/>
      <c r="O82" s="579"/>
      <c r="R82" s="579"/>
      <c r="S82" s="579"/>
      <c r="T82" s="579"/>
      <c r="U82" s="579"/>
      <c r="V82" s="579"/>
    </row>
    <row r="83" spans="1:22">
      <c r="A83" s="571"/>
      <c r="B83" s="577"/>
      <c r="C83" s="577"/>
      <c r="D83" s="574"/>
      <c r="E83" s="574"/>
      <c r="F83" s="574"/>
      <c r="G83" s="574"/>
      <c r="H83" s="574"/>
      <c r="I83" s="577"/>
      <c r="J83" s="577"/>
      <c r="K83" s="574"/>
      <c r="L83" s="574"/>
      <c r="M83" s="574"/>
      <c r="N83" s="577"/>
      <c r="O83" s="577"/>
      <c r="P83" s="574"/>
      <c r="Q83" s="574"/>
      <c r="R83" s="577"/>
      <c r="S83" s="577"/>
      <c r="T83" s="577"/>
      <c r="U83" s="577"/>
      <c r="V83" s="577"/>
    </row>
    <row r="84" spans="1:22">
      <c r="A84" s="575"/>
      <c r="B84" s="579"/>
      <c r="C84" s="579"/>
      <c r="I84" s="579"/>
      <c r="J84" s="579"/>
      <c r="N84" s="579"/>
      <c r="O84" s="579"/>
      <c r="R84" s="579"/>
      <c r="S84" s="579"/>
      <c r="T84" s="579"/>
      <c r="U84" s="579"/>
      <c r="V84" s="579"/>
    </row>
    <row r="85" spans="1:22">
      <c r="A85" s="575"/>
      <c r="B85" s="579"/>
      <c r="C85" s="579"/>
      <c r="I85" s="579"/>
      <c r="J85" s="579"/>
      <c r="N85" s="579"/>
      <c r="O85" s="579"/>
      <c r="R85" s="579"/>
      <c r="S85" s="579"/>
      <c r="T85" s="579"/>
      <c r="U85" s="579"/>
      <c r="V85" s="579"/>
    </row>
    <row r="86" spans="1:22">
      <c r="A86" s="575"/>
      <c r="B86" s="579"/>
      <c r="C86" s="579"/>
      <c r="I86" s="579"/>
      <c r="J86" s="579"/>
      <c r="N86" s="579"/>
      <c r="O86" s="579"/>
      <c r="R86" s="579"/>
      <c r="S86" s="579"/>
      <c r="T86" s="579"/>
      <c r="U86" s="579"/>
      <c r="V86" s="579"/>
    </row>
    <row r="87" spans="1:22">
      <c r="A87" s="575"/>
      <c r="B87" s="579"/>
      <c r="C87" s="579"/>
      <c r="I87" s="579"/>
      <c r="J87" s="579"/>
      <c r="N87" s="579"/>
      <c r="O87" s="579"/>
      <c r="R87" s="579"/>
      <c r="S87" s="579"/>
      <c r="T87" s="579"/>
      <c r="U87" s="579"/>
      <c r="V87" s="579"/>
    </row>
    <row r="88" spans="1:22">
      <c r="A88" s="575"/>
      <c r="B88" s="579"/>
      <c r="C88" s="579"/>
      <c r="I88" s="579"/>
      <c r="J88" s="579"/>
      <c r="N88" s="579"/>
      <c r="O88" s="579"/>
      <c r="R88" s="579"/>
      <c r="S88" s="579"/>
      <c r="T88" s="579"/>
      <c r="U88" s="579"/>
      <c r="V88" s="579"/>
    </row>
    <row r="89" spans="1:22">
      <c r="A89" s="575"/>
      <c r="B89" s="579"/>
      <c r="C89" s="579"/>
      <c r="I89" s="579"/>
      <c r="J89" s="579"/>
      <c r="N89" s="579"/>
      <c r="O89" s="579"/>
      <c r="R89" s="579"/>
      <c r="S89" s="579"/>
      <c r="T89" s="579"/>
      <c r="U89" s="579"/>
      <c r="V89" s="579"/>
    </row>
    <row r="90" spans="1:22">
      <c r="A90" s="571"/>
      <c r="B90" s="577"/>
      <c r="C90" s="577"/>
      <c r="D90" s="574"/>
      <c r="E90" s="574"/>
      <c r="F90" s="574"/>
      <c r="G90" s="574"/>
      <c r="H90" s="574"/>
      <c r="I90" s="577"/>
      <c r="J90" s="577"/>
      <c r="K90" s="574"/>
      <c r="L90" s="574"/>
      <c r="M90" s="574"/>
      <c r="N90" s="577"/>
      <c r="O90" s="577"/>
      <c r="P90" s="574"/>
      <c r="Q90" s="574"/>
      <c r="R90" s="577"/>
      <c r="S90" s="577"/>
      <c r="T90" s="577"/>
      <c r="U90" s="577"/>
      <c r="V90" s="577"/>
    </row>
    <row r="91" spans="1:22">
      <c r="A91" s="575"/>
      <c r="B91" s="579"/>
      <c r="C91" s="579"/>
      <c r="I91" s="579"/>
      <c r="J91" s="579"/>
      <c r="N91" s="579"/>
      <c r="O91" s="579"/>
      <c r="R91" s="579"/>
      <c r="S91" s="579"/>
      <c r="T91" s="579"/>
      <c r="U91" s="579"/>
      <c r="V91" s="579"/>
    </row>
    <row r="92" spans="1:22">
      <c r="A92" s="575"/>
      <c r="B92" s="579"/>
      <c r="C92" s="579"/>
      <c r="I92" s="579"/>
      <c r="J92" s="579"/>
      <c r="N92" s="579"/>
      <c r="O92" s="579"/>
      <c r="R92" s="579"/>
      <c r="S92" s="579"/>
      <c r="T92" s="579"/>
      <c r="U92" s="579"/>
      <c r="V92" s="579"/>
    </row>
    <row r="93" spans="1:22">
      <c r="A93" s="575"/>
      <c r="B93" s="579"/>
      <c r="C93" s="579"/>
      <c r="I93" s="579"/>
      <c r="J93" s="579"/>
      <c r="N93" s="579"/>
      <c r="O93" s="579"/>
      <c r="R93" s="579"/>
      <c r="S93" s="579"/>
      <c r="T93" s="579"/>
      <c r="U93" s="579"/>
      <c r="V93" s="579"/>
    </row>
    <row r="94" spans="1:22">
      <c r="A94" s="575"/>
      <c r="B94" s="579"/>
      <c r="C94" s="579"/>
      <c r="I94" s="579"/>
      <c r="J94" s="579"/>
      <c r="N94" s="579"/>
      <c r="O94" s="579"/>
      <c r="R94" s="579"/>
      <c r="S94" s="579"/>
      <c r="T94" s="579"/>
      <c r="U94" s="579"/>
      <c r="V94" s="579"/>
    </row>
    <row r="95" spans="1:22">
      <c r="A95" s="575"/>
      <c r="B95" s="579"/>
      <c r="C95" s="579"/>
      <c r="I95" s="579"/>
      <c r="J95" s="579"/>
      <c r="N95" s="579"/>
      <c r="O95" s="579"/>
      <c r="R95" s="579"/>
      <c r="S95" s="579"/>
      <c r="T95" s="579"/>
      <c r="U95" s="579"/>
      <c r="V95" s="579"/>
    </row>
    <row r="96" spans="1:22">
      <c r="A96" s="575"/>
      <c r="B96" s="579"/>
      <c r="C96" s="579"/>
      <c r="I96" s="579"/>
      <c r="J96" s="579"/>
      <c r="N96" s="579"/>
      <c r="O96" s="579"/>
      <c r="R96" s="579"/>
      <c r="S96" s="579"/>
      <c r="T96" s="579"/>
      <c r="U96" s="579"/>
      <c r="V96" s="579"/>
    </row>
    <row r="97" spans="1:22">
      <c r="A97" s="571"/>
      <c r="B97" s="577"/>
      <c r="C97" s="577"/>
      <c r="D97" s="574"/>
      <c r="E97" s="574"/>
      <c r="F97" s="574"/>
      <c r="G97" s="574"/>
      <c r="H97" s="574"/>
      <c r="I97" s="577"/>
      <c r="J97" s="577"/>
      <c r="K97" s="574"/>
      <c r="L97" s="574"/>
      <c r="M97" s="574"/>
      <c r="N97" s="577"/>
      <c r="O97" s="577"/>
      <c r="P97" s="574"/>
      <c r="Q97" s="574"/>
      <c r="R97" s="577"/>
      <c r="S97" s="577"/>
      <c r="T97" s="577"/>
      <c r="U97" s="577"/>
      <c r="V97" s="577"/>
    </row>
    <row r="98" spans="1:22">
      <c r="A98" s="575"/>
      <c r="B98" s="579"/>
      <c r="C98" s="579"/>
      <c r="I98" s="579"/>
      <c r="J98" s="579"/>
      <c r="N98" s="579"/>
      <c r="O98" s="579"/>
      <c r="R98" s="579"/>
      <c r="S98" s="579"/>
      <c r="T98" s="579"/>
      <c r="U98" s="579"/>
      <c r="V98" s="579"/>
    </row>
    <row r="99" spans="1:22">
      <c r="A99" s="575"/>
      <c r="B99" s="579"/>
      <c r="C99" s="579"/>
      <c r="I99" s="579"/>
      <c r="J99" s="579"/>
      <c r="N99" s="579"/>
      <c r="O99" s="579"/>
      <c r="R99" s="579"/>
      <c r="S99" s="579"/>
      <c r="T99" s="579"/>
      <c r="U99" s="579"/>
      <c r="V99" s="579"/>
    </row>
    <row r="100" spans="1:22">
      <c r="A100" s="575"/>
      <c r="B100" s="579"/>
      <c r="C100" s="579"/>
      <c r="I100" s="579"/>
      <c r="J100" s="579"/>
      <c r="N100" s="579"/>
      <c r="O100" s="579"/>
      <c r="R100" s="579"/>
      <c r="S100" s="579"/>
      <c r="T100" s="579"/>
      <c r="U100" s="579"/>
      <c r="V100" s="579"/>
    </row>
    <row r="101" spans="1:22">
      <c r="A101" s="575"/>
      <c r="B101" s="579"/>
      <c r="C101" s="579"/>
      <c r="I101" s="579"/>
      <c r="J101" s="579"/>
      <c r="N101" s="579"/>
      <c r="O101" s="579"/>
      <c r="R101" s="579"/>
      <c r="S101" s="579"/>
      <c r="T101" s="579"/>
      <c r="U101" s="579"/>
      <c r="V101" s="579"/>
    </row>
    <row r="102" spans="1:22">
      <c r="A102" s="575"/>
      <c r="B102" s="579"/>
      <c r="C102" s="579"/>
      <c r="I102" s="579"/>
      <c r="J102" s="579"/>
      <c r="N102" s="579"/>
      <c r="O102" s="579"/>
      <c r="R102" s="579"/>
      <c r="S102" s="579"/>
      <c r="T102" s="579"/>
      <c r="U102" s="579"/>
      <c r="V102" s="579"/>
    </row>
    <row r="103" spans="1:22">
      <c r="A103" s="575"/>
      <c r="B103" s="579"/>
      <c r="C103" s="579"/>
      <c r="I103" s="579"/>
      <c r="J103" s="579"/>
      <c r="N103" s="579"/>
      <c r="O103" s="579"/>
      <c r="R103" s="579"/>
      <c r="S103" s="579"/>
      <c r="T103" s="579"/>
      <c r="U103" s="579"/>
      <c r="V103" s="579"/>
    </row>
    <row r="104" spans="1:22">
      <c r="A104" s="571"/>
      <c r="B104" s="577"/>
      <c r="C104" s="577"/>
      <c r="D104" s="574"/>
      <c r="E104" s="574"/>
      <c r="F104" s="574"/>
      <c r="G104" s="574"/>
      <c r="H104" s="574"/>
      <c r="I104" s="577"/>
      <c r="J104" s="577"/>
      <c r="K104" s="574"/>
      <c r="L104" s="574"/>
      <c r="M104" s="574"/>
      <c r="N104" s="577"/>
      <c r="O104" s="577"/>
      <c r="P104" s="574"/>
      <c r="Q104" s="574"/>
      <c r="R104" s="577"/>
      <c r="S104" s="577"/>
      <c r="T104" s="577"/>
      <c r="U104" s="577"/>
      <c r="V104" s="577"/>
    </row>
    <row r="105" spans="1:22">
      <c r="A105" s="575"/>
      <c r="B105" s="579"/>
      <c r="C105" s="579"/>
      <c r="I105" s="579"/>
      <c r="J105" s="579"/>
      <c r="N105" s="579"/>
      <c r="O105" s="579"/>
      <c r="R105" s="579"/>
      <c r="S105" s="579"/>
      <c r="T105" s="579"/>
      <c r="U105" s="579"/>
      <c r="V105" s="579"/>
    </row>
    <row r="106" spans="1:22">
      <c r="A106" s="575"/>
      <c r="B106" s="579"/>
      <c r="C106" s="579"/>
      <c r="I106" s="579"/>
      <c r="J106" s="579"/>
      <c r="N106" s="579"/>
      <c r="O106" s="579"/>
      <c r="R106" s="579"/>
      <c r="S106" s="579"/>
      <c r="T106" s="579"/>
      <c r="U106" s="579"/>
      <c r="V106" s="579"/>
    </row>
    <row r="107" spans="1:22">
      <c r="A107" s="575"/>
      <c r="B107" s="579"/>
      <c r="C107" s="579"/>
      <c r="I107" s="579"/>
      <c r="J107" s="579"/>
      <c r="N107" s="579"/>
      <c r="O107" s="579"/>
      <c r="R107" s="579"/>
      <c r="S107" s="579"/>
      <c r="T107" s="579"/>
      <c r="U107" s="579"/>
      <c r="V107" s="579"/>
    </row>
    <row r="108" spans="1:22">
      <c r="A108" s="575"/>
      <c r="B108" s="579"/>
      <c r="C108" s="579"/>
      <c r="I108" s="579"/>
      <c r="J108" s="579"/>
      <c r="N108" s="579"/>
      <c r="O108" s="579"/>
      <c r="R108" s="579"/>
      <c r="S108" s="579"/>
      <c r="T108" s="579"/>
      <c r="U108" s="579"/>
      <c r="V108" s="579"/>
    </row>
    <row r="109" spans="1:22">
      <c r="A109" s="575"/>
      <c r="B109" s="579"/>
      <c r="C109" s="579"/>
      <c r="I109" s="579"/>
      <c r="J109" s="579"/>
      <c r="N109" s="579"/>
      <c r="O109" s="579"/>
      <c r="R109" s="579"/>
      <c r="S109" s="579"/>
      <c r="T109" s="579"/>
      <c r="U109" s="579"/>
      <c r="V109" s="579"/>
    </row>
    <row r="110" spans="1:22">
      <c r="A110" s="575"/>
      <c r="B110" s="579"/>
      <c r="C110" s="579"/>
      <c r="I110" s="579"/>
      <c r="J110" s="579"/>
      <c r="N110" s="579"/>
      <c r="O110" s="579"/>
      <c r="R110" s="579"/>
      <c r="S110" s="579"/>
      <c r="T110" s="579"/>
      <c r="U110" s="579"/>
      <c r="V110" s="579"/>
    </row>
    <row r="111" spans="1:22">
      <c r="A111" s="571"/>
      <c r="B111" s="577"/>
      <c r="C111" s="577"/>
      <c r="D111" s="574"/>
      <c r="E111" s="574"/>
      <c r="F111" s="574"/>
      <c r="G111" s="574"/>
      <c r="H111" s="574"/>
      <c r="I111" s="577"/>
      <c r="J111" s="577"/>
      <c r="K111" s="574"/>
      <c r="L111" s="574"/>
      <c r="M111" s="574"/>
      <c r="N111" s="577"/>
      <c r="O111" s="577"/>
      <c r="P111" s="574"/>
      <c r="Q111" s="574"/>
      <c r="R111" s="577"/>
      <c r="S111" s="577"/>
      <c r="T111" s="577"/>
      <c r="U111" s="577"/>
      <c r="V111" s="577"/>
    </row>
    <row r="112" spans="1:22">
      <c r="A112" s="575"/>
      <c r="B112" s="579"/>
      <c r="C112" s="579"/>
      <c r="I112" s="579"/>
      <c r="J112" s="579"/>
      <c r="N112" s="579"/>
      <c r="O112" s="579"/>
      <c r="R112" s="579"/>
      <c r="S112" s="579"/>
      <c r="T112" s="579"/>
      <c r="U112" s="579"/>
      <c r="V112" s="579"/>
    </row>
    <row r="113" spans="1:22">
      <c r="A113" s="575"/>
      <c r="B113" s="579"/>
      <c r="C113" s="579"/>
      <c r="I113" s="579"/>
      <c r="J113" s="579"/>
      <c r="N113" s="579"/>
      <c r="O113" s="579"/>
      <c r="R113" s="579"/>
      <c r="S113" s="579"/>
      <c r="T113" s="579"/>
      <c r="U113" s="579"/>
      <c r="V113" s="579"/>
    </row>
    <row r="114" spans="1:22">
      <c r="A114" s="575"/>
      <c r="B114" s="579"/>
      <c r="C114" s="579"/>
      <c r="I114" s="579"/>
      <c r="J114" s="579"/>
      <c r="N114" s="579"/>
      <c r="O114" s="579"/>
      <c r="R114" s="579"/>
      <c r="S114" s="579"/>
      <c r="T114" s="579"/>
      <c r="U114" s="579"/>
      <c r="V114" s="579"/>
    </row>
    <row r="115" spans="1:22">
      <c r="A115" s="575"/>
      <c r="B115" s="579"/>
      <c r="C115" s="579"/>
      <c r="I115" s="579"/>
      <c r="J115" s="579"/>
      <c r="N115" s="579"/>
      <c r="O115" s="579"/>
      <c r="R115" s="579"/>
      <c r="S115" s="579"/>
      <c r="T115" s="579"/>
      <c r="U115" s="579"/>
      <c r="V115" s="579"/>
    </row>
    <row r="116" spans="1:22">
      <c r="A116" s="575"/>
      <c r="B116" s="579"/>
      <c r="C116" s="579"/>
      <c r="I116" s="579"/>
      <c r="J116" s="579"/>
      <c r="N116" s="579"/>
      <c r="O116" s="579"/>
      <c r="R116" s="579"/>
      <c r="S116" s="579"/>
      <c r="T116" s="579"/>
      <c r="U116" s="579"/>
      <c r="V116" s="579"/>
    </row>
    <row r="117" spans="1:22">
      <c r="A117" s="575"/>
      <c r="B117" s="579"/>
      <c r="C117" s="579"/>
      <c r="I117" s="579"/>
      <c r="J117" s="579"/>
      <c r="N117" s="579"/>
      <c r="O117" s="579"/>
      <c r="R117" s="579"/>
      <c r="S117" s="579"/>
      <c r="T117" s="579"/>
      <c r="U117" s="579"/>
      <c r="V117" s="579"/>
    </row>
    <row r="118" spans="1:22">
      <c r="A118" s="577"/>
      <c r="B118" s="573"/>
      <c r="C118" s="577"/>
      <c r="D118" s="574"/>
      <c r="E118" s="574"/>
      <c r="F118" s="574"/>
      <c r="G118" s="574"/>
      <c r="H118" s="574"/>
      <c r="I118" s="577"/>
      <c r="J118" s="577"/>
      <c r="K118" s="574"/>
      <c r="L118" s="574"/>
      <c r="M118" s="574"/>
      <c r="N118" s="577"/>
      <c r="O118" s="577"/>
      <c r="P118" s="574"/>
      <c r="Q118" s="574"/>
      <c r="R118" s="577"/>
      <c r="S118" s="577"/>
      <c r="T118" s="577"/>
      <c r="U118" s="577"/>
      <c r="V118" s="577"/>
    </row>
    <row r="119" spans="1:22">
      <c r="A119" s="577"/>
      <c r="B119" s="573"/>
      <c r="C119" s="577"/>
      <c r="D119" s="574"/>
      <c r="E119" s="574"/>
      <c r="F119" s="574"/>
      <c r="G119" s="574"/>
      <c r="H119" s="574"/>
      <c r="I119" s="577"/>
      <c r="J119" s="577"/>
      <c r="K119" s="574"/>
      <c r="L119" s="574"/>
      <c r="M119" s="574"/>
      <c r="N119" s="577"/>
      <c r="O119" s="577"/>
      <c r="P119" s="574"/>
      <c r="Q119" s="574"/>
      <c r="R119" s="577"/>
      <c r="S119" s="577"/>
      <c r="T119" s="577"/>
      <c r="U119" s="577"/>
      <c r="V119" s="577"/>
    </row>
    <row r="120" spans="1:22">
      <c r="A120" s="577"/>
      <c r="B120" s="573"/>
      <c r="C120" s="577"/>
      <c r="D120" s="574"/>
      <c r="E120" s="574"/>
      <c r="F120" s="574"/>
      <c r="G120" s="574"/>
      <c r="H120" s="574"/>
      <c r="I120" s="577"/>
      <c r="J120" s="577"/>
      <c r="K120" s="574"/>
      <c r="L120" s="574"/>
      <c r="M120" s="574"/>
      <c r="N120" s="577"/>
      <c r="O120" s="577"/>
      <c r="P120" s="574"/>
      <c r="Q120" s="574"/>
      <c r="R120" s="577"/>
      <c r="S120" s="577"/>
      <c r="T120" s="577"/>
      <c r="U120" s="577"/>
      <c r="V120" s="577"/>
    </row>
    <row r="121" spans="1:22">
      <c r="A121" s="577"/>
      <c r="B121" s="573"/>
      <c r="C121" s="577"/>
      <c r="D121" s="574"/>
      <c r="E121" s="574"/>
      <c r="F121" s="574"/>
      <c r="G121" s="574"/>
      <c r="H121" s="574"/>
      <c r="I121" s="577"/>
      <c r="J121" s="577"/>
      <c r="K121" s="574"/>
      <c r="L121" s="574"/>
      <c r="M121" s="574"/>
      <c r="N121" s="577"/>
      <c r="O121" s="577"/>
      <c r="P121" s="574"/>
      <c r="Q121" s="574"/>
      <c r="R121" s="577"/>
      <c r="S121" s="577"/>
      <c r="T121" s="577"/>
      <c r="U121" s="577"/>
      <c r="V121" s="577"/>
    </row>
    <row r="122" spans="1:22">
      <c r="A122" s="577"/>
      <c r="B122" s="573"/>
      <c r="C122" s="577"/>
      <c r="D122" s="574"/>
      <c r="E122" s="574"/>
      <c r="F122" s="574"/>
      <c r="G122" s="574"/>
      <c r="H122" s="574"/>
      <c r="I122" s="577"/>
      <c r="J122" s="577"/>
      <c r="K122" s="574"/>
      <c r="L122" s="574"/>
      <c r="M122" s="574"/>
      <c r="N122" s="577"/>
      <c r="O122" s="577"/>
      <c r="P122" s="574"/>
      <c r="Q122" s="574"/>
      <c r="R122" s="577"/>
      <c r="S122" s="577"/>
      <c r="T122" s="577"/>
      <c r="U122" s="577"/>
      <c r="V122" s="577"/>
    </row>
    <row r="123" spans="1:22">
      <c r="A123" s="577"/>
      <c r="B123" s="573"/>
      <c r="C123" s="577"/>
      <c r="D123" s="574"/>
      <c r="E123" s="574"/>
      <c r="F123" s="574"/>
      <c r="G123" s="574"/>
      <c r="H123" s="574"/>
      <c r="I123" s="577"/>
      <c r="J123" s="577"/>
      <c r="K123" s="574"/>
      <c r="L123" s="574"/>
      <c r="M123" s="574"/>
      <c r="N123" s="577"/>
      <c r="O123" s="577"/>
      <c r="P123" s="574"/>
      <c r="Q123" s="574"/>
      <c r="R123" s="577"/>
      <c r="S123" s="577"/>
      <c r="T123" s="577"/>
      <c r="U123" s="577"/>
      <c r="V123" s="577"/>
    </row>
    <row r="124" spans="1:22">
      <c r="A124" s="580"/>
      <c r="B124" s="581"/>
      <c r="C124" s="580"/>
      <c r="D124" s="582"/>
      <c r="E124" s="582"/>
      <c r="F124" s="582"/>
      <c r="G124" s="582"/>
      <c r="H124" s="582"/>
      <c r="I124" s="580"/>
      <c r="J124" s="580"/>
      <c r="K124" s="582"/>
      <c r="L124" s="582"/>
      <c r="M124" s="582"/>
      <c r="N124" s="580"/>
      <c r="O124" s="580"/>
      <c r="P124" s="582"/>
      <c r="Q124" s="582"/>
      <c r="R124" s="580"/>
      <c r="S124" s="580"/>
      <c r="T124" s="580"/>
      <c r="U124" s="580"/>
      <c r="V124" s="58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tabColor theme="5" tint="0.59999389629810485"/>
  </sheetPr>
  <dimension ref="A1:H27"/>
  <sheetViews>
    <sheetView showGridLines="0" showZeros="0" view="pageBreakPreview" zoomScaleNormal="70" zoomScaleSheetLayoutView="100" workbookViewId="0">
      <selection activeCell="B16" sqref="B16"/>
    </sheetView>
  </sheetViews>
  <sheetFormatPr defaultColWidth="9" defaultRowHeight="15"/>
  <cols>
    <col min="1" max="1" width="33.375" style="27" customWidth="1"/>
    <col min="2" max="2" width="9" style="27"/>
    <col min="3" max="3" width="11.125" style="27" customWidth="1"/>
    <col min="4" max="4" width="10.625" style="165" customWidth="1"/>
    <col min="5" max="5" width="10.125" style="165" customWidth="1"/>
    <col min="6" max="6" width="13.25" style="165" customWidth="1"/>
    <col min="7" max="7" width="8.625" style="165" customWidth="1"/>
    <col min="8" max="8" width="9.125" style="27" customWidth="1"/>
    <col min="9" max="16384" width="9" style="27"/>
  </cols>
  <sheetData>
    <row r="1" spans="1:8" ht="18">
      <c r="A1" s="618" t="s">
        <v>1167</v>
      </c>
      <c r="B1" s="618"/>
      <c r="C1" s="618"/>
      <c r="D1" s="618"/>
      <c r="E1" s="618"/>
      <c r="F1" s="618"/>
      <c r="G1" s="618"/>
      <c r="H1" s="618"/>
    </row>
    <row r="2" spans="1:8" ht="15.75" customHeight="1">
      <c r="A2" s="2"/>
      <c r="B2" s="3"/>
      <c r="C2" s="3"/>
      <c r="D2" s="158"/>
      <c r="E2" s="158"/>
      <c r="F2" s="158"/>
      <c r="G2" s="158"/>
      <c r="H2" s="3"/>
    </row>
    <row r="3" spans="1:8" ht="15.75">
      <c r="A3" s="619" t="s">
        <v>422</v>
      </c>
      <c r="B3" s="619"/>
      <c r="C3" s="619"/>
      <c r="D3" s="619"/>
      <c r="E3" s="619"/>
      <c r="F3" s="619"/>
      <c r="G3" s="619"/>
      <c r="H3" s="619"/>
    </row>
    <row r="4" spans="1:8" ht="15.75">
      <c r="A4" s="619" t="s">
        <v>755</v>
      </c>
      <c r="B4" s="619"/>
      <c r="C4" s="619"/>
      <c r="D4" s="619"/>
      <c r="E4" s="619"/>
      <c r="F4" s="619"/>
      <c r="G4" s="619"/>
      <c r="H4" s="619"/>
    </row>
    <row r="5" spans="1:8" ht="15.75" customHeight="1">
      <c r="A5" s="5"/>
      <c r="B5" s="5"/>
      <c r="C5" s="5"/>
      <c r="D5" s="159"/>
      <c r="E5" s="159"/>
      <c r="F5" s="159"/>
      <c r="G5" s="159"/>
      <c r="H5" s="5"/>
    </row>
    <row r="6" spans="1:8" ht="15.75" customHeight="1">
      <c r="A6" s="42"/>
      <c r="B6" s="43"/>
      <c r="C6" s="43" t="s">
        <v>423</v>
      </c>
      <c r="D6" s="160" t="s">
        <v>424</v>
      </c>
      <c r="E6" s="160"/>
      <c r="F6" s="160" t="s">
        <v>321</v>
      </c>
      <c r="G6" s="160" t="s">
        <v>425</v>
      </c>
      <c r="H6" s="43" t="s">
        <v>426</v>
      </c>
    </row>
    <row r="7" spans="1:8" ht="15.75" customHeight="1">
      <c r="A7" s="44"/>
      <c r="B7" s="45" t="s">
        <v>332</v>
      </c>
      <c r="C7" s="45" t="s">
        <v>332</v>
      </c>
      <c r="D7" s="161" t="s">
        <v>332</v>
      </c>
      <c r="E7" s="161" t="s">
        <v>335</v>
      </c>
      <c r="F7" s="161" t="s">
        <v>315</v>
      </c>
      <c r="G7" s="161" t="s">
        <v>427</v>
      </c>
      <c r="H7" s="45" t="s">
        <v>428</v>
      </c>
    </row>
    <row r="8" spans="1:8" ht="15" customHeight="1">
      <c r="A8" s="8" t="s">
        <v>429</v>
      </c>
      <c r="B8" s="123">
        <f>+GETPIVOTDATA(" Old Prof avg",'Averages Pivot Table'!$A$3,"Category",1,"Category2","Four-Year")</f>
        <v>115409.27465911765</v>
      </c>
      <c r="C8" s="123">
        <f>+GETPIVOTDATA(" Old Asc. avg",'Averages Pivot Table'!$A$3,"Category",1,"Category2","Four-Year")</f>
        <v>79485.373303937406</v>
      </c>
      <c r="D8" s="162">
        <f>+GETPIVOTDATA(" Old Ast. avg",'Averages Pivot Table'!$A$3,"Category",1,"Category2","Four-Year")</f>
        <v>68490.39231876297</v>
      </c>
      <c r="E8" s="162">
        <f>+GETPIVOTDATA(" Old Inst. avg",'Averages Pivot Table'!$A$3,"Category",1,"Category2","Four-Year")</f>
        <v>45440.397388325277</v>
      </c>
      <c r="F8" s="162">
        <f>+GETPIVOTDATA(" Old Undesg. avg",'Averages Pivot Table'!$A$3,"Category",1,"Category2","Four-Year")</f>
        <v>53402.96867845676</v>
      </c>
      <c r="G8" s="162">
        <f>+GETPIVOTDATA(" Old Single Rnk avg",'Averages Pivot Table'!$A$3,"Category",1,"Category2","Four-Year")</f>
        <v>0</v>
      </c>
      <c r="H8" s="123">
        <f>+GETPIVOTDATA(" Old All Ranks avg",'Averages Pivot Table'!$A$3,"Category",1,"Category2","Four-Year")</f>
        <v>84009.036482834694</v>
      </c>
    </row>
    <row r="9" spans="1:8" ht="15" customHeight="1">
      <c r="A9" s="8" t="s">
        <v>430</v>
      </c>
      <c r="B9" s="121">
        <f>+GETPIVOTDATA(" Old Prof avg",'Averages Pivot Table'!$A$3,"Category",2,"Category2","Four-Year")</f>
        <v>109113.51517165861</v>
      </c>
      <c r="C9" s="121">
        <f>+GETPIVOTDATA(" Old Asc. avg",'Averages Pivot Table'!$A$3,"Category",2,"Category2","Four-Year")</f>
        <v>77884.21142560782</v>
      </c>
      <c r="D9" s="163">
        <f>+GETPIVOTDATA(" Old Ast. avg",'Averages Pivot Table'!$A$3,"Category",2,"Category2","Four-Year")</f>
        <v>65404.056965130876</v>
      </c>
      <c r="E9" s="163">
        <f>+GETPIVOTDATA(" Old Inst. avg",'Averages Pivot Table'!$A$3,"Category",2,"Category2","Four-Year")</f>
        <v>44019.937567883921</v>
      </c>
      <c r="F9" s="163">
        <f>+GETPIVOTDATA(" Old Undesg. avg",'Averages Pivot Table'!$A$3,"Category",2,"Category2","Four-Year")</f>
        <v>49321.873296441365</v>
      </c>
      <c r="G9" s="163">
        <f>+GETPIVOTDATA(" Old Single Rnk avg",'Averages Pivot Table'!$A$3,"Category",2,"Category2","Four-Year")</f>
        <v>0</v>
      </c>
      <c r="H9" s="121">
        <f>+GETPIVOTDATA(" Old All Ranks avg",'Averages Pivot Table'!$A$3,"Category",2,"Category2","Four-Year")</f>
        <v>75982.479552900986</v>
      </c>
    </row>
    <row r="10" spans="1:8" ht="15" customHeight="1">
      <c r="A10" s="8" t="s">
        <v>431</v>
      </c>
      <c r="B10" s="121">
        <f>+GETPIVOTDATA(" Old Prof avg",'Averages Pivot Table'!$A$3,"Category",3,"Category2","Four-Year")</f>
        <v>83427.700555111194</v>
      </c>
      <c r="C10" s="121">
        <f>+GETPIVOTDATA(" Old Asc. avg",'Averages Pivot Table'!$A$3,"Category",3,"Category2","Four-Year")</f>
        <v>67393.498990695924</v>
      </c>
      <c r="D10" s="163">
        <f>+GETPIVOTDATA(" Old Ast. avg",'Averages Pivot Table'!$A$3,"Category",3,"Category2","Four-Year")</f>
        <v>57244.093087563822</v>
      </c>
      <c r="E10" s="163">
        <f>+GETPIVOTDATA(" Old Inst. avg",'Averages Pivot Table'!$A$3,"Category",3,"Category2","Four-Year")</f>
        <v>43444.315383322217</v>
      </c>
      <c r="F10" s="163">
        <f>+GETPIVOTDATA(" Old Undesg. avg",'Averages Pivot Table'!$A$3,"Category",3,"Category2","Four-Year")</f>
        <v>46994.278014894109</v>
      </c>
      <c r="G10" s="163">
        <f>+GETPIVOTDATA(" Old Single Rnk avg",'Averages Pivot Table'!$A$3,"Category",3,"Category2","Four-Year")</f>
        <v>0</v>
      </c>
      <c r="H10" s="121">
        <f>+GETPIVOTDATA(" Old All Ranks avg",'Averages Pivot Table'!$A$3,"Category",3,"Category2","Four-Year")</f>
        <v>63167.617887218912</v>
      </c>
    </row>
    <row r="11" spans="1:8" ht="15" customHeight="1">
      <c r="A11" s="8" t="s">
        <v>432</v>
      </c>
      <c r="B11" s="121">
        <f>+GETPIVOTDATA(" Old Prof avg",'Averages Pivot Table'!$A$3,"Category",4,"Category2","Four-Year")</f>
        <v>80549.875066261899</v>
      </c>
      <c r="C11" s="121">
        <f>+GETPIVOTDATA(" Old Asc. avg",'Averages Pivot Table'!$A$3,"Category",4,"Category2","Four-Year")</f>
        <v>65608.194341766502</v>
      </c>
      <c r="D11" s="163">
        <f>+GETPIVOTDATA(" Old Ast. avg",'Averages Pivot Table'!$A$3,"Category",4,"Category2","Four-Year")</f>
        <v>56003.641890110433</v>
      </c>
      <c r="E11" s="163">
        <f>+GETPIVOTDATA(" Old Inst. avg",'Averages Pivot Table'!$A$3,"Category",4,"Category2","Four-Year")</f>
        <v>43651.311244364479</v>
      </c>
      <c r="F11" s="163">
        <f>+GETPIVOTDATA(" Old Undesg. avg",'Averages Pivot Table'!$A$3,"Category",4,"Category2","Four-Year")</f>
        <v>45733.672289952905</v>
      </c>
      <c r="G11" s="163">
        <f>+GETPIVOTDATA(" Old Single Rnk avg",'Averages Pivot Table'!$A$3,"Category",4,"Category2","Four-Year")</f>
        <v>0</v>
      </c>
      <c r="H11" s="121">
        <f>+GETPIVOTDATA(" Old All Ranks avg",'Averages Pivot Table'!$A$3,"Category",4,"Category2","Four-Year")</f>
        <v>61660.461744727807</v>
      </c>
    </row>
    <row r="12" spans="1:8" ht="15" customHeight="1">
      <c r="A12" s="8" t="s">
        <v>433</v>
      </c>
      <c r="B12" s="121">
        <f>+GETPIVOTDATA(" Old Prof avg",'Averages Pivot Table'!$A$3,"Category",5,"Category2","Four-Year")</f>
        <v>76218.305252094709</v>
      </c>
      <c r="C12" s="121">
        <f>+GETPIVOTDATA(" Old Asc. avg",'Averages Pivot Table'!$A$3,"Category",5,"Category2","Four-Year")</f>
        <v>63613.84803003096</v>
      </c>
      <c r="D12" s="163">
        <f>+GETPIVOTDATA(" Old Ast. avg",'Averages Pivot Table'!$A$3,"Category",5,"Category2","Four-Year")</f>
        <v>53399.036274798498</v>
      </c>
      <c r="E12" s="163">
        <f>+GETPIVOTDATA(" Old Inst. avg",'Averages Pivot Table'!$A$3,"Category",5,"Category2","Four-Year")</f>
        <v>44034.440075744678</v>
      </c>
      <c r="F12" s="163">
        <f>+GETPIVOTDATA(" Old Undesg. avg",'Averages Pivot Table'!$A$3,"Category",5,"Category2","Four-Year")</f>
        <v>43427.635491689005</v>
      </c>
      <c r="G12" s="163">
        <f>+GETPIVOTDATA(" Old Single Rnk avg",'Averages Pivot Table'!$A$3,"Category",5,"Category2","Four-Year")</f>
        <v>0</v>
      </c>
      <c r="H12" s="121">
        <f>+GETPIVOTDATA(" Old All Ranks avg",'Averages Pivot Table'!$A$3,"Category",5,"Category2","Four-Year")</f>
        <v>58640.492704222183</v>
      </c>
    </row>
    <row r="13" spans="1:8" ht="15" customHeight="1">
      <c r="A13" s="8" t="s">
        <v>434</v>
      </c>
      <c r="B13" s="121">
        <f>+GETPIVOTDATA(" Old Prof avg",'Averages Pivot Table'!$A$3,"Category",6,"Category2","Four-Year")</f>
        <v>76557.96033903744</v>
      </c>
      <c r="C13" s="121">
        <f>+GETPIVOTDATA(" Old Asc. avg",'Averages Pivot Table'!$A$3,"Category",6,"Category2","Four-Year")</f>
        <v>61401.216242935538</v>
      </c>
      <c r="D13" s="163">
        <f>+GETPIVOTDATA(" Old Ast. avg",'Averages Pivot Table'!$A$3,"Category",6,"Category2","Four-Year")</f>
        <v>52435.679691513287</v>
      </c>
      <c r="E13" s="163">
        <f>+GETPIVOTDATA(" Old Inst. avg",'Averages Pivot Table'!$A$3,"Category",6,"Category2","Four-Year")</f>
        <v>42029.943120763717</v>
      </c>
      <c r="F13" s="163">
        <f>+GETPIVOTDATA(" Old Undesg. avg",'Averages Pivot Table'!$A$3,"Category",6,"Category2","Four-Year")</f>
        <v>49577.429475144512</v>
      </c>
      <c r="G13" s="163">
        <f>+GETPIVOTDATA(" Old Single Rnk avg",'Averages Pivot Table'!$A$3,"Category",6,"Category2","Four-Year")</f>
        <v>0</v>
      </c>
      <c r="H13" s="121">
        <f>+GETPIVOTDATA(" Old All Ranks avg",'Averages Pivot Table'!$A$3,"Category",6,"Category2","Four-Year")</f>
        <v>57755.258250489518</v>
      </c>
    </row>
    <row r="14" spans="1:8" ht="15" customHeight="1">
      <c r="A14" s="188" t="s">
        <v>435</v>
      </c>
      <c r="B14" s="121">
        <f>+GETPIVOTDATA(" Old Prof avg",'Averages Pivot Table'!$A$3,"Category2","Four-Year")</f>
        <v>102686.2313987228</v>
      </c>
      <c r="C14" s="121">
        <f>+GETPIVOTDATA(" Old Asc. avg",'Averages Pivot Table'!$A$3,"Category2","Four-Year")</f>
        <v>73705.508191769768</v>
      </c>
      <c r="D14" s="163">
        <f>+GETPIVOTDATA(" Old Ast. avg",'Averages Pivot Table'!$A$3,"Category2","Four-Year")</f>
        <v>62023.818978570336</v>
      </c>
      <c r="E14" s="163">
        <f>+GETPIVOTDATA(" Old Inst. avg",'Averages Pivot Table'!$A$3,"Category2","Four-Year")</f>
        <v>44173.296970433912</v>
      </c>
      <c r="F14" s="163">
        <f>+GETPIVOTDATA(" Old Undesg. avg",'Averages Pivot Table'!$A$3,"Category2","Four-Year")</f>
        <v>49836.723308499582</v>
      </c>
      <c r="G14" s="163">
        <f>+GETPIVOTDATA(" Old Single Rnk avg",'Averages Pivot Table'!$A$3,"Category2","Four-Year")</f>
        <v>0</v>
      </c>
      <c r="H14" s="121">
        <f>+GETPIVOTDATA(" Old All Ranks avg",'Averages Pivot Table'!$A$3,"Category2","Four-Year")</f>
        <v>73458.825806119945</v>
      </c>
    </row>
    <row r="15" spans="1:8" ht="15" customHeight="1">
      <c r="A15" s="8"/>
      <c r="B15" s="121"/>
      <c r="C15" s="121"/>
      <c r="D15" s="163"/>
      <c r="E15" s="163"/>
      <c r="F15" s="163"/>
      <c r="G15" s="163"/>
      <c r="H15" s="121"/>
    </row>
    <row r="16" spans="1:8" ht="15" customHeight="1">
      <c r="A16" s="8" t="s">
        <v>305</v>
      </c>
      <c r="B16" s="121">
        <f>+GETPIVOTDATA(" Old Prof avg",'Averages Pivot Table'!$A$3,"Category",7,"Category2","Two-Year")</f>
        <v>64399.885801052638</v>
      </c>
      <c r="C16" s="121">
        <f>+GETPIVOTDATA(" Old Asc. avg",'Averages Pivot Table'!$A$3,"Category",7,"Category2","Two-Year")</f>
        <v>52622.779724752472</v>
      </c>
      <c r="D16" s="163">
        <f>+GETPIVOTDATA(" Old Ast. avg",'Averages Pivot Table'!$A$3,"Category",7,"Category2","Two-Year")</f>
        <v>45570.456160747664</v>
      </c>
      <c r="E16" s="163">
        <f>+GETPIVOTDATA(" Old Inst. avg",'Averages Pivot Table'!$A$3,"Category",7,"Category2","Two-Year")</f>
        <v>48075.226877602523</v>
      </c>
      <c r="F16" s="163">
        <f>+GETPIVOTDATA(" Old Undesg. avg",'Averages Pivot Table'!$A$3,"Category",7,"Category2","Two-Year")</f>
        <v>39352.147199999999</v>
      </c>
      <c r="G16" s="163">
        <f>+GETPIVOTDATA(" Old Single Rnk avg",'Averages Pivot Table'!$A$3,"Category",7,"Category2","Two-Year")</f>
        <v>57236.452393288586</v>
      </c>
      <c r="H16" s="121">
        <f>+GETPIVOTDATA(" Old All Ranks avg",'Averages Pivot Table'!$A$3,"Category",7,"Category2","Two-Year")</f>
        <v>54175.924906059598</v>
      </c>
    </row>
    <row r="17" spans="1:8" ht="15" customHeight="1">
      <c r="A17" s="8" t="s">
        <v>436</v>
      </c>
      <c r="B17" s="121">
        <f>+GETPIVOTDATA(" Old Prof avg",'Averages Pivot Table'!$A$3,"Category",8,"Category2","Two-Year")</f>
        <v>69471.411394867435</v>
      </c>
      <c r="C17" s="121">
        <f>+GETPIVOTDATA(" Old Asc. avg",'Averages Pivot Table'!$A$3,"Category",8,"Category2","Two-Year")</f>
        <v>56375.27559386778</v>
      </c>
      <c r="D17" s="163">
        <f>+GETPIVOTDATA(" Old Ast. avg",'Averages Pivot Table'!$A$3,"Category",8,"Category2","Two-Year")</f>
        <v>51495.169257418216</v>
      </c>
      <c r="E17" s="163">
        <f>+GETPIVOTDATA(" Old Inst. avg",'Averages Pivot Table'!$A$3,"Category",8,"Category2","Two-Year")</f>
        <v>45033.174531765573</v>
      </c>
      <c r="F17" s="163">
        <f>+GETPIVOTDATA(" Old Undesg. avg",'Averages Pivot Table'!$A$3,"Category",8,"Category2","Two-Year")</f>
        <v>46145.923947514908</v>
      </c>
      <c r="G17" s="163">
        <f>+GETPIVOTDATA(" Old Single Rnk avg",'Averages Pivot Table'!$A$3,"Category",8,"Category2","Two-Year")</f>
        <v>52082.442894326246</v>
      </c>
      <c r="H17" s="121">
        <f>+GETPIVOTDATA(" Old All Ranks avg",'Averages Pivot Table'!$A$3,"Category",8,"Category2","Two-Year")</f>
        <v>53785.728975032594</v>
      </c>
    </row>
    <row r="18" spans="1:8" ht="15" customHeight="1">
      <c r="A18" s="8" t="s">
        <v>437</v>
      </c>
      <c r="B18" s="121">
        <f>+GETPIVOTDATA(" Old Prof avg",'Averages Pivot Table'!$A$3,"Category",9,"Category2","Two-Year")</f>
        <v>62949.564466431664</v>
      </c>
      <c r="C18" s="121">
        <f>+GETPIVOTDATA(" Old Asc. avg",'Averages Pivot Table'!$A$3,"Category",9,"Category2","Two-Year")</f>
        <v>51425.405268907074</v>
      </c>
      <c r="D18" s="163">
        <f>+GETPIVOTDATA(" Old Ast. avg",'Averages Pivot Table'!$A$3,"Category",9,"Category2","Two-Year")</f>
        <v>46821.797334909716</v>
      </c>
      <c r="E18" s="163">
        <f>+GETPIVOTDATA(" Old Inst. avg",'Averages Pivot Table'!$A$3,"Category",9,"Category2","Two-Year")</f>
        <v>39578.267232676058</v>
      </c>
      <c r="F18" s="163">
        <f>+GETPIVOTDATA(" Old Undesg. avg",'Averages Pivot Table'!$A$3,"Category",9,"Category2","Two-Year")</f>
        <v>45953.639146792848</v>
      </c>
      <c r="G18" s="163">
        <f>+GETPIVOTDATA(" Old Single Rnk avg",'Averages Pivot Table'!$A$3,"Category",9,"Category2","Two-Year")</f>
        <v>49732.917677513957</v>
      </c>
      <c r="H18" s="121">
        <f>+GETPIVOTDATA(" Old All Ranks avg",'Averages Pivot Table'!$A$3,"Category",9,"Category2","Two-Year")</f>
        <v>49354.562347030609</v>
      </c>
    </row>
    <row r="19" spans="1:8" ht="15" customHeight="1">
      <c r="A19" s="8" t="s">
        <v>306</v>
      </c>
      <c r="B19" s="121">
        <f>+GETPIVOTDATA(" Old Prof avg",'Averages Pivot Table'!$A$3,"Category",10,"Category2","Two-Year")</f>
        <v>61274.082353797472</v>
      </c>
      <c r="C19" s="121">
        <f>+GETPIVOTDATA(" Old Asc. avg",'Averages Pivot Table'!$A$3,"Category",10,"Category2","Two-Year")</f>
        <v>52006.769481230767</v>
      </c>
      <c r="D19" s="163">
        <f>+GETPIVOTDATA(" Old Ast. avg",'Averages Pivot Table'!$A$3,"Category",10,"Category2","Two-Year")</f>
        <v>44445.823351869156</v>
      </c>
      <c r="E19" s="163">
        <f>+GETPIVOTDATA(" Old Inst. avg",'Averages Pivot Table'!$A$3,"Category",10,"Category2","Two-Year")</f>
        <v>39636.796635019455</v>
      </c>
      <c r="F19" s="163">
        <f>+GETPIVOTDATA(" Old Undesg. avg",'Averages Pivot Table'!$A$3,"Category",10,"Category2","Two-Year")</f>
        <v>41310.810089940831</v>
      </c>
      <c r="G19" s="163">
        <f>+GETPIVOTDATA(" Old Single Rnk avg",'Averages Pivot Table'!$A$3,"Category",10,"Category2","Two-Year")</f>
        <v>45671.444712303419</v>
      </c>
      <c r="H19" s="121">
        <f>+GETPIVOTDATA(" Old All Ranks avg",'Averages Pivot Table'!$A$3,"Category",10,"Category2","Two-Year")</f>
        <v>45876.164282673271</v>
      </c>
    </row>
    <row r="20" spans="1:8" ht="15" customHeight="1">
      <c r="A20" s="188" t="s">
        <v>307</v>
      </c>
      <c r="B20" s="121">
        <f>+GETPIVOTDATA(" Old Prof avg",'Averages Pivot Table'!$A$3,"Category2","Two-Year")</f>
        <v>66960.437371678941</v>
      </c>
      <c r="C20" s="121">
        <f>+GETPIVOTDATA(" Old Asc. avg",'Averages Pivot Table'!$A$3,"Category2","Two-Year")</f>
        <v>55023.394112793547</v>
      </c>
      <c r="D20" s="163">
        <f>+GETPIVOTDATA(" Old Ast. avg",'Averages Pivot Table'!$A$3,"Category2","Two-Year")</f>
        <v>49465.233946624168</v>
      </c>
      <c r="E20" s="163">
        <f>+GETPIVOTDATA(" Old Inst. avg",'Averages Pivot Table'!$A$3,"Category2","Two-Year")</f>
        <v>43260.648410024398</v>
      </c>
      <c r="F20" s="163">
        <f>+GETPIVOTDATA(" Old Undesg. avg",'Averages Pivot Table'!$A$3,"Category2","Two-Year")</f>
        <v>45672.585506440999</v>
      </c>
      <c r="G20" s="163">
        <f>+GETPIVOTDATA(" Old Single Rnk avg",'Averages Pivot Table'!$A$3,"Category2","Two-Year")</f>
        <v>50788.601742257299</v>
      </c>
      <c r="H20" s="121">
        <f>+GETPIVOTDATA(" Old All Ranks avg",'Averages Pivot Table'!$A$3,"Category2","Two-Year")</f>
        <v>51671.338241047022</v>
      </c>
    </row>
    <row r="21" spans="1:8" ht="15" customHeight="1">
      <c r="A21" s="8"/>
      <c r="B21" s="121"/>
      <c r="C21" s="121"/>
      <c r="D21" s="163"/>
      <c r="E21" s="163"/>
      <c r="F21" s="163"/>
      <c r="G21" s="163"/>
      <c r="H21" s="121"/>
    </row>
    <row r="22" spans="1:8" ht="15" customHeight="1">
      <c r="A22" s="8" t="s">
        <v>239</v>
      </c>
      <c r="B22" s="121">
        <f>+GETPIVOTDATA(" Old Prof avg",'Averages Pivot Table'!$A$3,"Category",12,"Category2","Technical Institutes")</f>
        <v>62655.574644444445</v>
      </c>
      <c r="C22" s="121">
        <f>+GETPIVOTDATA(" Old Asc. avg",'Averages Pivot Table'!$A$3,"Category",12,"Category2","Technical Institutes")</f>
        <v>50449.382593939394</v>
      </c>
      <c r="D22" s="163">
        <f>+GETPIVOTDATA(" Old Ast. avg",'Averages Pivot Table'!$A$3,"Category",12,"Category2","Technical Institutes")</f>
        <v>43874.66367894737</v>
      </c>
      <c r="E22" s="163">
        <f>+GETPIVOTDATA(" Old Inst. avg",'Averages Pivot Table'!$A$3,"Category",12,"Category2","Technical Institutes")</f>
        <v>40279.155514285711</v>
      </c>
      <c r="F22" s="163">
        <f>+GETPIVOTDATA(" Old Undesg. avg",'Averages Pivot Table'!$A$3,"Category",12,"Category2","Technical Institutes")</f>
        <v>0</v>
      </c>
      <c r="G22" s="163">
        <f>+GETPIVOTDATA(" Old Single Rnk avg",'Averages Pivot Table'!$A$3,"Category",12,"Category2","Technical Institutes")</f>
        <v>45960.008809042774</v>
      </c>
      <c r="H22" s="121">
        <f>+GETPIVOTDATA(" Old All Ranks avg",'Averages Pivot Table'!$A$3,"Category",12,"Category2","Technical Institutes")</f>
        <v>45758.964140479758</v>
      </c>
    </row>
    <row r="23" spans="1:8" ht="15" customHeight="1">
      <c r="A23" s="8" t="s">
        <v>240</v>
      </c>
      <c r="B23" s="121">
        <f>+GETPIVOTDATA(" Old Prof avg",'Averages Pivot Table'!$A$3,"Category",13,"Category2","Technical Institutes")</f>
        <v>0</v>
      </c>
      <c r="C23" s="121">
        <f>+GETPIVOTDATA(" Old Asc. avg",'Averages Pivot Table'!$A$3,"Category",13,"Category2","Technical Institutes")</f>
        <v>0</v>
      </c>
      <c r="D23" s="163">
        <f>+GETPIVOTDATA(" Old Ast. avg",'Averages Pivot Table'!$A$3,"Category",13,"Category2","Technical Institutes")</f>
        <v>0</v>
      </c>
      <c r="E23" s="163">
        <f>+GETPIVOTDATA(" Old Inst. avg",'Averages Pivot Table'!$A$3,"Category",13,"Category2","Technical Institutes")</f>
        <v>37978.951515000001</v>
      </c>
      <c r="F23" s="163">
        <f>+GETPIVOTDATA(" Old Undesg. avg",'Averages Pivot Table'!$A$3,"Category",13,"Category2","Technical Institutes")</f>
        <v>25000</v>
      </c>
      <c r="G23" s="163">
        <f>+GETPIVOTDATA(" Old Single Rnk avg",'Averages Pivot Table'!$A$3,"Category",13,"Category2","Technical Institutes")</f>
        <v>44357.55207526133</v>
      </c>
      <c r="H23" s="121">
        <f>+GETPIVOTDATA(" Old All Ranks avg",'Averages Pivot Table'!$A$3,"Category",13,"Category2","Technical Institutes")</f>
        <v>44171.575398780493</v>
      </c>
    </row>
    <row r="24" spans="1:8" ht="15" customHeight="1">
      <c r="A24" s="8" t="s">
        <v>241</v>
      </c>
      <c r="B24" s="121">
        <f>+GETPIVOTDATA(" Old Prof avg",'Averages Pivot Table'!$A$3,"Category",14,"Category2","Technical Institutes")</f>
        <v>0</v>
      </c>
      <c r="C24" s="121">
        <f>+GETPIVOTDATA(" Old Asc. avg",'Averages Pivot Table'!$A$3,"Category",14,"Category2","Technical Institutes")</f>
        <v>0</v>
      </c>
      <c r="D24" s="163">
        <f>+GETPIVOTDATA(" Old Ast. avg",'Averages Pivot Table'!$A$3,"Category",14,"Category2","Technical Institutes")</f>
        <v>0</v>
      </c>
      <c r="E24" s="163">
        <f>+GETPIVOTDATA(" Old Inst. avg",'Averages Pivot Table'!$A$3,"Category",14,"Category2","Technical Institutes")</f>
        <v>0</v>
      </c>
      <c r="F24" s="163">
        <f>+GETPIVOTDATA(" Old Undesg. avg",'Averages Pivot Table'!$A$3,"Category",14,"Category2","Technical Institutes")</f>
        <v>0</v>
      </c>
      <c r="G24" s="163">
        <f>+GETPIVOTDATA(" Old Single Rnk avg",'Averages Pivot Table'!$A$3,"Category",14,"Category2","Technical Institutes")</f>
        <v>40200.47929486166</v>
      </c>
      <c r="H24" s="121">
        <f>+GETPIVOTDATA(" Old All Ranks avg",'Averages Pivot Table'!$A$3,"Category",14,"Category2","Technical Institutes")</f>
        <v>40200.47929486166</v>
      </c>
    </row>
    <row r="25" spans="1:8" ht="15" customHeight="1">
      <c r="A25" s="189" t="s">
        <v>242</v>
      </c>
      <c r="B25" s="122">
        <f>+GETPIVOTDATA(" Old Prof avg",'Averages Pivot Table'!$A$3,"Category2","Technical Institutes")</f>
        <v>62655.574644444445</v>
      </c>
      <c r="C25" s="122">
        <f>+GETPIVOTDATA(" Old Asc. avg",'Averages Pivot Table'!$A$3,"Category2","Technical Institutes")</f>
        <v>50449.382593939394</v>
      </c>
      <c r="D25" s="164">
        <f>+GETPIVOTDATA(" Old Ast. avg",'Averages Pivot Table'!$A$3,"Category2","Technical Institutes")</f>
        <v>43874.66367894737</v>
      </c>
      <c r="E25" s="164">
        <f>+GETPIVOTDATA(" Old Inst. avg",'Averages Pivot Table'!$A$3,"Category2","Technical Institutes")</f>
        <v>39747.316439306356</v>
      </c>
      <c r="F25" s="164">
        <f>+GETPIVOTDATA(" Old Undesg. avg",'Averages Pivot Table'!$A$3,"Category2","Technical Institutes")</f>
        <v>25000</v>
      </c>
      <c r="G25" s="164">
        <f>+GETPIVOTDATA(" Old Single Rnk avg",'Averages Pivot Table'!$A$3,"Category2","Technical Institutes")</f>
        <v>44773.965281483164</v>
      </c>
      <c r="H25" s="122">
        <f>+GETPIVOTDATA(" Old All Ranks avg",'Averages Pivot Table'!$A$3,"Category2","Technical Institutes")</f>
        <v>44650.237449161286</v>
      </c>
    </row>
    <row r="26" spans="1:8" ht="29.25" customHeight="1">
      <c r="A26" s="620" t="s">
        <v>323</v>
      </c>
      <c r="B26" s="621"/>
      <c r="C26" s="621"/>
      <c r="D26" s="621"/>
      <c r="E26" s="621"/>
      <c r="F26" s="621"/>
      <c r="G26" s="621"/>
      <c r="H26" s="621"/>
    </row>
    <row r="27" spans="1:8">
      <c r="H27" s="244" t="s">
        <v>1166</v>
      </c>
    </row>
  </sheetData>
  <mergeCells count="4">
    <mergeCell ref="A1:H1"/>
    <mergeCell ref="A3:H3"/>
    <mergeCell ref="A4:H4"/>
    <mergeCell ref="A26:H26"/>
  </mergeCells>
  <printOptions horizontalCentered="1"/>
  <pageMargins left="0.5" right="0.5" top="1" bottom="0.75" header="0.75" footer="0.5"/>
  <pageSetup firstPageNumber="142" orientation="landscape" useFirstPageNumber="1" r:id="rId1"/>
  <headerFooter alignWithMargins="0">
    <oddHeader>&amp;R&amp;"Arial,Regular"&amp;8SREB-State Data Exchange</oddHeader>
    <oddFooter>&amp;C&amp;"Arial,Regular"&amp;10C-&amp;P</oddFooter>
  </headerFooter>
</worksheet>
</file>

<file path=xl/worksheets/sheet3.xml><?xml version="1.0" encoding="utf-8"?>
<worksheet xmlns="http://schemas.openxmlformats.org/spreadsheetml/2006/main" xmlns:r="http://schemas.openxmlformats.org/officeDocument/2006/relationships">
  <sheetPr codeName="Sheet3" enableFormatConditionsCalculation="0">
    <tabColor indexed="16"/>
  </sheetPr>
  <dimension ref="A1:S600"/>
  <sheetViews>
    <sheetView showGridLines="0" showZeros="0" view="pageBreakPreview" zoomScaleNormal="75" zoomScaleSheetLayoutView="100" workbookViewId="0">
      <selection activeCell="D27" sqref="D27"/>
    </sheetView>
  </sheetViews>
  <sheetFormatPr defaultRowHeight="15.75"/>
  <cols>
    <col min="1" max="1" width="11.625" customWidth="1"/>
    <col min="2" max="2" width="8.25" customWidth="1"/>
    <col min="3" max="3" width="6.25" customWidth="1"/>
    <col min="4" max="4" width="8.25" customWidth="1"/>
    <col min="5" max="5" width="7.625" customWidth="1"/>
    <col min="6" max="6" width="8.5" customWidth="1"/>
    <col min="7" max="7" width="7.625" customWidth="1"/>
    <col min="8" max="8" width="8.25" customWidth="1"/>
    <col min="9" max="9" width="7.625" style="197" customWidth="1"/>
    <col min="10" max="10" width="8.5" customWidth="1"/>
    <col min="11" max="11" width="7.625" customWidth="1"/>
    <col min="12" max="12" width="8.5" customWidth="1"/>
    <col min="13" max="13" width="5.625" style="197" customWidth="1"/>
    <col min="14" max="14" width="7.875" customWidth="1"/>
    <col min="15" max="15" width="7.625" style="197" customWidth="1"/>
    <col min="16" max="16" width="5" customWidth="1"/>
    <col min="17" max="17" width="9.25" style="74" bestFit="1" customWidth="1"/>
    <col min="18" max="19" width="9" style="74"/>
  </cols>
  <sheetData>
    <row r="1" spans="1:19" ht="18">
      <c r="A1" s="13" t="s">
        <v>776</v>
      </c>
      <c r="B1" s="5"/>
      <c r="C1" s="5"/>
      <c r="D1" s="5"/>
      <c r="E1" s="5"/>
      <c r="F1" s="5"/>
      <c r="G1" s="5"/>
      <c r="H1" s="5"/>
      <c r="I1" s="159"/>
      <c r="J1" s="5"/>
      <c r="K1" s="5"/>
      <c r="L1" s="5"/>
      <c r="M1" s="159"/>
      <c r="N1" s="135"/>
      <c r="O1" s="196"/>
    </row>
    <row r="2" spans="1:19" ht="15.75" customHeight="1">
      <c r="A2" s="13"/>
      <c r="B2" s="5"/>
      <c r="C2" s="5"/>
      <c r="D2" s="5"/>
      <c r="E2" s="5"/>
      <c r="F2" s="5"/>
      <c r="G2" s="5"/>
      <c r="H2" s="5"/>
      <c r="I2" s="159"/>
      <c r="J2" s="5"/>
      <c r="K2" s="5"/>
      <c r="L2" s="5" t="s">
        <v>457</v>
      </c>
      <c r="M2" s="159"/>
    </row>
    <row r="3" spans="1:19">
      <c r="A3" s="4" t="s">
        <v>438</v>
      </c>
      <c r="B3" s="5"/>
      <c r="C3" s="5"/>
      <c r="D3" s="5"/>
      <c r="E3" s="5"/>
      <c r="F3" s="5"/>
      <c r="G3" s="5"/>
      <c r="H3" s="5"/>
      <c r="I3" s="159"/>
      <c r="J3" s="5"/>
      <c r="K3" s="5"/>
      <c r="L3" s="5"/>
      <c r="M3" s="159"/>
      <c r="N3" s="135"/>
      <c r="O3" s="196"/>
    </row>
    <row r="4" spans="1:19">
      <c r="A4" s="4" t="s">
        <v>1160</v>
      </c>
      <c r="B4" s="5"/>
      <c r="C4" s="5"/>
      <c r="D4" s="5"/>
      <c r="E4" s="5"/>
      <c r="F4" s="5"/>
      <c r="G4" s="5"/>
      <c r="H4" s="5"/>
      <c r="I4" s="159"/>
      <c r="J4" s="5"/>
      <c r="K4" s="5"/>
      <c r="L4" s="5"/>
      <c r="M4" s="159"/>
      <c r="N4" s="135"/>
      <c r="O4" s="196"/>
    </row>
    <row r="5" spans="1:19" ht="15.75" customHeight="1">
      <c r="A5" s="5"/>
      <c r="B5" s="14"/>
      <c r="C5" s="5"/>
      <c r="D5" s="5"/>
      <c r="E5" s="5"/>
      <c r="F5" s="5"/>
      <c r="G5" s="5"/>
      <c r="H5" s="5"/>
      <c r="I5" s="159"/>
      <c r="J5" s="5"/>
      <c r="K5" s="5"/>
      <c r="L5" s="5"/>
      <c r="M5" s="159"/>
    </row>
    <row r="6" spans="1:19">
      <c r="A6" s="15"/>
      <c r="B6" s="18">
        <v>1</v>
      </c>
      <c r="C6" s="19"/>
      <c r="D6" s="18">
        <v>2</v>
      </c>
      <c r="E6" s="19"/>
      <c r="F6" s="18">
        <v>3</v>
      </c>
      <c r="G6" s="19"/>
      <c r="H6" s="18">
        <v>4</v>
      </c>
      <c r="I6" s="198"/>
      <c r="J6" s="18">
        <v>5</v>
      </c>
      <c r="K6" s="19"/>
      <c r="L6" s="18">
        <v>6</v>
      </c>
      <c r="M6" s="198"/>
      <c r="N6" s="124" t="s">
        <v>435</v>
      </c>
      <c r="O6" s="198"/>
      <c r="Q6" s="239" t="s">
        <v>237</v>
      </c>
      <c r="S6" s="238" t="s">
        <v>236</v>
      </c>
    </row>
    <row r="7" spans="1:19">
      <c r="A7" s="16"/>
      <c r="B7" s="7" t="s">
        <v>336</v>
      </c>
      <c r="C7" s="6" t="s">
        <v>427</v>
      </c>
      <c r="D7" s="7" t="s">
        <v>336</v>
      </c>
      <c r="E7" s="6" t="s">
        <v>427</v>
      </c>
      <c r="F7" s="7" t="s">
        <v>336</v>
      </c>
      <c r="G7" s="6" t="s">
        <v>427</v>
      </c>
      <c r="H7" s="7" t="s">
        <v>336</v>
      </c>
      <c r="I7" s="199" t="s">
        <v>427</v>
      </c>
      <c r="J7" s="7" t="s">
        <v>336</v>
      </c>
      <c r="K7" s="6" t="s">
        <v>427</v>
      </c>
      <c r="L7" s="7" t="s">
        <v>336</v>
      </c>
      <c r="M7" s="199" t="s">
        <v>427</v>
      </c>
      <c r="N7" s="125" t="s">
        <v>336</v>
      </c>
      <c r="O7" s="199" t="s">
        <v>427</v>
      </c>
      <c r="Q7" s="239"/>
    </row>
    <row r="8" spans="1:19" s="156" customFormat="1" ht="18" customHeight="1">
      <c r="A8" s="168" t="s">
        <v>456</v>
      </c>
      <c r="B8" s="169">
        <f>+GETPIVOTDATA(" New All Ranks avg",'Averages Pivot Table'!$A$3,"Category",1,"Category2","Four-Year")</f>
        <v>84691.302308609505</v>
      </c>
      <c r="C8" s="169"/>
      <c r="D8" s="169">
        <f>+GETPIVOTDATA(" New All Ranks avg",'Averages Pivot Table'!$A$3,"Category",2,"Category2","Four-Year")</f>
        <v>75916.652892789236</v>
      </c>
      <c r="E8" s="169"/>
      <c r="F8" s="169">
        <f>+GETPIVOTDATA(" New All Ranks avg",'Averages Pivot Table'!$A$3,"Category",3,"Category2","Four-Year")</f>
        <v>63725.108062828323</v>
      </c>
      <c r="G8" s="169"/>
      <c r="H8" s="169">
        <f>+GETPIVOTDATA(" New All Ranks avg",'Averages Pivot Table'!$A$3,"Category",4,"Category2","Four-Year")</f>
        <v>62091.455053801983</v>
      </c>
      <c r="I8" s="227"/>
      <c r="J8" s="169">
        <f>+GETPIVOTDATA(" New All Ranks avg",'Averages Pivot Table'!$A$3,"Category",5,"Category2","Four-Year")</f>
        <v>59024.507887206564</v>
      </c>
      <c r="K8" s="169"/>
      <c r="L8" s="169">
        <f>+GETPIVOTDATA(" New All Ranks avg",'Averages Pivot Table'!$A$3,"Category",6,"Category2","Four-Year")</f>
        <v>57514.557974258933</v>
      </c>
      <c r="M8" s="227"/>
      <c r="N8" s="170">
        <f>+GETPIVOTDATA(" New All Ranks avg",'Averages Pivot Table'!$A$3,"Category2","Four-Year")</f>
        <v>73954.52597053448</v>
      </c>
      <c r="O8" s="200"/>
      <c r="Q8" s="240">
        <f>(N8-S8)/S8</f>
        <v>6.7480001072006985E-3</v>
      </c>
      <c r="R8" s="193" t="s">
        <v>456</v>
      </c>
      <c r="S8" s="171">
        <f>+GETPIVOTDATA(" Old All Ranks avg",'Averages Pivot Table'!$A$3,"Category2","Four-Year")</f>
        <v>73458.825806119945</v>
      </c>
    </row>
    <row r="9" spans="1:19" ht="12.95" customHeight="1">
      <c r="A9" s="8"/>
      <c r="B9" s="9"/>
      <c r="C9" s="9"/>
      <c r="D9" s="9"/>
      <c r="E9" s="9"/>
      <c r="F9" s="9"/>
      <c r="G9" s="9"/>
      <c r="H9" s="9"/>
      <c r="I9" s="206"/>
      <c r="J9" s="9"/>
      <c r="K9" s="9"/>
      <c r="L9" s="9"/>
      <c r="M9" s="217"/>
      <c r="N9" s="75"/>
      <c r="O9" s="187"/>
      <c r="Q9" s="241"/>
      <c r="S9" s="78"/>
    </row>
    <row r="10" spans="1:19" ht="12.95" customHeight="1">
      <c r="A10" s="12" t="s">
        <v>439</v>
      </c>
      <c r="B10" s="129">
        <f>+GETPIVOTDATA(" New All Ranks avg",'Averages Pivot Table'!$A$3,"State","AL","Category",1,"Category2","Four-Year")</f>
        <v>81186.655495792089</v>
      </c>
      <c r="C10" s="130">
        <f>IF(B10&gt;0,(RANK(B10,B$10:B$28)),0)</f>
        <v>8</v>
      </c>
      <c r="D10" s="129">
        <f>+GETPIVOTDATA(" New All Ranks avg",'Averages Pivot Table'!$A$3,"State","AL","Category",2,"Category2","Four-Year")</f>
        <v>77123.619475907588</v>
      </c>
      <c r="E10" s="130">
        <f>IF(D10&gt;0,(RANK(D10,D$10:D$28)),0)</f>
        <v>4</v>
      </c>
      <c r="F10" s="129">
        <f>+GETPIVOTDATA(" New All Ranks avg",'Averages Pivot Table'!$A$3,"State","AL","Category",3,"Category2","Four-Year")</f>
        <v>61003.22169864428</v>
      </c>
      <c r="G10" s="130">
        <f>IF(F10&gt;0,(RANK(F10,F$10:F$28)),0)</f>
        <v>8</v>
      </c>
      <c r="H10" s="129">
        <f>+GETPIVOTDATA(" New All Ranks avg",'Averages Pivot Table'!$A$3,"State","AL","Category",4,"Category2","Four-Year")</f>
        <v>63609.936787779436</v>
      </c>
      <c r="I10" s="201">
        <f>IF(H10&gt;0,(RANK(H10,H$10:H$28)),0)</f>
        <v>7</v>
      </c>
      <c r="J10" s="129">
        <f>+GETPIVOTDATA(" New All Ranks avg",'Averages Pivot Table'!$A$3,"State","AL","Category",5,"Category2","Four-Year")</f>
        <v>56738.445081967213</v>
      </c>
      <c r="K10" s="130">
        <f>IF(J10&gt;0,(RANK(J10,J$10:J$28)),0)</f>
        <v>8</v>
      </c>
      <c r="L10" s="129">
        <f>+GETPIVOTDATA(" New All Ranks avg",'Averages Pivot Table'!$A$3,"State","AL","Category",6,"Category2","Four-Year")</f>
        <v>68725.878179069769</v>
      </c>
      <c r="M10" s="201">
        <f>IF(L10&gt;0,(RANK(L10,L$10:L$28)),0)</f>
        <v>1</v>
      </c>
      <c r="N10" s="127">
        <f>+GETPIVOTDATA(" New All Ranks avg",'Averages Pivot Table'!$A$3,"State","AL","Category2","Four-Year")</f>
        <v>72751.781656992593</v>
      </c>
      <c r="O10" s="201">
        <f>IF(N10&gt;0,(RANK(N10,N$10:N$28)),0)</f>
        <v>8</v>
      </c>
      <c r="Q10" s="241">
        <f t="shared" ref="Q10:Q28" si="0">(N10-S10)/S10</f>
        <v>1.3901262590546011E-2</v>
      </c>
      <c r="R10" s="74" t="s">
        <v>439</v>
      </c>
      <c r="S10" s="78">
        <f>+GETPIVOTDATA(" Old All Ranks avg",'Averages Pivot Table'!$A$3,"State","AL","Category2","Four-Year")</f>
        <v>71754.306204442197</v>
      </c>
    </row>
    <row r="11" spans="1:19" ht="12.95" customHeight="1">
      <c r="A11" s="12" t="s">
        <v>440</v>
      </c>
      <c r="B11" s="129">
        <f>+GETPIVOTDATA(" New All Ranks avg",'Averages Pivot Table'!$A$3,"State","ar","Category",1,"Category2","Four-Year")</f>
        <v>77922.003020168064</v>
      </c>
      <c r="C11" s="130">
        <f>IF(B11&gt;0,(RANK(B11,B$10:B$28)),0)</f>
        <v>12</v>
      </c>
      <c r="D11" s="129">
        <f>+GETPIVOTDATA(" New All Ranks avg",'Averages Pivot Table'!$A$3,"State","ar","Category",2,"Category2","Four-Year")</f>
        <v>0</v>
      </c>
      <c r="E11" s="130">
        <f>IF(D11&gt;0,(RANK(D11,D$10:D$28)),0)</f>
        <v>0</v>
      </c>
      <c r="F11" s="129">
        <f>+GETPIVOTDATA(" New All Ranks avg",'Averages Pivot Table'!$A$3,"State","ar","Category",3,"Category2","Four-Year")</f>
        <v>57765.180917686172</v>
      </c>
      <c r="G11" s="130">
        <f>IF(F11&gt;0,(RANK(F11,F$10:F$28)),0)</f>
        <v>14</v>
      </c>
      <c r="H11" s="129">
        <f>+GETPIVOTDATA(" New All Ranks avg",'Averages Pivot Table'!$A$3,"State","ar","Category",4,"Category2","Four-Year")</f>
        <v>52944.469623245619</v>
      </c>
      <c r="I11" s="201">
        <f>IF(H11&gt;0,(RANK(H11,H$10:H$28)),0)</f>
        <v>13</v>
      </c>
      <c r="J11" s="129">
        <f>+GETPIVOTDATA(" New All Ranks avg",'Averages Pivot Table'!$A$3,"State","ar","Category",5,"Category2","Four-Year")</f>
        <v>49637.593632051277</v>
      </c>
      <c r="K11" s="130">
        <f>IF(J11&gt;0,(RANK(J11,J$10:J$28)),0)</f>
        <v>10</v>
      </c>
      <c r="L11" s="129">
        <f>+GETPIVOTDATA(" New All Ranks avg",'Averages Pivot Table'!$A$3,"State","ar","Category",6,"Category2","Four-Year")</f>
        <v>52019.414833838382</v>
      </c>
      <c r="M11" s="201">
        <f>IF(L11&gt;0,(RANK(L11,L$10:L$28)),0)</f>
        <v>10</v>
      </c>
      <c r="N11" s="127">
        <f>+GETPIVOTDATA(" New All Ranks avg",'Averages Pivot Table'!$A$3,"State","ar","Category2","Four-Year")</f>
        <v>61129.79961629834</v>
      </c>
      <c r="O11" s="201">
        <f>IF(N11&gt;0,(RANK(N11,N$10:N$28)),0)</f>
        <v>16</v>
      </c>
      <c r="Q11" s="241">
        <f t="shared" si="0"/>
        <v>2.237326872365622E-2</v>
      </c>
      <c r="R11" s="74" t="s">
        <v>440</v>
      </c>
      <c r="S11" s="78">
        <f>+GETPIVOTDATA(" Old All Ranks avg",'Averages Pivot Table'!$A$3,"State","AR","Category2","Four-Year")</f>
        <v>59792.055882499313</v>
      </c>
    </row>
    <row r="12" spans="1:19" ht="12.95" customHeight="1">
      <c r="A12" s="12" t="s">
        <v>455</v>
      </c>
      <c r="B12" s="129">
        <f>+GETPIVOTDATA(" New All Ranks avg",'Averages Pivot Table'!$A$3,"State","DE","Category",1,"Category2","Four-Year")</f>
        <v>99645.742565186505</v>
      </c>
      <c r="C12" s="130">
        <f>IF(B12&gt;0,(RANK(B12,B$10:B$28)),0)</f>
        <v>2</v>
      </c>
      <c r="D12" s="129">
        <f>+GETPIVOTDATA(" New All Ranks avg",'Averages Pivot Table'!$A$3,"State","DE","Category",2,"Category2","Four-Year")</f>
        <v>0</v>
      </c>
      <c r="E12" s="130">
        <f>IF(D12&gt;0,(RANK(D12,D$10:D$28)),0)</f>
        <v>0</v>
      </c>
      <c r="F12" s="129">
        <f>+GETPIVOTDATA(" New All Ranks avg",'Averages Pivot Table'!$A$3,"State","DE","Category",3,"Category2","Four-Year")</f>
        <v>0</v>
      </c>
      <c r="G12" s="130">
        <f>IF(F12&gt;0,(RANK(F12,F$10:F$28)),0)</f>
        <v>0</v>
      </c>
      <c r="H12" s="129">
        <f>+GETPIVOTDATA(" New All Ranks avg",'Averages Pivot Table'!$A$3,"State","DE","Category",4,"Category2","Four-Year")</f>
        <v>65065.276523232322</v>
      </c>
      <c r="I12" s="201">
        <f>IF(H12&gt;0,(RANK(H12,H$10:H$28)),0)</f>
        <v>5</v>
      </c>
      <c r="J12" s="129">
        <f>+GETPIVOTDATA(" New All Ranks avg",'Averages Pivot Table'!$A$3,"State","DE","Category",5,"Category2","Four-Year")</f>
        <v>0</v>
      </c>
      <c r="K12" s="130">
        <f>IF(J12&gt;0,(RANK(J12,J$10:J$28)),0)</f>
        <v>0</v>
      </c>
      <c r="L12" s="129">
        <f>+GETPIVOTDATA(" New All Ranks avg",'Averages Pivot Table'!$A$3,"State","DE","Category",6,"Category2","Four-Year")</f>
        <v>0</v>
      </c>
      <c r="M12" s="201">
        <f>IF(L12&gt;0,(RANK(L12,L$10:L$28)),0)</f>
        <v>0</v>
      </c>
      <c r="N12" s="127">
        <f>+GETPIVOTDATA(" New All Ranks avg",'Averages Pivot Table'!$A$3,"State","DE","Category2","Four-Year")</f>
        <v>94474.343564954674</v>
      </c>
      <c r="O12" s="201">
        <f>IF(N12&gt;0,(RANK(N12,N$10:N$28)),0)</f>
        <v>1</v>
      </c>
      <c r="Q12" s="241">
        <f t="shared" si="0"/>
        <v>9.8971367214946773E-3</v>
      </c>
      <c r="R12" s="74" t="s">
        <v>455</v>
      </c>
      <c r="S12" s="78">
        <f>+GETPIVOTDATA(" Old All Ranks avg",'Averages Pivot Table'!$A$3,"State","DE","Category2","Four-Year")</f>
        <v>93548.481453917047</v>
      </c>
    </row>
    <row r="13" spans="1:19" ht="12.95" customHeight="1">
      <c r="A13" s="12" t="s">
        <v>441</v>
      </c>
      <c r="B13" s="129">
        <f>+GETPIVOTDATA(" New All Ranks avg",'Averages Pivot Table'!$A$3,"State","FL","Category",1,"Category2","Four-Year")</f>
        <v>82114.445515932341</v>
      </c>
      <c r="C13" s="130">
        <f>IF(B13&gt;0,(RANK(B13,B$10:B$28)),0)</f>
        <v>7</v>
      </c>
      <c r="D13" s="129">
        <f>+GETPIVOTDATA(" New All Ranks avg",'Averages Pivot Table'!$A$3,"State","FL","Category",2,"Category2","Four-Year")</f>
        <v>70789.5371002584</v>
      </c>
      <c r="E13" s="130">
        <f>IF(D13&gt;0,(RANK(D13,D$10:D$28)),0)</f>
        <v>6</v>
      </c>
      <c r="F13" s="129">
        <f>+GETPIVOTDATA(" New All Ranks avg",'Averages Pivot Table'!$A$3,"State","FL","Category",3,"Category2","Four-Year")</f>
        <v>66913.886719607835</v>
      </c>
      <c r="G13" s="130">
        <f>IF(F13&gt;0,(RANK(F13,F$10:F$28)),0)</f>
        <v>4</v>
      </c>
      <c r="H13" s="129">
        <f>+GETPIVOTDATA(" New All Ranks avg",'Averages Pivot Table'!$A$3,"State","FL","Category",4,"Category2","Four-Year")</f>
        <v>62745.088510991962</v>
      </c>
      <c r="I13" s="201">
        <f>IF(H13&gt;0,(RANK(H13,H$10:H$28)),0)</f>
        <v>9</v>
      </c>
      <c r="J13" s="129">
        <f>+GETPIVOTDATA(" New All Ranks avg",'Averages Pivot Table'!$A$3,"State","FL","Category",5,"Category2","Four-Year")</f>
        <v>0</v>
      </c>
      <c r="K13" s="130">
        <f>IF(J13&gt;0,(RANK(J13,J$10:J$28)),0)</f>
        <v>0</v>
      </c>
      <c r="L13" s="129">
        <f>+GETPIVOTDATA(" New All Ranks avg",'Averages Pivot Table'!$A$3,"State","FL","Category",6,"Category2","Four-Year")</f>
        <v>68274.343258591558</v>
      </c>
      <c r="M13" s="201">
        <f>IF(L13&gt;0,(RANK(L13,L$10:L$28)),0)</f>
        <v>2</v>
      </c>
      <c r="N13" s="127">
        <f>+GETPIVOTDATA(" New All Ranks avg",'Averages Pivot Table'!$A$3,"State","FL","Category2","Four-Year")</f>
        <v>78037.041880881632</v>
      </c>
      <c r="O13" s="201">
        <f>IF(N13&gt;0,(RANK(N13,N$10:N$28)),0)</f>
        <v>5</v>
      </c>
      <c r="Q13" s="241">
        <f t="shared" si="0"/>
        <v>2.2541219893413234E-2</v>
      </c>
      <c r="R13" s="74" t="s">
        <v>441</v>
      </c>
      <c r="S13" s="78">
        <f>+GETPIVOTDATA(" Old All Ranks avg",'Averages Pivot Table'!$A$3,"State","FL","Category2","Four-Year")</f>
        <v>76316.768813501709</v>
      </c>
    </row>
    <row r="14" spans="1:19" ht="12.95" customHeight="1">
      <c r="A14" s="12"/>
      <c r="B14" s="129"/>
      <c r="C14" s="130"/>
      <c r="D14" s="129"/>
      <c r="E14" s="130"/>
      <c r="F14" s="129"/>
      <c r="G14" s="130"/>
      <c r="H14" s="129"/>
      <c r="I14" s="201"/>
      <c r="J14" s="129"/>
      <c r="K14" s="130"/>
      <c r="L14" s="129"/>
      <c r="M14" s="201"/>
      <c r="N14" s="127"/>
      <c r="O14" s="201"/>
      <c r="Q14" s="241"/>
      <c r="S14" s="78"/>
    </row>
    <row r="15" spans="1:19" ht="12.95" customHeight="1">
      <c r="A15" s="12" t="s">
        <v>442</v>
      </c>
      <c r="B15" s="129">
        <f>+GETPIVOTDATA(" New All Ranks avg",'Averages Pivot Table'!$A$3,"State","GA","Category",1,"Category2","Four-Year")</f>
        <v>82834.245913112536</v>
      </c>
      <c r="C15" s="130">
        <f>IF(B15&gt;0,(RANK(B15,B$10:B$28)),0)</f>
        <v>6</v>
      </c>
      <c r="D15" s="129">
        <f>+GETPIVOTDATA(" New All Ranks avg",'Averages Pivot Table'!$A$3,"State","GA","Category",2,"Category2","Four-Year")</f>
        <v>107284.9052771282</v>
      </c>
      <c r="E15" s="130">
        <f>IF(D15&gt;0,(RANK(D15,D$10:D$28)),0)</f>
        <v>1</v>
      </c>
      <c r="F15" s="129">
        <f>+GETPIVOTDATA(" New All Ranks avg",'Averages Pivot Table'!$A$3,"State","GA","Category",3,"Category2","Four-Year")</f>
        <v>60750.07001122785</v>
      </c>
      <c r="G15" s="130">
        <f>IF(F15&gt;0,(RANK(F15,F$10:F$28)),0)</f>
        <v>9</v>
      </c>
      <c r="H15" s="129">
        <f>+GETPIVOTDATA(" New All Ranks avg",'Averages Pivot Table'!$A$3,"State","GA","Category",4,"Category2","Four-Year")</f>
        <v>59474.124227744156</v>
      </c>
      <c r="I15" s="201">
        <f>IF(H15&gt;0,(RANK(H15,H$10:H$28)),0)</f>
        <v>10</v>
      </c>
      <c r="J15" s="129">
        <f>+GETPIVOTDATA(" New All Ranks avg",'Averages Pivot Table'!$A$3,"State","GA","Category",5,"Category2","Four-Year")</f>
        <v>57331.743067307099</v>
      </c>
      <c r="K15" s="130">
        <f>IF(J15&gt;0,(RANK(J15,J$10:J$28)),0)</f>
        <v>7</v>
      </c>
      <c r="L15" s="129">
        <f>+GETPIVOTDATA(" New All Ranks avg",'Averages Pivot Table'!$A$3,"State","GA","Category",6,"Category2","Four-Year")</f>
        <v>57771.364113622047</v>
      </c>
      <c r="M15" s="201">
        <f>IF(L15&gt;0,(RANK(L15,L$10:L$28)),0)</f>
        <v>6</v>
      </c>
      <c r="N15" s="127">
        <f>+GETPIVOTDATA(" New All Ranks avg",'Averages Pivot Table'!$A$3,"State","GA","Category2","Four-Year")</f>
        <v>72774.068051609604</v>
      </c>
      <c r="O15" s="201">
        <f>IF(N15&gt;0,(RANK(N15,N$10:N$28)),0)</f>
        <v>7</v>
      </c>
      <c r="Q15" s="241">
        <f t="shared" si="0"/>
        <v>-1.9075245533190898E-4</v>
      </c>
      <c r="R15" s="74" t="s">
        <v>442</v>
      </c>
      <c r="S15" s="78">
        <f>+GETPIVOTDATA(" Old All Ranks avg",'Averages Pivot Table'!$A$3,"State","GA","Category2","Four-Year")</f>
        <v>72787.952532273717</v>
      </c>
    </row>
    <row r="16" spans="1:19" ht="12.95" customHeight="1">
      <c r="A16" s="12" t="s">
        <v>443</v>
      </c>
      <c r="B16" s="129">
        <f>+GETPIVOTDATA(" New All Ranks avg",'Averages Pivot Table'!$A$3,"State","KY","Category",1,"Category2","Four-Year")</f>
        <v>80062.521640869963</v>
      </c>
      <c r="C16" s="130">
        <f>IF(B16&gt;0,(RANK(B16,B$10:B$28)),0)</f>
        <v>10</v>
      </c>
      <c r="D16" s="129">
        <f>+GETPIVOTDATA(" New All Ranks avg",'Averages Pivot Table'!$A$3,"State","KY","Category",2,"Category2","Four-Year")</f>
        <v>0</v>
      </c>
      <c r="E16" s="130">
        <f>IF(D16&gt;0,(RANK(D16,D$10:D$28)),0)</f>
        <v>0</v>
      </c>
      <c r="F16" s="129">
        <f>+GETPIVOTDATA(" New All Ranks avg",'Averages Pivot Table'!$A$3,"State","KY","Category",3,"Category2","Four-Year")</f>
        <v>59655.037797591489</v>
      </c>
      <c r="G16" s="130">
        <f>IF(F16&gt;0,(RANK(F16,F$10:F$28)),0)</f>
        <v>11</v>
      </c>
      <c r="H16" s="129">
        <f>+GETPIVOTDATA(" New All Ranks avg",'Averages Pivot Table'!$A$3,"State","KY","Category",4,"Category2","Four-Year")</f>
        <v>62844.843185015285</v>
      </c>
      <c r="I16" s="201">
        <f>IF(H16&gt;0,(RANK(H16,H$10:H$28)),0)</f>
        <v>8</v>
      </c>
      <c r="J16" s="129">
        <f>+GETPIVOTDATA(" New All Ranks avg",'Averages Pivot Table'!$A$3,"State","KY","Category",5,"Category2","Four-Year")</f>
        <v>0</v>
      </c>
      <c r="K16" s="130">
        <f>IF(J16&gt;0,(RANK(J16,J$10:J$28)),0)</f>
        <v>0</v>
      </c>
      <c r="L16" s="129">
        <f>+GETPIVOTDATA(" New All Ranks avg",'Averages Pivot Table'!$A$3,"State","KY","Category",6,"Category2","Four-Year")</f>
        <v>0</v>
      </c>
      <c r="M16" s="201">
        <f>IF(L16&gt;0,(RANK(L16,L$10:L$28)),0)</f>
        <v>0</v>
      </c>
      <c r="N16" s="127">
        <f>+GETPIVOTDATA(" New All Ranks avg",'Averages Pivot Table'!$A$3,"State","KY","Category2","Four-Year")</f>
        <v>69042.577551673312</v>
      </c>
      <c r="O16" s="201">
        <f>IF(N16&gt;0,(RANK(N16,N$10:N$28)),0)</f>
        <v>10</v>
      </c>
      <c r="Q16" s="241">
        <f t="shared" si="0"/>
        <v>1.1452240191849195E-2</v>
      </c>
      <c r="R16" s="74" t="s">
        <v>443</v>
      </c>
      <c r="S16" s="78">
        <f>+GETPIVOTDATA(" Old All Ranks avg",'Averages Pivot Table'!$A$3,"State","KY","Category2","Four-Year")</f>
        <v>68260.838038756556</v>
      </c>
    </row>
    <row r="17" spans="1:19" ht="12.95" customHeight="1">
      <c r="A17" s="12" t="s">
        <v>444</v>
      </c>
      <c r="B17" s="129">
        <f>+GETPIVOTDATA(" New All Ranks avg",'Averages Pivot Table'!$A$3,"State","LA","Category",1,"Category2","Four-Year")</f>
        <v>81172.056250565409</v>
      </c>
      <c r="C17" s="130">
        <f>IF(B17&gt;0,(RANK(B17,B$10:B$28)),0)</f>
        <v>9</v>
      </c>
      <c r="D17" s="129">
        <f>+GETPIVOTDATA(" New All Ranks avg",'Averages Pivot Table'!$A$3,"State","LA","Category",2,"Category2","Four-Year")</f>
        <v>67301.43570905141</v>
      </c>
      <c r="E17" s="130">
        <f>IF(D17&gt;0,(RANK(D17,D$10:D$28)),0)</f>
        <v>8</v>
      </c>
      <c r="F17" s="129">
        <f>+GETPIVOTDATA(" New All Ranks avg",'Averages Pivot Table'!$A$3,"State","LA","Category",3,"Category2","Four-Year")</f>
        <v>60355.430876537219</v>
      </c>
      <c r="G17" s="130">
        <f>IF(F17&gt;0,(RANK(F17,F$10:F$28)),0)</f>
        <v>10</v>
      </c>
      <c r="H17" s="129">
        <f>+GETPIVOTDATA(" New All Ranks avg",'Averages Pivot Table'!$A$3,"State","LA","Category",4,"Category2","Four-Year")</f>
        <v>55296.592518022801</v>
      </c>
      <c r="I17" s="201">
        <f>IF(H17&gt;0,(RANK(H17,H$10:H$28)),0)</f>
        <v>11</v>
      </c>
      <c r="J17" s="129">
        <f>+GETPIVOTDATA(" New All Ranks avg",'Averages Pivot Table'!$A$3,"State","LA","Category",5,"Category2","Four-Year")</f>
        <v>0</v>
      </c>
      <c r="K17" s="130">
        <f>IF(J17&gt;0,(RANK(J17,J$10:J$28)),0)</f>
        <v>0</v>
      </c>
      <c r="L17" s="129">
        <f>+GETPIVOTDATA(" New All Ranks avg",'Averages Pivot Table'!$A$3,"State","LA","Category",6,"Category2","Four-Year")</f>
        <v>0</v>
      </c>
      <c r="M17" s="201">
        <f>IF(L17&gt;0,(RANK(L17,L$10:L$28)),0)</f>
        <v>0</v>
      </c>
      <c r="N17" s="127">
        <f>+GETPIVOTDATA(" New All Ranks avg",'Averages Pivot Table'!$A$3,"State","LA","Category2","Four-Year")</f>
        <v>65908.823999419736</v>
      </c>
      <c r="O17" s="201">
        <f>IF(N17&gt;0,(RANK(N17,N$10:N$28)),0)</f>
        <v>13</v>
      </c>
      <c r="Q17" s="241">
        <f t="shared" si="0"/>
        <v>6.6352805521902886E-3</v>
      </c>
      <c r="R17" s="74" t="s">
        <v>444</v>
      </c>
      <c r="S17" s="78">
        <f>+GETPIVOTDATA(" Old All Ranks avg",'Averages Pivot Table'!$A$3,"State","LA","Category2","Four-Year")</f>
        <v>65474.383098579077</v>
      </c>
    </row>
    <row r="18" spans="1:19" ht="12.95" customHeight="1">
      <c r="A18" s="12" t="s">
        <v>445</v>
      </c>
      <c r="B18" s="129">
        <f>+GETPIVOTDATA(" New All Ranks avg",'Averages Pivot Table'!$A$3,"State","MD","Category",1,"Category2","Four-Year")</f>
        <v>110063.9662877091</v>
      </c>
      <c r="C18" s="130">
        <f>IF(B18&gt;0,(RANK(B18,B$10:B$28)),0)</f>
        <v>1</v>
      </c>
      <c r="D18" s="129">
        <f>+GETPIVOTDATA(" New All Ranks avg",'Averages Pivot Table'!$A$3,"State","MD","Category",2,"Category2","Four-Year")</f>
        <v>86571.303540540539</v>
      </c>
      <c r="E18" s="130">
        <f>IF(D18&gt;0,(RANK(D18,D$10:D$28)),0)</f>
        <v>2</v>
      </c>
      <c r="F18" s="129">
        <f>+GETPIVOTDATA(" New All Ranks avg",'Averages Pivot Table'!$A$3,"State","MD","Category",3,"Category2","Four-Year")</f>
        <v>73478.638005117275</v>
      </c>
      <c r="G18" s="130">
        <f>IF(F18&gt;0,(RANK(F18,F$10:F$28)),0)</f>
        <v>1</v>
      </c>
      <c r="H18" s="129">
        <f>+GETPIVOTDATA(" New All Ranks avg",'Averages Pivot Table'!$A$3,"State","MD","Category",4,"Category2","Four-Year")</f>
        <v>74060.830428596644</v>
      </c>
      <c r="I18" s="201">
        <f>IF(H18&gt;0,(RANK(H18,H$10:H$28)),0)</f>
        <v>1</v>
      </c>
      <c r="J18" s="129">
        <f>+GETPIVOTDATA(" New All Ranks avg",'Averages Pivot Table'!$A$3,"State","MD","Category",5,"Category2","Four-Year")</f>
        <v>0</v>
      </c>
      <c r="K18" s="130">
        <f>IF(J18&gt;0,(RANK(J18,J$10:J$28)),0)</f>
        <v>0</v>
      </c>
      <c r="L18" s="129">
        <f>+GETPIVOTDATA(" New All Ranks avg",'Averages Pivot Table'!$A$3,"State","MD","Category",6,"Category2","Four-Year")</f>
        <v>66948.006896551728</v>
      </c>
      <c r="M18" s="201">
        <f>IF(L18&gt;0,(RANK(L18,L$10:L$28)),0)</f>
        <v>4</v>
      </c>
      <c r="N18" s="127">
        <f>+GETPIVOTDATA(" New All Ranks avg",'Averages Pivot Table'!$A$3,"State","MD","Category2","Four-Year")</f>
        <v>87322.115685592813</v>
      </c>
      <c r="O18" s="201">
        <f>IF(N18&gt;0,(RANK(N18,N$10:N$28)),0)</f>
        <v>2</v>
      </c>
      <c r="Q18" s="241">
        <f t="shared" si="0"/>
        <v>7.5942990552440429E-2</v>
      </c>
      <c r="R18" s="74" t="s">
        <v>445</v>
      </c>
      <c r="S18" s="78">
        <f>+GETPIVOTDATA(" Old All Ranks avg",'Averages Pivot Table'!$A$3,"State","MD","Category2","Four-Year")</f>
        <v>81158.682618265375</v>
      </c>
    </row>
    <row r="19" spans="1:19" ht="12.95" customHeight="1">
      <c r="A19" s="12"/>
      <c r="B19" s="129"/>
      <c r="C19" s="130"/>
      <c r="D19" s="129"/>
      <c r="E19" s="130"/>
      <c r="F19" s="129"/>
      <c r="G19" s="130"/>
      <c r="H19" s="129"/>
      <c r="I19" s="201"/>
      <c r="J19" s="129"/>
      <c r="K19" s="130"/>
      <c r="L19" s="129"/>
      <c r="M19" s="201"/>
      <c r="N19" s="127"/>
      <c r="O19" s="201"/>
      <c r="Q19" s="241"/>
      <c r="S19" s="78"/>
    </row>
    <row r="20" spans="1:19" ht="12.95" customHeight="1">
      <c r="A20" s="12" t="s">
        <v>446</v>
      </c>
      <c r="B20" s="129">
        <f>+GETPIVOTDATA(" New All Ranks avg",'Averages Pivot Table'!$A$3,"State","MS","Category",1,"Category2","Four-Year")</f>
        <v>64032.535242832259</v>
      </c>
      <c r="C20" s="130">
        <f>IF(B20&gt;0,(RANK(B20,B$10:B$28)),0)</f>
        <v>16</v>
      </c>
      <c r="D20" s="129">
        <f>+GETPIVOTDATA(" New All Ranks avg",'Averages Pivot Table'!$A$3,"State","MS","Category",2,"Category2","Four-Year")</f>
        <v>67040.908248304622</v>
      </c>
      <c r="E20" s="130">
        <f>IF(D20&gt;0,(RANK(D20,D$10:D$28)),0)</f>
        <v>9</v>
      </c>
      <c r="F20" s="129">
        <f>+GETPIVOTDATA(" New All Ranks avg",'Averages Pivot Table'!$A$3,"State","MS","Category",3,"Category2","Four-Year")</f>
        <v>0</v>
      </c>
      <c r="G20" s="130">
        <f>IF(F20&gt;0,(RANK(F20,F$10:F$28)),0)</f>
        <v>0</v>
      </c>
      <c r="H20" s="129">
        <f>+GETPIVOTDATA(" New All Ranks avg",'Averages Pivot Table'!$A$3,"State","MS","Category",4,"Category2","Four-Year")</f>
        <v>53010.426824948867</v>
      </c>
      <c r="I20" s="201">
        <f>IF(H20&gt;0,(RANK(H20,H$10:H$28)),0)</f>
        <v>12</v>
      </c>
      <c r="J20" s="129">
        <f>+GETPIVOTDATA(" New All Ranks avg",'Averages Pivot Table'!$A$3,"State","MS","Category",5,"Category2","Four-Year")</f>
        <v>49360.614268676931</v>
      </c>
      <c r="K20" s="130">
        <f>IF(J20&gt;0,(RANK(J20,J$10:J$28)),0)</f>
        <v>11</v>
      </c>
      <c r="L20" s="129">
        <f>+GETPIVOTDATA(" New All Ranks avg",'Averages Pivot Table'!$A$3,"State","MS","Category",6,"Category2","Four-Year")</f>
        <v>0</v>
      </c>
      <c r="M20" s="201">
        <f>IF(L20&gt;0,(RANK(L20,L$10:L$28)),0)</f>
        <v>0</v>
      </c>
      <c r="N20" s="127">
        <f>+GETPIVOTDATA(" New All Ranks avg",'Averages Pivot Table'!$A$3,"State","MS","Category2","Four-Year")</f>
        <v>62816.482272798901</v>
      </c>
      <c r="O20" s="201">
        <f>IF(N20&gt;0,(RANK(N20,N$10:N$28)),0)</f>
        <v>15</v>
      </c>
      <c r="Q20" s="241">
        <f t="shared" si="0"/>
        <v>4.6121396474704058E-3</v>
      </c>
      <c r="R20" s="74" t="s">
        <v>446</v>
      </c>
      <c r="S20" s="78">
        <f>+GETPIVOTDATA(" Old All Ranks avg",'Averages Pivot Table'!$A$3,"State","MS","Category2","Four-Year")</f>
        <v>62528.093971512135</v>
      </c>
    </row>
    <row r="21" spans="1:19" ht="12.95" customHeight="1">
      <c r="A21" s="12" t="s">
        <v>447</v>
      </c>
      <c r="B21" s="129">
        <f>+GETPIVOTDATA(" New All Ranks avg",'Averages Pivot Table'!$A$3,"State","NC","Category",1,"Category2","Four-Year")</f>
        <v>96744.394035960315</v>
      </c>
      <c r="C21" s="130">
        <f>IF(B21&gt;0,(RANK(B21,B$10:B$28)),0)</f>
        <v>3</v>
      </c>
      <c r="D21" s="129">
        <f>+GETPIVOTDATA(" New All Ranks avg",'Averages Pivot Table'!$A$3,"State","NC","Category",2,"Category2","Four-Year")</f>
        <v>75768.865161521258</v>
      </c>
      <c r="E21" s="130">
        <f>IF(D21&gt;0,(RANK(D21,D$10:D$28)),0)</f>
        <v>5</v>
      </c>
      <c r="F21" s="129">
        <f>+GETPIVOTDATA(" New All Ranks avg",'Averages Pivot Table'!$A$3,"State","NC","Category",3,"Category2","Four-Year")</f>
        <v>70350.753561480407</v>
      </c>
      <c r="G21" s="130">
        <f>IF(F21&gt;0,(RANK(F21,F$10:F$28)),0)</f>
        <v>2</v>
      </c>
      <c r="H21" s="129">
        <f>+GETPIVOTDATA(" New All Ranks avg",'Averages Pivot Table'!$A$3,"State","NC","Category",4,"Category2","Four-Year")</f>
        <v>68710.412558122742</v>
      </c>
      <c r="I21" s="201">
        <f>IF(H21&gt;0,(RANK(H21,H$10:H$28)),0)</f>
        <v>2</v>
      </c>
      <c r="J21" s="129">
        <f>+GETPIVOTDATA(" New All Ranks avg",'Averages Pivot Table'!$A$3,"State","NC","Category",5,"Category2","Four-Year")</f>
        <v>65902.714320238098</v>
      </c>
      <c r="K21" s="130">
        <f>IF(J21&gt;0,(RANK(J21,J$10:J$28)),0)</f>
        <v>2</v>
      </c>
      <c r="L21" s="129">
        <f>+GETPIVOTDATA(" New All Ranks avg",'Averages Pivot Table'!$A$3,"State","NC","Category",6,"Category2","Four-Year")</f>
        <v>67903.819857881128</v>
      </c>
      <c r="M21" s="201">
        <f>IF(L21&gt;0,(RANK(L21,L$10:L$28)),0)</f>
        <v>3</v>
      </c>
      <c r="N21" s="127">
        <f>+GETPIVOTDATA(" New All Ranks avg",'Averages Pivot Table'!$A$3,"State","NC","Category2","Four-Year")</f>
        <v>79332.810015933195</v>
      </c>
      <c r="O21" s="201">
        <f>IF(N21&gt;0,(RANK(N21,N$10:N$28)),0)</f>
        <v>4</v>
      </c>
      <c r="Q21" s="241">
        <f t="shared" si="0"/>
        <v>-2.5198004468371428E-3</v>
      </c>
      <c r="R21" s="74" t="s">
        <v>447</v>
      </c>
      <c r="S21" s="78">
        <f>+GETPIVOTDATA(" Old All Ranks avg",'Averages Pivot Table'!$A$3,"State","NC","Category2","Four-Year")</f>
        <v>79533.217853819646</v>
      </c>
    </row>
    <row r="22" spans="1:19" ht="12.95" customHeight="1">
      <c r="A22" s="12" t="s">
        <v>448</v>
      </c>
      <c r="B22" s="129">
        <f>+GETPIVOTDATA(" New All Ranks avg",'Averages Pivot Table'!$A$3,"State","OK","Category",1,"Category2","Four-Year")</f>
        <v>77906.17307420772</v>
      </c>
      <c r="C22" s="130">
        <f>IF(B22&gt;0,(RANK(B22,B$10:B$28)),0)</f>
        <v>13</v>
      </c>
      <c r="D22" s="129">
        <f>+GETPIVOTDATA(" New All Ranks avg",'Averages Pivot Table'!$A$3,"State","OK","Category",2,"Category2","Four-Year")</f>
        <v>0</v>
      </c>
      <c r="E22" s="130">
        <f>IF(D22&gt;0,(RANK(D22,D$10:D$28)),0)</f>
        <v>0</v>
      </c>
      <c r="F22" s="129">
        <f>+GETPIVOTDATA(" New All Ranks avg",'Averages Pivot Table'!$A$3,"State","OK","Category",3,"Category2","Four-Year")</f>
        <v>58660.915931626121</v>
      </c>
      <c r="G22" s="130">
        <f>IF(F22&gt;0,(RANK(F22,F$10:F$28)),0)</f>
        <v>13</v>
      </c>
      <c r="H22" s="129">
        <f>+GETPIVOTDATA(" New All Ranks avg",'Averages Pivot Table'!$A$3,"State","OK","Category",4,"Category2","Four-Year")</f>
        <v>0</v>
      </c>
      <c r="I22" s="201">
        <f>IF(H22&gt;0,(RANK(H22,H$10:H$28)),0)</f>
        <v>0</v>
      </c>
      <c r="J22" s="129">
        <f>+GETPIVOTDATA(" New All Ranks avg",'Averages Pivot Table'!$A$3,"State","OK","Category",5,"Category2","Four-Year")</f>
        <v>53598.031679351348</v>
      </c>
      <c r="K22" s="130">
        <f>IF(J22&gt;0,(RANK(J22,J$10:J$28)),0)</f>
        <v>9</v>
      </c>
      <c r="L22" s="129">
        <f>+GETPIVOTDATA(" New All Ranks avg",'Averages Pivot Table'!$A$3,"State","OK","Category",6,"Category2","Four-Year")</f>
        <v>47440.789301869176</v>
      </c>
      <c r="M22" s="201">
        <f>IF(L22&gt;0,(RANK(L22,L$10:L$28)),0)</f>
        <v>11</v>
      </c>
      <c r="N22" s="127">
        <f>+GETPIVOTDATA(" New All Ranks avg",'Averages Pivot Table'!$A$3,"State","OK","Category2","Four-Year")</f>
        <v>66816.984268899527</v>
      </c>
      <c r="O22" s="201">
        <f>IF(N22&gt;0,(RANK(N22,N$10:N$28)),0)</f>
        <v>12</v>
      </c>
      <c r="Q22" s="241">
        <f t="shared" si="0"/>
        <v>2.956126469168859E-3</v>
      </c>
      <c r="R22" s="74" t="s">
        <v>448</v>
      </c>
      <c r="S22" s="78">
        <f>+GETPIVOTDATA(" Old All Ranks avg",'Averages Pivot Table'!$A$3,"State","OK","Category2","Four-Year")</f>
        <v>66620.046984630986</v>
      </c>
    </row>
    <row r="23" spans="1:19" ht="12.95" customHeight="1">
      <c r="A23" s="12" t="s">
        <v>449</v>
      </c>
      <c r="B23" s="129">
        <f>+GETPIVOTDATA(" New All Ranks avg",'Averages Pivot Table'!$A$3,"State","SC","Category",1,"Category2","Four-Year")</f>
        <v>79769.244417559661</v>
      </c>
      <c r="C23" s="130">
        <f>IF(B23&gt;0,(RANK(B23,B$10:B$28)),0)</f>
        <v>11</v>
      </c>
      <c r="D23" s="129">
        <f>+GETPIVOTDATA(" New All Ranks avg",'Averages Pivot Table'!$A$3,"State","SC","Category",2,"Category2","Four-Year")</f>
        <v>0</v>
      </c>
      <c r="E23" s="130">
        <f>IF(D23&gt;0,(RANK(D23,D$10:D$28)),0)</f>
        <v>0</v>
      </c>
      <c r="F23" s="129">
        <f>+GETPIVOTDATA(" New All Ranks avg",'Averages Pivot Table'!$A$3,"State","SC","Category",3,"Category2","Four-Year")</f>
        <v>63806.403644221107</v>
      </c>
      <c r="G23" s="130">
        <f>IF(F23&gt;0,(RANK(F23,F$10:F$28)),0)</f>
        <v>6</v>
      </c>
      <c r="H23" s="129">
        <f>+GETPIVOTDATA(" New All Ranks avg",'Averages Pivot Table'!$A$3,"State","SC","Category",4,"Category2","Four-Year")</f>
        <v>68333.49647058823</v>
      </c>
      <c r="I23" s="201">
        <f>IF(H23&gt;0,(RANK(H23,H$10:H$28)),0)</f>
        <v>3</v>
      </c>
      <c r="J23" s="129">
        <f>+GETPIVOTDATA(" New All Ranks avg",'Averages Pivot Table'!$A$3,"State","SC","Category",5,"Category2","Four-Year")</f>
        <v>60257.635737696328</v>
      </c>
      <c r="K23" s="130">
        <f>IF(J23&gt;0,(RANK(J23,J$10:J$28)),0)</f>
        <v>4</v>
      </c>
      <c r="L23" s="129">
        <f>+GETPIVOTDATA(" New All Ranks avg",'Averages Pivot Table'!$A$3,"State","SC","Category",6,"Category2","Four-Year")</f>
        <v>53949.894314937759</v>
      </c>
      <c r="M23" s="201">
        <f>IF(L23&gt;0,(RANK(L23,L$10:L$28)),0)</f>
        <v>9</v>
      </c>
      <c r="N23" s="127">
        <f>+GETPIVOTDATA(" New All Ranks avg",'Averages Pivot Table'!$A$3,"State","SC","Category2","Four-Year")</f>
        <v>70294.330321588102</v>
      </c>
      <c r="O23" s="201">
        <f>IF(N23&gt;0,(RANK(N23,N$10:N$28)),0)</f>
        <v>9</v>
      </c>
      <c r="Q23" s="241">
        <f t="shared" si="0"/>
        <v>3.2449954159494182E-3</v>
      </c>
      <c r="R23" s="74" t="s">
        <v>449</v>
      </c>
      <c r="S23" s="78">
        <f>+GETPIVOTDATA(" Old All Ranks avg",'Averages Pivot Table'!$A$3,"State","SC","Category2","Four-Year")</f>
        <v>70066.963346718505</v>
      </c>
    </row>
    <row r="24" spans="1:19" ht="12.95" customHeight="1">
      <c r="A24" s="12"/>
      <c r="B24" s="129"/>
      <c r="C24" s="130"/>
      <c r="D24" s="129"/>
      <c r="E24" s="130"/>
      <c r="F24" s="129"/>
      <c r="G24" s="130"/>
      <c r="H24" s="129"/>
      <c r="I24" s="201"/>
      <c r="J24" s="129"/>
      <c r="K24" s="130"/>
      <c r="L24" s="129"/>
      <c r="M24" s="201"/>
      <c r="N24" s="127"/>
      <c r="O24" s="201"/>
      <c r="Q24" s="241"/>
      <c r="S24" s="78"/>
    </row>
    <row r="25" spans="1:19" ht="12.95" customHeight="1">
      <c r="A25" s="12" t="s">
        <v>450</v>
      </c>
      <c r="B25" s="129">
        <f>+GETPIVOTDATA(" New All Ranks avg",'Averages Pivot Table'!$A$3,"State","TN","Category",1,"Category2","Four-Year")</f>
        <v>77389.687229785515</v>
      </c>
      <c r="C25" s="130">
        <f>IF(B25&gt;0,(RANK(B25,B$10:B$28)),0)</f>
        <v>14</v>
      </c>
      <c r="D25" s="129">
        <f>+GETPIVOTDATA(" New All Ranks avg",'Averages Pivot Table'!$A$3,"State","TN","Category",2,"Category2","Four-Year")</f>
        <v>0</v>
      </c>
      <c r="E25" s="130">
        <f>IF(D25&gt;0,(RANK(D25,D$10:D$28)),0)</f>
        <v>0</v>
      </c>
      <c r="F25" s="129">
        <f>+GETPIVOTDATA(" New All Ranks avg",'Averages Pivot Table'!$A$3,"State","TN","Category",3,"Category2","Four-Year")</f>
        <v>59543.306989647062</v>
      </c>
      <c r="G25" s="130">
        <f>IF(F25&gt;0,(RANK(F25,F$10:F$28)),0)</f>
        <v>12</v>
      </c>
      <c r="H25" s="129">
        <f>+GETPIVOTDATA(" New All Ranks avg",'Averages Pivot Table'!$A$3,"State","TN","Category",4,"Category2","Four-Year")</f>
        <v>0</v>
      </c>
      <c r="I25" s="201">
        <f>IF(H25&gt;0,(RANK(H25,H$10:H$28)),0)</f>
        <v>0</v>
      </c>
      <c r="J25" s="129">
        <f>+GETPIVOTDATA(" New All Ranks avg",'Averages Pivot Table'!$A$3,"State","TN","Category",5,"Category2","Four-Year")</f>
        <v>57751.886990647479</v>
      </c>
      <c r="K25" s="130">
        <f>IF(J25&gt;0,(RANK(J25,J$10:J$28)),0)</f>
        <v>6</v>
      </c>
      <c r="L25" s="129">
        <f>+GETPIVOTDATA(" New All Ranks avg",'Averages Pivot Table'!$A$3,"State","TN","Category",6,"Category2","Four-Year")</f>
        <v>0</v>
      </c>
      <c r="M25" s="201">
        <f>IF(L25&gt;0,(RANK(L25,L$10:L$28)),0)</f>
        <v>0</v>
      </c>
      <c r="N25" s="127">
        <f>+GETPIVOTDATA(" New All Ranks avg",'Averages Pivot Table'!$A$3,"State","TN","Category2","Four-Year")</f>
        <v>67160.426279245279</v>
      </c>
      <c r="O25" s="201">
        <f>IF(N25&gt;0,(RANK(N25,N$10:N$28)),0)</f>
        <v>11</v>
      </c>
      <c r="Q25" s="241">
        <f t="shared" si="0"/>
        <v>-8.4319566660471677E-4</v>
      </c>
      <c r="R25" s="74" t="s">
        <v>450</v>
      </c>
      <c r="S25" s="78">
        <f>+GETPIVOTDATA(" Old All Ranks avg",'Averages Pivot Table'!$A$3,"State","TN","Category2","Four-Year")</f>
        <v>67217.103449595699</v>
      </c>
    </row>
    <row r="26" spans="1:19" ht="12.95" customHeight="1">
      <c r="A26" s="12" t="s">
        <v>451</v>
      </c>
      <c r="B26" s="129">
        <f>+GETPIVOTDATA(" New All Ranks avg",'Averages Pivot Table'!$A$3,"State","TX","Category",1,"Category2","Four-Year")</f>
        <v>86738.150747194028</v>
      </c>
      <c r="C26" s="130">
        <f>IF(B26&gt;0,(RANK(B26,B$10:B$28)),0)</f>
        <v>5</v>
      </c>
      <c r="D26" s="129">
        <f>+GETPIVOTDATA(" New All Ranks avg",'Averages Pivot Table'!$A$3,"State","TX","Category",2,"Category2","Four-Year")</f>
        <v>69731.238782877772</v>
      </c>
      <c r="E26" s="130">
        <f>IF(D26&gt;0,(RANK(D26,D$10:D$28)),0)</f>
        <v>7</v>
      </c>
      <c r="F26" s="129">
        <f>+GETPIVOTDATA(" New All Ranks avg",'Averages Pivot Table'!$A$3,"State","TX","Category",3,"Category2","Four-Year")</f>
        <v>64249.899436168693</v>
      </c>
      <c r="G26" s="130">
        <f>IF(F26&gt;0,(RANK(F26,F$10:F$28)),0)</f>
        <v>5</v>
      </c>
      <c r="H26" s="129">
        <f>+GETPIVOTDATA(" New All Ranks avg",'Averages Pivot Table'!$A$3,"State","TX","Category",4,"Category2","Four-Year")</f>
        <v>67554.481202539682</v>
      </c>
      <c r="I26" s="201">
        <f>IF(H26&gt;0,(RANK(H26,H$10:H$28)),0)</f>
        <v>4</v>
      </c>
      <c r="J26" s="129">
        <f>+GETPIVOTDATA(" New All Ranks avg",'Averages Pivot Table'!$A$3,"State","TX","Category",5,"Category2","Four-Year")</f>
        <v>66023.013969759457</v>
      </c>
      <c r="K26" s="130">
        <f>IF(J26&gt;0,(RANK(J26,J$10:J$28)),0)</f>
        <v>1</v>
      </c>
      <c r="L26" s="129">
        <f>+GETPIVOTDATA(" New All Ranks avg",'Averages Pivot Table'!$A$3,"State","TX","Category",6,"Category2","Four-Year")</f>
        <v>66184.392401999998</v>
      </c>
      <c r="M26" s="201">
        <f>IF(L26&gt;0,(RANK(L26,L$10:L$28)),0)</f>
        <v>5</v>
      </c>
      <c r="N26" s="127">
        <f>+GETPIVOTDATA(" New All Ranks avg",'Averages Pivot Table'!$A$3,"State","TX","Category2","Four-Year")</f>
        <v>75977.00008845485</v>
      </c>
      <c r="O26" s="201">
        <f>IF(N26&gt;0,(RANK(N26,N$10:N$28)),0)</f>
        <v>6</v>
      </c>
      <c r="Q26" s="241">
        <f t="shared" si="0"/>
        <v>-3.7271089731970531E-3</v>
      </c>
      <c r="R26" s="74" t="s">
        <v>451</v>
      </c>
      <c r="S26" s="78">
        <f>+GETPIVOTDATA(" Old All Ranks avg",'Averages Pivot Table'!$A$3,"State","TX","Category2","Four-Year")</f>
        <v>76261.234018070681</v>
      </c>
    </row>
    <row r="27" spans="1:19" ht="12.95" customHeight="1">
      <c r="A27" s="12" t="s">
        <v>452</v>
      </c>
      <c r="B27" s="129">
        <f>+GETPIVOTDATA(" New All Ranks avg",'Averages Pivot Table'!$A$3,"State","VA","Category",1,"Category2","Four-Year")</f>
        <v>90662.896214982655</v>
      </c>
      <c r="C27" s="130">
        <f>IF(B27&gt;0,(RANK(B27,B$10:B$28)),0)</f>
        <v>4</v>
      </c>
      <c r="D27" s="129">
        <f>+GETPIVOTDATA(" New All Ranks avg",'Averages Pivot Table'!$A$3,"State","VA","Category",2,"Category2","Four-Year")</f>
        <v>77444.275890813951</v>
      </c>
      <c r="E27" s="130">
        <f>IF(D27&gt;0,(RANK(D27,D$10:D$28)),0)</f>
        <v>3</v>
      </c>
      <c r="F27" s="129">
        <f>+GETPIVOTDATA(" New All Ranks avg",'Averages Pivot Table'!$A$3,"State","VA","Category",3,"Category2","Four-Year")</f>
        <v>67240.761729702135</v>
      </c>
      <c r="G27" s="130">
        <f>IF(F27&gt;0,(RANK(F27,F$10:F$28)),0)</f>
        <v>3</v>
      </c>
      <c r="H27" s="129">
        <f>+GETPIVOTDATA(" New All Ranks avg",'Averages Pivot Table'!$A$3,"State","VA","Category",4,"Category2","Four-Year")</f>
        <v>64445.783102499998</v>
      </c>
      <c r="I27" s="201">
        <f>IF(H27&gt;0,(RANK(H27,H$10:H$28)),0)</f>
        <v>6</v>
      </c>
      <c r="J27" s="129">
        <f>+GETPIVOTDATA(" New All Ranks avg",'Averages Pivot Table'!$A$3,"State","VA","Category",5,"Category2","Four-Year")</f>
        <v>64675.395548637011</v>
      </c>
      <c r="K27" s="130">
        <f>IF(J27&gt;0,(RANK(J27,J$10:J$28)),0)</f>
        <v>3</v>
      </c>
      <c r="L27" s="129">
        <f>+GETPIVOTDATA(" New All Ranks avg",'Averages Pivot Table'!$A$3,"State","VA","Category",6,"Category2","Four-Year")</f>
        <v>57569.831777777785</v>
      </c>
      <c r="M27" s="201">
        <f>IF(L27&gt;0,(RANK(L27,L$10:L$28)),0)</f>
        <v>7</v>
      </c>
      <c r="N27" s="127">
        <f>+GETPIVOTDATA(" New All Ranks avg",'Averages Pivot Table'!$A$3,"State","VA","Category2","Four-Year")</f>
        <v>80471.193759384754</v>
      </c>
      <c r="O27" s="201">
        <f>IF(N27&gt;0,(RANK(N27,N$10:N$28)),0)</f>
        <v>3</v>
      </c>
      <c r="Q27" s="241">
        <f t="shared" si="0"/>
        <v>-2.2181086155692799E-3</v>
      </c>
      <c r="R27" s="74" t="s">
        <v>452</v>
      </c>
      <c r="S27" s="78">
        <f>+GETPIVOTDATA(" Old All Ranks avg",'Averages Pivot Table'!$A$3,"State","VA","Category2","Four-Year")</f>
        <v>80650.084406453097</v>
      </c>
    </row>
    <row r="28" spans="1:19" ht="12.95" customHeight="1">
      <c r="A28" s="26" t="s">
        <v>453</v>
      </c>
      <c r="B28" s="64">
        <f>+GETPIVOTDATA(" New All Ranks avg",'Averages Pivot Table'!$A$3,"State","WV","Category",1,"Category2","Four-Year")</f>
        <v>75753.584786514504</v>
      </c>
      <c r="C28" s="65">
        <f>IF(B28&gt;0,(RANK(B28,B$10:B$28)),0)</f>
        <v>15</v>
      </c>
      <c r="D28" s="64">
        <f>+GETPIVOTDATA(" New All Ranks avg",'Averages Pivot Table'!$A$3,"State","WV","Category",2,"Category2","Four-Year")</f>
        <v>0</v>
      </c>
      <c r="E28" s="65">
        <f>IF(D28&gt;0,(RANK(D28,D$10:D$28)),0)</f>
        <v>0</v>
      </c>
      <c r="F28" s="64">
        <f>+GETPIVOTDATA(" New All Ranks avg",'Averages Pivot Table'!$A$3,"State","WV","Category",3,"Category2","Four-Year")</f>
        <v>61513.993002928873</v>
      </c>
      <c r="G28" s="65">
        <f>IF(F28&gt;0,(RANK(F28,F$10:F$28)),0)</f>
        <v>7</v>
      </c>
      <c r="H28" s="64">
        <f>+GETPIVOTDATA(" New All Ranks avg",'Averages Pivot Table'!$A$3,"State","WV","Category",4,"Category2","Four-Year")</f>
        <v>0</v>
      </c>
      <c r="I28" s="202">
        <f>IF(H28&gt;0,(RANK(H28,H$10:H$28)),0)</f>
        <v>0</v>
      </c>
      <c r="J28" s="64">
        <f>+GETPIVOTDATA(" New All Ranks avg",'Averages Pivot Table'!$A$3,"State","WV","Category",5,"Category2","Four-Year")</f>
        <v>59307.394686111104</v>
      </c>
      <c r="K28" s="65">
        <f>IF(J28&gt;0,(RANK(J28,J$10:J$28)),0)</f>
        <v>5</v>
      </c>
      <c r="L28" s="64">
        <f>+GETPIVOTDATA(" New All Ranks avg",'Averages Pivot Table'!$A$3,"State","WV","Category",6,"Category2","Four-Year")</f>
        <v>54021.619901543745</v>
      </c>
      <c r="M28" s="202">
        <f>IF(L28&gt;0,(RANK(L28,L$10:L$28)),0)</f>
        <v>8</v>
      </c>
      <c r="N28" s="128">
        <f>+GETPIVOTDATA(" New All Ranks avg",'Averages Pivot Table'!$A$3,"State","WV","Category2","Four-Year")</f>
        <v>65285.464099351499</v>
      </c>
      <c r="O28" s="202">
        <f>IF(N28&gt;0,(RANK(N28,N$10:N$28)),0)</f>
        <v>14</v>
      </c>
      <c r="Q28" s="241">
        <f t="shared" si="0"/>
        <v>5.5614553278424354E-3</v>
      </c>
      <c r="R28" s="74" t="s">
        <v>453</v>
      </c>
      <c r="S28" s="78">
        <f>+GETPIVOTDATA(" Old All Ranks avg",'Averages Pivot Table'!$A$3,"State","WV","Category2","Four-Year")</f>
        <v>64924.3900046532</v>
      </c>
    </row>
    <row r="29" spans="1:19" ht="30" customHeight="1">
      <c r="A29" s="616" t="s">
        <v>323</v>
      </c>
      <c r="B29" s="624"/>
      <c r="C29" s="624"/>
      <c r="D29" s="624"/>
      <c r="E29" s="624"/>
      <c r="F29" s="624"/>
      <c r="G29" s="624"/>
      <c r="H29" s="624"/>
      <c r="I29" s="624"/>
      <c r="J29" s="624"/>
      <c r="K29" s="624"/>
      <c r="L29" s="624"/>
      <c r="M29" s="624"/>
      <c r="N29" s="625"/>
      <c r="O29" s="625"/>
      <c r="Q29" s="239"/>
    </row>
    <row r="30" spans="1:19">
      <c r="O30" s="244" t="s">
        <v>1166</v>
      </c>
      <c r="Q30" s="239"/>
    </row>
    <row r="31" spans="1:19" ht="18">
      <c r="A31" s="618" t="s">
        <v>777</v>
      </c>
      <c r="B31" s="618"/>
      <c r="C31" s="618"/>
      <c r="D31" s="618"/>
      <c r="E31" s="618"/>
      <c r="F31" s="618"/>
      <c r="G31" s="618"/>
      <c r="H31" s="618"/>
      <c r="I31" s="618"/>
      <c r="J31" s="618"/>
      <c r="K31" s="618"/>
      <c r="L31" s="618"/>
      <c r="M31" s="618"/>
      <c r="Q31" s="239"/>
    </row>
    <row r="32" spans="1:19">
      <c r="A32" s="5"/>
      <c r="B32" s="5"/>
      <c r="C32" s="5"/>
      <c r="D32" s="5"/>
      <c r="E32" s="5"/>
      <c r="F32" s="5"/>
      <c r="G32" s="135"/>
      <c r="H32" s="135"/>
      <c r="I32" s="196"/>
      <c r="J32" s="135"/>
      <c r="K32" s="135"/>
      <c r="Q32" s="239"/>
    </row>
    <row r="33" spans="1:19">
      <c r="A33" s="619" t="s">
        <v>438</v>
      </c>
      <c r="B33" s="619"/>
      <c r="C33" s="619"/>
      <c r="D33" s="619"/>
      <c r="E33" s="619"/>
      <c r="F33" s="619"/>
      <c r="G33" s="619"/>
      <c r="H33" s="619"/>
      <c r="I33" s="619"/>
      <c r="J33" s="619"/>
      <c r="K33" s="619"/>
      <c r="L33" s="619"/>
      <c r="M33" s="619"/>
      <c r="Q33" s="239"/>
    </row>
    <row r="34" spans="1:19">
      <c r="A34" s="619" t="s">
        <v>1161</v>
      </c>
      <c r="B34" s="619"/>
      <c r="C34" s="619"/>
      <c r="D34" s="619"/>
      <c r="E34" s="619"/>
      <c r="F34" s="619"/>
      <c r="G34" s="619"/>
      <c r="H34" s="619"/>
      <c r="I34" s="619"/>
      <c r="J34" s="619"/>
      <c r="K34" s="619"/>
      <c r="L34" s="619"/>
      <c r="M34" s="619"/>
      <c r="Q34" s="239"/>
    </row>
    <row r="35" spans="1:19">
      <c r="A35" s="5"/>
      <c r="B35" s="5"/>
      <c r="C35" s="5"/>
      <c r="D35" s="5"/>
      <c r="E35" s="5"/>
      <c r="F35" s="5"/>
      <c r="G35" s="135"/>
      <c r="H35" s="135"/>
      <c r="I35" s="196"/>
      <c r="J35" s="135"/>
      <c r="K35" s="135"/>
      <c r="L35" s="126"/>
      <c r="M35" s="187"/>
      <c r="N35" s="126"/>
      <c r="O35" s="187"/>
      <c r="Q35" s="239"/>
    </row>
    <row r="36" spans="1:19" ht="24">
      <c r="A36" s="15"/>
      <c r="B36" s="154" t="s">
        <v>305</v>
      </c>
      <c r="C36" s="155"/>
      <c r="D36" s="18" t="s">
        <v>436</v>
      </c>
      <c r="E36" s="19"/>
      <c r="F36" s="18" t="s">
        <v>437</v>
      </c>
      <c r="G36" s="19"/>
      <c r="H36" s="18" t="s">
        <v>306</v>
      </c>
      <c r="I36" s="198"/>
      <c r="J36" s="124" t="s">
        <v>307</v>
      </c>
      <c r="K36" s="198"/>
      <c r="N36" s="131" t="s">
        <v>457</v>
      </c>
      <c r="O36" s="203"/>
      <c r="Q36" s="239" t="s">
        <v>237</v>
      </c>
      <c r="S36" s="74" t="s">
        <v>236</v>
      </c>
    </row>
    <row r="37" spans="1:19">
      <c r="A37" s="16"/>
      <c r="B37" s="60" t="s">
        <v>336</v>
      </c>
      <c r="C37" s="61" t="s">
        <v>427</v>
      </c>
      <c r="D37" s="60" t="s">
        <v>336</v>
      </c>
      <c r="E37" s="61" t="s">
        <v>427</v>
      </c>
      <c r="F37" s="60" t="s">
        <v>336</v>
      </c>
      <c r="G37" s="61" t="s">
        <v>427</v>
      </c>
      <c r="H37" s="60" t="s">
        <v>336</v>
      </c>
      <c r="I37" s="228" t="s">
        <v>427</v>
      </c>
      <c r="J37" s="134" t="s">
        <v>336</v>
      </c>
      <c r="K37" s="228" t="s">
        <v>427</v>
      </c>
      <c r="N37" s="133"/>
      <c r="O37" s="204"/>
      <c r="Q37" s="239"/>
    </row>
    <row r="38" spans="1:19" s="156" customFormat="1" ht="18" customHeight="1">
      <c r="A38" s="168" t="s">
        <v>456</v>
      </c>
      <c r="B38" s="172">
        <f>+GETPIVOTDATA(" New All Ranks avg",'Averages Pivot Table'!$A$3,"Category",7,"Category2","Two-Year")</f>
        <v>54861.800102206347</v>
      </c>
      <c r="C38" s="172"/>
      <c r="D38" s="172">
        <f>+GETPIVOTDATA(" New All Ranks avg",'Averages Pivot Table'!$A$3,"Category",8,"Category2","Two-Year")</f>
        <v>54093.048684692287</v>
      </c>
      <c r="E38" s="172"/>
      <c r="F38" s="172">
        <f>+GETPIVOTDATA(" New All Ranks avg",'Averages Pivot Table'!$A$3,"Category",9,"Category2","Two-Year")</f>
        <v>49168.777607690652</v>
      </c>
      <c r="G38" s="172"/>
      <c r="H38" s="172">
        <f>+GETPIVOTDATA(" New All Ranks avg",'Averages Pivot Table'!$A$3,"Category",10,"Category2","Two-Year")</f>
        <v>46014.70414731004</v>
      </c>
      <c r="I38" s="234"/>
      <c r="J38" s="611">
        <f>+GETPIVOTDATA(" New All Ranks avg",'Averages Pivot Table'!$A$3,"Category2","Two-Year")</f>
        <v>51830.606228565914</v>
      </c>
      <c r="K38" s="229"/>
      <c r="N38" s="173"/>
      <c r="O38" s="205"/>
      <c r="Q38" s="240">
        <f>(J38-S38)/S38</f>
        <v>3.082327513483502E-3</v>
      </c>
      <c r="R38" s="193" t="s">
        <v>456</v>
      </c>
      <c r="S38" s="171">
        <f>+GETPIVOTDATA(" Old All Ranks avg",'Averages Pivot Table'!$A$3,"Category2","Two-Year")</f>
        <v>51671.338241047022</v>
      </c>
    </row>
    <row r="39" spans="1:19" ht="12.95" customHeight="1">
      <c r="A39" s="12"/>
      <c r="B39" s="9"/>
      <c r="C39" s="17"/>
      <c r="D39" s="9"/>
      <c r="E39" s="17"/>
      <c r="F39" s="20"/>
      <c r="G39" s="74"/>
      <c r="H39" s="74"/>
      <c r="I39" s="230"/>
      <c r="J39" s="77"/>
      <c r="K39" s="230"/>
      <c r="Q39" s="241"/>
      <c r="S39" s="78"/>
    </row>
    <row r="40" spans="1:19" ht="12.95" customHeight="1">
      <c r="A40" s="12" t="s">
        <v>439</v>
      </c>
      <c r="B40" s="136">
        <f>+GETPIVOTDATA(" New All Ranks avg",'Averages Pivot Table'!$A$3,"State","AL","Category",7,"Category2","Two-Year")</f>
        <v>0</v>
      </c>
      <c r="C40" s="130">
        <f>IF(B40&gt;0,(RANK(B40,B$40:B$58)),0)</f>
        <v>0</v>
      </c>
      <c r="D40" s="136">
        <f>+GETPIVOTDATA(" New All Ranks avg",'Averages Pivot Table'!$A$3,"State","AL","Category",8,"Category2","Two-Year")</f>
        <v>53456.654580071176</v>
      </c>
      <c r="E40" s="130">
        <f>IF(D40&gt;0,(RANK(D40,D$40:D$58)),0)</f>
        <v>4</v>
      </c>
      <c r="F40" s="136">
        <f>+GETPIVOTDATA(" New All Ranks avg",'Averages Pivot Table'!$A$3,"State","AL","Category",9,"Category2","Two-Year")</f>
        <v>53202.086543978105</v>
      </c>
      <c r="G40" s="130">
        <f>IF(F40&gt;0,(RANK(F40,F$40:F$58)),0)</f>
        <v>3</v>
      </c>
      <c r="H40" s="144">
        <f>+GETPIVOTDATA(" New All Ranks avg",'Averages Pivot Table'!$A$3,"State","AL","Category",10,"Category2","Two-Year")</f>
        <v>52201.459242424244</v>
      </c>
      <c r="I40" s="201">
        <f>IF(H40&gt;0,(RANK(H40,H$40:H$58)),0)</f>
        <v>4</v>
      </c>
      <c r="J40" s="145">
        <f>+GETPIVOTDATA(" New All Ranks avg",'Averages Pivot Table'!$A$3,"State","AL","Category2","Two-Year")</f>
        <v>53018.942272532433</v>
      </c>
      <c r="K40" s="201">
        <f>IF(J40&gt;0,(RANK(J40,J$40:J$58)),0)</f>
        <v>6</v>
      </c>
      <c r="Q40" s="241">
        <f>(J40-S40)/S40</f>
        <v>-7.5585931916521383E-3</v>
      </c>
      <c r="R40" s="74" t="s">
        <v>439</v>
      </c>
      <c r="S40" s="78">
        <f>+GETPIVOTDATA(" Old All Ranks avg",'Averages Pivot Table'!$A$3,"State","AL","Category2","Two-Year")</f>
        <v>53422.743054463281</v>
      </c>
    </row>
    <row r="41" spans="1:19" ht="12.95" customHeight="1">
      <c r="A41" s="12" t="s">
        <v>440</v>
      </c>
      <c r="B41" s="136">
        <f>+GETPIVOTDATA(" New All Ranks avg",'Averages Pivot Table'!$A$3,"State","AR","Category",7,"Category2","Two-Year")</f>
        <v>0</v>
      </c>
      <c r="C41" s="130">
        <f>IF(B41&gt;0,(RANK(B41,B$40:B$58)),0)</f>
        <v>0</v>
      </c>
      <c r="D41" s="136">
        <f>+GETPIVOTDATA(" New All Ranks avg",'Averages Pivot Table'!$A$3,"State","AR","Category",8,"Category2","Two-Year")</f>
        <v>47404.103644444447</v>
      </c>
      <c r="E41" s="130">
        <f>IF(D41&gt;0,(RANK(D41,D$40:D$58)),0)</f>
        <v>11</v>
      </c>
      <c r="F41" s="136">
        <f>+GETPIVOTDATA(" New All Ranks avg",'Averages Pivot Table'!$A$3,"State","AR","Category",9,"Category2","Two-Year")</f>
        <v>46102.92443887324</v>
      </c>
      <c r="G41" s="130">
        <f>IF(F41&gt;0,(RANK(F41,F$40:F$58)),0)</f>
        <v>12</v>
      </c>
      <c r="H41" s="144">
        <f>+GETPIVOTDATA(" New All Ranks avg",'Averages Pivot Table'!$A$3,"State","AR","Category",10,"Category2","Two-Year")</f>
        <v>41852.148659777784</v>
      </c>
      <c r="I41" s="201">
        <f>IF(H41&gt;0,(RANK(H41,H$40:H$58)),0)</f>
        <v>16</v>
      </c>
      <c r="J41" s="145">
        <f>+GETPIVOTDATA(" New All Ranks avg",'Averages Pivot Table'!$A$3,"State","AR","Category2","Two-Year")</f>
        <v>43576.138634502102</v>
      </c>
      <c r="K41" s="201">
        <f>IF(J41&gt;0,(RANK(J41,J$40:J$58)),0)</f>
        <v>16</v>
      </c>
      <c r="Q41" s="614">
        <f>(J41-S41)/S41</f>
        <v>4.6363588285023704E-4</v>
      </c>
      <c r="R41" s="74" t="s">
        <v>440</v>
      </c>
      <c r="S41" s="78">
        <f>+GETPIVOTDATA(" Old All Ranks avg",'Averages Pivot Table'!$A$3,"State","AR","Category2","Two-Year")</f>
        <v>43555.944535703915</v>
      </c>
    </row>
    <row r="42" spans="1:19" ht="12.95" customHeight="1">
      <c r="A42" s="12" t="s">
        <v>455</v>
      </c>
      <c r="B42" s="136">
        <f>+GETPIVOTDATA(" New All Ranks avg",'Averages Pivot Table'!$A$3,"State","DE","Category",7,"Category2","Two-Year")</f>
        <v>0</v>
      </c>
      <c r="C42" s="130">
        <f>IF(B42&gt;0,(RANK(B42,B$40:B$58)),0)</f>
        <v>0</v>
      </c>
      <c r="D42" s="136">
        <f>+GETPIVOTDATA(" New All Ranks avg",'Averages Pivot Table'!$A$3,"State","DE","Category",8,"Category2","Two-Year")</f>
        <v>0</v>
      </c>
      <c r="E42" s="130">
        <f>IF(D42&gt;0,(RANK(D42,D$40:D$58)),0)</f>
        <v>0</v>
      </c>
      <c r="F42" s="136">
        <f>+GETPIVOTDATA(" New All Ranks avg",'Averages Pivot Table'!$A$3,"State","DE","Category",9,"Category2","Two-Year")</f>
        <v>63829.264999999999</v>
      </c>
      <c r="G42" s="130">
        <f>IF(F42&gt;0,(RANK(F42,F$40:F$58)),0)</f>
        <v>1</v>
      </c>
      <c r="H42" s="144">
        <f>+GETPIVOTDATA(" New All Ranks avg",'Averages Pivot Table'!$A$3,"State","DE","Category",10,"Category2","Two-Year")</f>
        <v>63715.690800000004</v>
      </c>
      <c r="I42" s="201">
        <f>IF(H42&gt;0,(RANK(H42,H$40:H$58)),0)</f>
        <v>1</v>
      </c>
      <c r="J42" s="145">
        <f>+GETPIVOTDATA(" New All Ranks avg",'Averages Pivot Table'!$A$3,"State","DE","Category2","Two-Year")</f>
        <v>63804.420643749996</v>
      </c>
      <c r="K42" s="201">
        <f>IF(J42&gt;0,(RANK(J42,J$40:J$58)),0)</f>
        <v>2</v>
      </c>
      <c r="Q42" s="241">
        <f>(J42-S42)/S42</f>
        <v>1.6325486099640386E-2</v>
      </c>
      <c r="R42" s="74" t="s">
        <v>455</v>
      </c>
      <c r="S42" s="78">
        <f>+GETPIVOTDATA(" Old All Ranks avg",'Averages Pivot Table'!$A$3,"State","DE","Category2","Two-Year")</f>
        <v>62779.514551595748</v>
      </c>
    </row>
    <row r="43" spans="1:19" ht="12.95" customHeight="1">
      <c r="A43" s="12" t="s">
        <v>441</v>
      </c>
      <c r="B43" s="136">
        <f>+GETPIVOTDATA(" New All Ranks avg",'Averages Pivot Table'!$A$3,"State","FL","Category",7,"Category2","Two-Year")</f>
        <v>58779.872367581367</v>
      </c>
      <c r="C43" s="130">
        <f>IF(B43&gt;0,(RANK(B43,B$40:B$58)),0)</f>
        <v>1</v>
      </c>
      <c r="D43" s="136">
        <f>+GETPIVOTDATA(" New All Ranks avg",'Averages Pivot Table'!$A$3,"State","FL","Category",8,"Category2","Two-Year")</f>
        <v>53262.509313154835</v>
      </c>
      <c r="E43" s="130">
        <f>IF(D43&gt;0,(RANK(D43,D$40:D$58)),0)</f>
        <v>5</v>
      </c>
      <c r="F43" s="136">
        <f>+GETPIVOTDATA(" New All Ranks avg",'Averages Pivot Table'!$A$3,"State","FL","Category",9,"Category2","Two-Year")</f>
        <v>46161.699769053121</v>
      </c>
      <c r="G43" s="130">
        <f>IF(F43&gt;0,(RANK(F43,F$40:F$58)),0)</f>
        <v>10</v>
      </c>
      <c r="H43" s="144">
        <f>+GETPIVOTDATA(" New All Ranks avg",'Averages Pivot Table'!$A$3,"State","FL","Category",10,"Category2","Two-Year")</f>
        <v>50101.859649122809</v>
      </c>
      <c r="I43" s="201">
        <f>IF(H43&gt;0,(RANK(H43,H$40:H$58)),0)</f>
        <v>5</v>
      </c>
      <c r="J43" s="145">
        <f>+GETPIVOTDATA(" New All Ranks avg",'Averages Pivot Table'!$A$3,"State","FL","Category2","Two-Year")</f>
        <v>54243.92208265065</v>
      </c>
      <c r="K43" s="201">
        <f>IF(J43&gt;0,(RANK(J43,J$40:J$58)),0)</f>
        <v>4</v>
      </c>
      <c r="Q43" s="241">
        <f>(J43-S43)/S43</f>
        <v>1.1531927410896222E-2</v>
      </c>
      <c r="R43" s="74" t="s">
        <v>441</v>
      </c>
      <c r="S43" s="78">
        <f>+GETPIVOTDATA(" Old All Ranks avg",'Averages Pivot Table'!$A$3,"State","FL","Category2","Two-Year")</f>
        <v>53625.516518784214</v>
      </c>
    </row>
    <row r="44" spans="1:19" ht="12.95" customHeight="1">
      <c r="A44" s="12"/>
      <c r="B44" s="136"/>
      <c r="C44" s="130"/>
      <c r="D44" s="136"/>
      <c r="E44" s="130"/>
      <c r="F44" s="136"/>
      <c r="G44" s="130"/>
      <c r="H44" s="144"/>
      <c r="I44" s="201"/>
      <c r="J44" s="145"/>
      <c r="K44" s="201"/>
      <c r="Q44" s="241"/>
      <c r="S44" s="78"/>
    </row>
    <row r="45" spans="1:19" ht="12.95" customHeight="1">
      <c r="A45" s="12" t="s">
        <v>442</v>
      </c>
      <c r="B45" s="136">
        <f>+GETPIVOTDATA(" New All Ranks avg",'Averages Pivot Table'!$A$3,"State","GA","Category",7,"Category2","Two-Year")</f>
        <v>49113.038046242778</v>
      </c>
      <c r="C45" s="130">
        <f>IF(B45&gt;0,(RANK(B45,B$40:B$58)),0)</f>
        <v>5</v>
      </c>
      <c r="D45" s="136">
        <f>+GETPIVOTDATA(" New All Ranks avg",'Averages Pivot Table'!$A$3,"State","GA","Category",8,"Category2","Two-Year")</f>
        <v>50469.596227610629</v>
      </c>
      <c r="E45" s="130">
        <f>IF(D45&gt;0,(RANK(D45,D$40:D$58)),0)</f>
        <v>7</v>
      </c>
      <c r="F45" s="136">
        <f>+GETPIVOTDATA(" New All Ranks avg",'Averages Pivot Table'!$A$3,"State","GA","Category",9,"Category2","Two-Year")</f>
        <v>46792.740757942782</v>
      </c>
      <c r="G45" s="130">
        <f>IF(F45&gt;0,(RANK(F45,F$40:F$58)),0)</f>
        <v>9</v>
      </c>
      <c r="H45" s="144">
        <f>+GETPIVOTDATA(" New All Ranks avg",'Averages Pivot Table'!$A$3,"State","GA","Category",10,"Category2","Two-Year")</f>
        <v>44524.043983246076</v>
      </c>
      <c r="I45" s="201">
        <f>IF(H45&gt;0,(RANK(H45,H$40:H$58)),0)</f>
        <v>12</v>
      </c>
      <c r="J45" s="145">
        <f>+GETPIVOTDATA(" New All Ranks avg",'Averages Pivot Table'!$A$3,"State","GA","Category2","Two-Year")</f>
        <v>47971.754367968664</v>
      </c>
      <c r="K45" s="201">
        <f>IF(J45&gt;0,(RANK(J45,J$40:J$58)),0)</f>
        <v>11</v>
      </c>
      <c r="Q45" s="241">
        <f>(J45-S45)/S45</f>
        <v>-3.974289942818789E-3</v>
      </c>
      <c r="R45" s="74" t="s">
        <v>442</v>
      </c>
      <c r="S45" s="78">
        <f>+GETPIVOTDATA(" Old All Ranks avg",'Averages Pivot Table'!$A$3,"State","GA","Category2","Two-Year")</f>
        <v>48163.168765206508</v>
      </c>
    </row>
    <row r="46" spans="1:19" ht="12.95" customHeight="1">
      <c r="A46" s="12" t="s">
        <v>443</v>
      </c>
      <c r="B46" s="136">
        <f>+GETPIVOTDATA(" New All Ranks avg",'Averages Pivot Table'!$A$3,"State","KY","Category",7,"Category2","Two-Year")</f>
        <v>0</v>
      </c>
      <c r="C46" s="130">
        <f>IF(B46&gt;0,(RANK(B46,B$40:B$58)),0)</f>
        <v>0</v>
      </c>
      <c r="D46" s="136">
        <f>+GETPIVOTDATA(" New All Ranks avg",'Averages Pivot Table'!$A$3,"State","KY","Category",8,"Category2","Two-Year")</f>
        <v>49864.814483203132</v>
      </c>
      <c r="E46" s="130">
        <f>IF(D46&gt;0,(RANK(D46,D$40:D$58)),0)</f>
        <v>8</v>
      </c>
      <c r="F46" s="136">
        <f>+GETPIVOTDATA(" New All Ranks avg",'Averages Pivot Table'!$A$3,"State","KY","Category",9,"Category2","Two-Year")</f>
        <v>47750.474797687864</v>
      </c>
      <c r="G46" s="130">
        <f>IF(F46&gt;0,(RANK(F46,F$40:F$58)),0)</f>
        <v>6</v>
      </c>
      <c r="H46" s="144">
        <f>+GETPIVOTDATA(" New All Ranks avg",'Averages Pivot Table'!$A$3,"State","KY","Category",10,"Category2","Two-Year")</f>
        <v>49668.487098666672</v>
      </c>
      <c r="I46" s="201">
        <f>IF(H46&gt;0,(RANK(H46,H$40:H$58)),0)</f>
        <v>6</v>
      </c>
      <c r="J46" s="145">
        <f>+GETPIVOTDATA(" New All Ranks avg",'Averages Pivot Table'!$A$3,"State","KY","Category2","Two-Year")</f>
        <v>48603.485888788731</v>
      </c>
      <c r="K46" s="201">
        <f>IF(J46&gt;0,(RANK(J46,J$40:J$58)),0)</f>
        <v>9</v>
      </c>
      <c r="Q46" s="241">
        <f>(J46-S46)/S46</f>
        <v>-5.9814983356023567E-3</v>
      </c>
      <c r="R46" s="74" t="s">
        <v>443</v>
      </c>
      <c r="S46" s="78">
        <f>+GETPIVOTDATA(" Old All Ranks avg",'Averages Pivot Table'!$A$3,"State","KY","Category2","Two-Year")</f>
        <v>48895.956974046676</v>
      </c>
    </row>
    <row r="47" spans="1:19" ht="12.95" customHeight="1">
      <c r="A47" s="12" t="s">
        <v>444</v>
      </c>
      <c r="B47" s="136">
        <f>+GETPIVOTDATA(" New All Ranks avg",'Averages Pivot Table'!$A$3,"State","LA","Category",7,"Category2","Two-Year")</f>
        <v>48373.200119587629</v>
      </c>
      <c r="C47" s="130">
        <f>IF(B47&gt;0,(RANK(B47,B$40:B$58)),0)</f>
        <v>6</v>
      </c>
      <c r="D47" s="136">
        <f>+GETPIVOTDATA(" New All Ranks avg",'Averages Pivot Table'!$A$3,"State","LA","Category",8,"Category2","Two-Year")</f>
        <v>54621.772599999997</v>
      </c>
      <c r="E47" s="130">
        <f>IF(D47&gt;0,(RANK(D47,D$40:D$58)),0)</f>
        <v>3</v>
      </c>
      <c r="F47" s="136">
        <f>+GETPIVOTDATA(" New All Ranks avg",'Averages Pivot Table'!$A$3,"State","LA","Category",9,"Category2","Two-Year")</f>
        <v>43833.858449999992</v>
      </c>
      <c r="G47" s="130">
        <f>IF(F47&gt;0,(RANK(F47,F$40:F$58)),0)</f>
        <v>14</v>
      </c>
      <c r="H47" s="144">
        <f>+GETPIVOTDATA(" New All Ranks avg",'Averages Pivot Table'!$A$3,"State","LA","Category",10,"Category2","Two-Year")</f>
        <v>42470.149945714293</v>
      </c>
      <c r="I47" s="201">
        <f>IF(H47&gt;0,(RANK(H47,H$40:H$58)),0)</f>
        <v>15</v>
      </c>
      <c r="J47" s="145">
        <f>+GETPIVOTDATA(" New All Ranks avg",'Averages Pivot Table'!$A$3,"State","LA","Category2","Two-Year")</f>
        <v>49808.065047129392</v>
      </c>
      <c r="K47" s="201">
        <f>IF(J47&gt;0,(RANK(J47,J$40:J$58)),0)</f>
        <v>7</v>
      </c>
      <c r="Q47" s="241">
        <f>(J47-S47)/S47</f>
        <v>-1.5389649026641567E-2</v>
      </c>
      <c r="R47" s="74" t="s">
        <v>444</v>
      </c>
      <c r="S47" s="78">
        <f>+GETPIVOTDATA(" Old All Ranks avg",'Averages Pivot Table'!$A$3,"State","LA","Category2","Two-Year")</f>
        <v>50586.574676866359</v>
      </c>
    </row>
    <row r="48" spans="1:19" ht="12.95" customHeight="1">
      <c r="A48" s="12" t="s">
        <v>445</v>
      </c>
      <c r="B48" s="136">
        <f>+GETPIVOTDATA(" New All Ranks avg",'Averages Pivot Table'!$A$3,"State","MD","Category",7,"Category2","Two-Year")</f>
        <v>0</v>
      </c>
      <c r="C48" s="130">
        <f>IF(B48&gt;0,(RANK(B48,B$40:B$58)),0)</f>
        <v>0</v>
      </c>
      <c r="D48" s="136">
        <f>+GETPIVOTDATA(" New All Ranks avg",'Averages Pivot Table'!$A$3,"State","MD","Category",8,"Category2","Two-Year")</f>
        <v>69073.715388888901</v>
      </c>
      <c r="E48" s="130">
        <f>IF(D48&gt;0,(RANK(D48,D$40:D$58)),0)</f>
        <v>1</v>
      </c>
      <c r="F48" s="136">
        <f>+GETPIVOTDATA(" New All Ranks avg",'Averages Pivot Table'!$A$3,"State","MD","Category",9,"Category2","Two-Year")</f>
        <v>60604.163601495733</v>
      </c>
      <c r="G48" s="130">
        <f>IF(F48&gt;0,(RANK(F48,F$40:F$58)),0)</f>
        <v>2</v>
      </c>
      <c r="H48" s="144">
        <f>+GETPIVOTDATA(" New All Ranks avg",'Averages Pivot Table'!$A$3,"State","MD","Category",10,"Category2","Two-Year")</f>
        <v>60503.105001587297</v>
      </c>
      <c r="I48" s="201">
        <f>IF(H48&gt;0,(RANK(H48,H$40:H$58)),0)</f>
        <v>2</v>
      </c>
      <c r="J48" s="145">
        <f>+GETPIVOTDATA(" New All Ranks avg",'Averages Pivot Table'!$A$3,"State","MD","Category2","Two-Year")</f>
        <v>65473.636499280561</v>
      </c>
      <c r="K48" s="201">
        <f>IF(J48&gt;0,(RANK(J48,J$40:J$58)),0)</f>
        <v>1</v>
      </c>
      <c r="Q48" s="241">
        <f>(J48-S48)/S48</f>
        <v>-8.3577640264119474E-3</v>
      </c>
      <c r="R48" s="74" t="s">
        <v>445</v>
      </c>
      <c r="S48" s="78">
        <f>+GETPIVOTDATA(" Old All Ranks avg",'Averages Pivot Table'!$A$3,"State","MD","Category2","Two-Year")</f>
        <v>66025.461728139242</v>
      </c>
    </row>
    <row r="49" spans="1:19" ht="12.95" customHeight="1">
      <c r="A49" s="12"/>
      <c r="B49" s="136"/>
      <c r="C49" s="130"/>
      <c r="D49" s="136"/>
      <c r="E49" s="130"/>
      <c r="F49" s="136"/>
      <c r="G49" s="130"/>
      <c r="H49" s="144"/>
      <c r="I49" s="201"/>
      <c r="J49" s="145"/>
      <c r="K49" s="201"/>
      <c r="Q49" s="241"/>
      <c r="S49" s="78"/>
    </row>
    <row r="50" spans="1:19">
      <c r="A50" s="12" t="s">
        <v>446</v>
      </c>
      <c r="B50" s="136">
        <f>+GETPIVOTDATA(" New All Ranks avg",'Averages Pivot Table'!$A$3,"State","MS","Category",7,"Category2","Two-Year")</f>
        <v>0</v>
      </c>
      <c r="C50" s="130">
        <f>IF(B50&gt;0,(RANK(B50,B$40:B$58)),0)</f>
        <v>0</v>
      </c>
      <c r="D50" s="136">
        <f>+GETPIVOTDATA(" New All Ranks avg",'Averages Pivot Table'!$A$3,"State","MS","Category",8,"Category2","Two-Year")</f>
        <v>48532.744048788845</v>
      </c>
      <c r="E50" s="130">
        <f>IF(D50&gt;0,(RANK(D50,D$40:D$58)),0)</f>
        <v>9</v>
      </c>
      <c r="F50" s="136">
        <f>+GETPIVOTDATA(" New All Ranks avg",'Averages Pivot Table'!$A$3,"State","MS","Category",9,"Category2","Two-Year")</f>
        <v>50427.004317114108</v>
      </c>
      <c r="G50" s="130">
        <f>IF(F50&gt;0,(RANK(F50,F$40:F$58)),0)</f>
        <v>4</v>
      </c>
      <c r="H50" s="144">
        <f>+GETPIVOTDATA(" New All Ranks avg",'Averages Pivot Table'!$A$3,"State","MS","Category",10,"Category2","Two-Year")</f>
        <v>46379.342922758617</v>
      </c>
      <c r="I50" s="201">
        <f>IF(H50&gt;0,(RANK(H50,H$40:H$58)),0)</f>
        <v>9</v>
      </c>
      <c r="J50" s="145">
        <f>+GETPIVOTDATA(" New All Ranks avg",'Averages Pivot Table'!$A$3,"State","MS","Category2","Two-Year")</f>
        <v>49309.383603560455</v>
      </c>
      <c r="K50" s="201">
        <f>IF(J50&gt;0,(RANK(J50,J$40:J$58)),0)</f>
        <v>8</v>
      </c>
      <c r="Q50" s="241">
        <f>(J50-S50)/S50</f>
        <v>1.0114272801463618E-2</v>
      </c>
      <c r="R50" s="74" t="s">
        <v>446</v>
      </c>
      <c r="S50" s="78">
        <f>+GETPIVOTDATA(" Old All Ranks avg",'Averages Pivot Table'!$A$3,"State","MS","Category2","Two-Year")</f>
        <v>48815.648814470456</v>
      </c>
    </row>
    <row r="51" spans="1:19" ht="12.95" customHeight="1">
      <c r="A51" s="12" t="s">
        <v>447</v>
      </c>
      <c r="B51" s="136">
        <f>+GETPIVOTDATA(" New All Ranks avg",'Averages Pivot Table'!$A$3,"State","NC","Category",7,"Category2","Two-Year")</f>
        <v>0</v>
      </c>
      <c r="C51" s="130">
        <f>IF(B51&gt;0,(RANK(B51,B$40:B$58)),0)</f>
        <v>0</v>
      </c>
      <c r="D51" s="136">
        <f>+GETPIVOTDATA(" New All Ranks avg",'Averages Pivot Table'!$A$3,"State","NC","Category",8,"Category2","Two-Year")</f>
        <v>47747.426765799253</v>
      </c>
      <c r="E51" s="130">
        <f>IF(D51&gt;0,(RANK(D51,D$40:D$58)),0)</f>
        <v>10</v>
      </c>
      <c r="F51" s="136">
        <f>+GETPIVOTDATA(" New All Ranks avg",'Averages Pivot Table'!$A$3,"State","NC","Category",9,"Category2","Two-Year")</f>
        <v>47465.146570397112</v>
      </c>
      <c r="G51" s="130">
        <f>IF(F51&gt;0,(RANK(F51,F$40:F$58)),0)</f>
        <v>7</v>
      </c>
      <c r="H51" s="144">
        <f>+GETPIVOTDATA(" New All Ranks avg",'Averages Pivot Table'!$A$3,"State","NC","Category",10,"Category2","Two-Year")</f>
        <v>45986.983667409055</v>
      </c>
      <c r="I51" s="201">
        <f>IF(H51&gt;0,(RANK(H51,H$40:H$58)),0)</f>
        <v>10</v>
      </c>
      <c r="J51" s="145">
        <f>+GETPIVOTDATA(" New All Ranks avg",'Averages Pivot Table'!$A$3,"State","NC","Category2","Two-Year")</f>
        <v>47284.192889672398</v>
      </c>
      <c r="K51" s="201">
        <f>IF(J51&gt;0,(RANK(J51,J$40:J$58)),0)</f>
        <v>12</v>
      </c>
      <c r="Q51" s="241">
        <f>(J51-S51)/S51</f>
        <v>4.0744084295078094E-3</v>
      </c>
      <c r="R51" s="74" t="s">
        <v>447</v>
      </c>
      <c r="S51" s="78">
        <f>+GETPIVOTDATA(" Old All Ranks avg",'Averages Pivot Table'!$A$3,"State","NC","Category2","Two-Year")</f>
        <v>47092.319545949307</v>
      </c>
    </row>
    <row r="52" spans="1:19" ht="12.95" customHeight="1">
      <c r="A52" s="12" t="s">
        <v>448</v>
      </c>
      <c r="B52" s="136">
        <f>+GETPIVOTDATA(" New All Ranks avg",'Averages Pivot Table'!$A$3,"State","OK","Category",7,"Category2","Two-Year")</f>
        <v>52064</v>
      </c>
      <c r="C52" s="130">
        <f>IF(B52&gt;0,(RANK(B52,B$40:B$58)),0)</f>
        <v>3</v>
      </c>
      <c r="D52" s="136">
        <f>+GETPIVOTDATA(" New All Ranks avg",'Averages Pivot Table'!$A$3,"State","OK","Category",8,"Category2","Two-Year")</f>
        <v>52921.55907117117</v>
      </c>
      <c r="E52" s="130">
        <f>IF(D52&gt;0,(RANK(D52,D$40:D$58)),0)</f>
        <v>6</v>
      </c>
      <c r="F52" s="136">
        <f>+GETPIVOTDATA(" New All Ranks avg",'Averages Pivot Table'!$A$3,"State","OK","Category",9,"Category2","Two-Year")</f>
        <v>47222.345874829931</v>
      </c>
      <c r="G52" s="130">
        <f>IF(F52&gt;0,(RANK(F52,F$40:F$58)),0)</f>
        <v>8</v>
      </c>
      <c r="H52" s="144">
        <f>+GETPIVOTDATA(" New All Ranks avg",'Averages Pivot Table'!$A$3,"State","OK","Category",10,"Category2","Two-Year")</f>
        <v>43035.543432978724</v>
      </c>
      <c r="I52" s="201">
        <f>IF(H52&gt;0,(RANK(H52,H$40:H$58)),0)</f>
        <v>14</v>
      </c>
      <c r="J52" s="145">
        <f>+GETPIVOTDATA(" New All Ranks avg",'Averages Pivot Table'!$A$3,"State","OK","Category2","Two-Year")</f>
        <v>48473.878839482204</v>
      </c>
      <c r="K52" s="201">
        <f>IF(J52&gt;0,(RANK(J52,J$40:J$58)),0)</f>
        <v>10</v>
      </c>
      <c r="Q52" s="241">
        <f>(J52-S52)/S52</f>
        <v>-8.4839511909343239E-3</v>
      </c>
      <c r="R52" s="74" t="s">
        <v>448</v>
      </c>
      <c r="S52" s="78">
        <f>+GETPIVOTDATA(" Old All Ranks avg",'Averages Pivot Table'!$A$3,"State","OK","Category2","Two-Year")</f>
        <v>48888.647740705128</v>
      </c>
    </row>
    <row r="53" spans="1:19" ht="12.95" customHeight="1">
      <c r="A53" s="12" t="s">
        <v>449</v>
      </c>
      <c r="B53" s="136">
        <f>+GETPIVOTDATA(" New All Ranks avg",'Averages Pivot Table'!$A$3,"State","SC","Category",7,"Category2","Two-Year")</f>
        <v>56392.94533559322</v>
      </c>
      <c r="C53" s="130">
        <f>IF(B53&gt;0,(RANK(B53,B$40:B$58)),0)</f>
        <v>2</v>
      </c>
      <c r="D53" s="136">
        <f>+GETPIVOTDATA(" New All Ranks avg",'Averages Pivot Table'!$A$3,"State","SC","Category",8,"Category2","Two-Year")</f>
        <v>47067.297921478057</v>
      </c>
      <c r="E53" s="130">
        <f>IF(D53&gt;0,(RANK(D53,D$40:D$58)),0)</f>
        <v>13</v>
      </c>
      <c r="F53" s="136">
        <f>+GETPIVOTDATA(" New All Ranks avg",'Averages Pivot Table'!$A$3,"State","SC","Category",9,"Category2","Two-Year")</f>
        <v>45738.080967402733</v>
      </c>
      <c r="G53" s="130">
        <f>IF(F53&gt;0,(RANK(F53,F$40:F$58)),0)</f>
        <v>13</v>
      </c>
      <c r="H53" s="144">
        <f>+GETPIVOTDATA(" New All Ranks avg",'Averages Pivot Table'!$A$3,"State","SC","Category",10,"Category2","Two-Year")</f>
        <v>45150.896684251966</v>
      </c>
      <c r="I53" s="201">
        <f>IF(H53&gt;0,(RANK(H53,H$40:H$58)),0)</f>
        <v>11</v>
      </c>
      <c r="J53" s="145">
        <f>+GETPIVOTDATA(" New All Ranks avg",'Averages Pivot Table'!$A$3,"State","SC","Category2","Two-Year")</f>
        <v>46503.61809042254</v>
      </c>
      <c r="K53" s="201">
        <f>IF(J53&gt;0,(RANK(J53,J$40:J$58)),0)</f>
        <v>14</v>
      </c>
      <c r="Q53" s="241">
        <f>(J53-S53)/S53</f>
        <v>-2.3362128434573949E-3</v>
      </c>
      <c r="R53" s="74" t="s">
        <v>449</v>
      </c>
      <c r="S53" s="78">
        <f>+GETPIVOTDATA(" Old All Ranks avg",'Averages Pivot Table'!$A$3,"State","SC","Category2","Two-Year")</f>
        <v>46612.51484627225</v>
      </c>
    </row>
    <row r="54" spans="1:19" ht="12.95" customHeight="1">
      <c r="A54" s="12"/>
      <c r="B54" s="136"/>
      <c r="C54" s="130"/>
      <c r="D54" s="136"/>
      <c r="E54" s="130"/>
      <c r="F54" s="136"/>
      <c r="G54" s="130"/>
      <c r="H54" s="144"/>
      <c r="I54" s="201"/>
      <c r="J54" s="145"/>
      <c r="K54" s="201"/>
      <c r="Q54" s="241"/>
      <c r="S54" s="78"/>
    </row>
    <row r="55" spans="1:19" ht="12.95" customHeight="1">
      <c r="A55" s="12" t="s">
        <v>450</v>
      </c>
      <c r="B55" s="136">
        <f>+GETPIVOTDATA(" New All Ranks avg",'Averages Pivot Table'!$A$3,"State","TN","Category",7,"Category2","Two-Year")</f>
        <v>0</v>
      </c>
      <c r="C55" s="130">
        <f>IF(B55&gt;0,(RANK(B55,B$40:B$58)),0)</f>
        <v>0</v>
      </c>
      <c r="D55" s="136">
        <f>+GETPIVOTDATA(" New All Ranks avg",'Averages Pivot Table'!$A$3,"State","TN","Category",8,"Category2","Two-Year")</f>
        <v>47134.089873261204</v>
      </c>
      <c r="E55" s="130">
        <f>IF(D55&gt;0,(RANK(D55,D$40:D$58)),0)</f>
        <v>12</v>
      </c>
      <c r="F55" s="136">
        <f>+GETPIVOTDATA(" New All Ranks avg",'Averages Pivot Table'!$A$3,"State","TN","Category",9,"Category2","Two-Year")</f>
        <v>46134.112525698831</v>
      </c>
      <c r="G55" s="130">
        <f>IF(F55&gt;0,(RANK(F55,F$40:F$58)),0)</f>
        <v>11</v>
      </c>
      <c r="H55" s="144">
        <f>+GETPIVOTDATA(" New All Ranks avg",'Averages Pivot Table'!$A$3,"State","TN","Category",10,"Category2","Two-Year")</f>
        <v>46516.899977358495</v>
      </c>
      <c r="I55" s="201">
        <f>IF(H55&gt;0,(RANK(H55,H$40:H$58)),0)</f>
        <v>8</v>
      </c>
      <c r="J55" s="145">
        <f>+GETPIVOTDATA(" New All Ranks avg",'Averages Pivot Table'!$A$3,"State","TN","Category2","Two-Year")</f>
        <v>46502.975476948588</v>
      </c>
      <c r="K55" s="201">
        <f>IF(J55&gt;0,(RANK(J55,J$40:J$58)),0)</f>
        <v>15</v>
      </c>
      <c r="O55" s="206"/>
      <c r="Q55" s="241">
        <f>(J55-S55)/S55</f>
        <v>-7.4372269373126146E-3</v>
      </c>
      <c r="R55" s="74" t="s">
        <v>450</v>
      </c>
      <c r="S55" s="78">
        <f>+GETPIVOTDATA(" Old All Ranks avg",'Averages Pivot Table'!$A$3,"State","TN","Category2","Two-Year")</f>
        <v>46851.42012072177</v>
      </c>
    </row>
    <row r="56" spans="1:19" ht="12.95" customHeight="1">
      <c r="A56" s="12" t="s">
        <v>451</v>
      </c>
      <c r="B56" s="136">
        <f>+GETPIVOTDATA(" New All Ranks avg",'Averages Pivot Table'!$A$3,"State","TX","Category",7,"Category2","Two-Year")</f>
        <v>51946.065672823221</v>
      </c>
      <c r="C56" s="130">
        <f>IF(B56&gt;0,(RANK(B56,B$40:B$58)),0)</f>
        <v>4</v>
      </c>
      <c r="D56" s="136">
        <f>+GETPIVOTDATA(" New All Ranks avg",'Averages Pivot Table'!$A$3,"State","TX","Category",8,"Category2","Two-Year")</f>
        <v>56414.085521503694</v>
      </c>
      <c r="E56" s="130">
        <f>IF(D56&gt;0,(RANK(D56,D$40:D$58)),0)</f>
        <v>2</v>
      </c>
      <c r="F56" s="136">
        <f>+GETPIVOTDATA(" New All Ranks avg",'Averages Pivot Table'!$A$3,"State","TX","Category",9,"Category2","Two-Year")</f>
        <v>48412.433266423359</v>
      </c>
      <c r="G56" s="130">
        <f>IF(F56&gt;0,(RANK(F56,F$40:F$58)),0)</f>
        <v>5</v>
      </c>
      <c r="H56" s="144">
        <f>+GETPIVOTDATA(" New All Ranks avg",'Averages Pivot Table'!$A$3,"State","TX","Category",10,"Category2","Two-Year")</f>
        <v>43517.247016271191</v>
      </c>
      <c r="I56" s="201">
        <f>IF(H56&gt;0,(RANK(H56,H$40:H$58)),0)</f>
        <v>13</v>
      </c>
      <c r="J56" s="145">
        <f>+GETPIVOTDATA(" New All Ranks avg",'Averages Pivot Table'!$A$3,"State","TX","Category2","Two-Year")</f>
        <v>53774.019832766913</v>
      </c>
      <c r="K56" s="201">
        <f>IF(J56&gt;0,(RANK(J56,J$40:J$58)),0)</f>
        <v>5</v>
      </c>
      <c r="O56" s="207"/>
      <c r="Q56" s="241">
        <f>(J56-S56)/S56</f>
        <v>9.1949847961207733E-3</v>
      </c>
      <c r="R56" s="74" t="s">
        <v>451</v>
      </c>
      <c r="S56" s="78">
        <f>+GETPIVOTDATA(" Old All Ranks avg",'Averages Pivot Table'!$A$3,"State","TX","Category2","Two-Year")</f>
        <v>53284.073586265818</v>
      </c>
    </row>
    <row r="57" spans="1:19" ht="12.95" customHeight="1">
      <c r="A57" s="12" t="s">
        <v>452</v>
      </c>
      <c r="B57" s="136">
        <f>+GETPIVOTDATA(" New All Ranks avg",'Averages Pivot Table'!$A$3,"State","VA","Category",7,"Category2","Two-Year")</f>
        <v>0</v>
      </c>
      <c r="C57" s="130">
        <f>IF(B57&gt;0,(RANK(B57,B$40:B$58)),0)</f>
        <v>0</v>
      </c>
      <c r="D57" s="136">
        <f>+GETPIVOTDATA(" New All Ranks avg",'Averages Pivot Table'!$A$3,"State","VA","Category",8,"Category2","Two-Year")</f>
        <v>0</v>
      </c>
      <c r="E57" s="130">
        <f>IF(D57&gt;0,(RANK(D57,D$40:D$58)),0)</f>
        <v>0</v>
      </c>
      <c r="F57" s="136">
        <f>+GETPIVOTDATA(" New All Ranks avg",'Averages Pivot Table'!$A$3,"State","VA","Category",9,"Category2","Two-Year")</f>
        <v>0</v>
      </c>
      <c r="G57" s="130">
        <f>IF(F57&gt;0,(RANK(F57,F$40:F$58)),0)</f>
        <v>0</v>
      </c>
      <c r="H57" s="144">
        <f>+GETPIVOTDATA(" New All Ranks avg",'Averages Pivot Table'!$A$3,"State","VA","Category",10,"Category2","Two-Year")</f>
        <v>54434.63636363636</v>
      </c>
      <c r="I57" s="201">
        <f>IF(H57&gt;0,(RANK(H57,H$40:H$58)),0)</f>
        <v>3</v>
      </c>
      <c r="J57" s="145">
        <f>+GETPIVOTDATA(" New All Ranks avg",'Averages Pivot Table'!$A$3,"State","VA","Category2","Two-Year")</f>
        <v>56975.266498981859</v>
      </c>
      <c r="K57" s="201">
        <f>IF(J57&gt;0,(RANK(J57,J$40:J$58)),0)</f>
        <v>3</v>
      </c>
      <c r="O57" s="207"/>
      <c r="Q57" s="241">
        <f>(J57-S57)/S57</f>
        <v>-3.6838766723485978E-3</v>
      </c>
      <c r="R57" s="74" t="s">
        <v>452</v>
      </c>
      <c r="S57" s="78">
        <f>+GETPIVOTDATA(" Old All Ranks avg",'Averages Pivot Table'!$A$3,"State","VA","Category2","Two-Year")</f>
        <v>57185.932421415615</v>
      </c>
    </row>
    <row r="58" spans="1:19" ht="12.95" customHeight="1">
      <c r="A58" s="11" t="s">
        <v>453</v>
      </c>
      <c r="B58" s="137">
        <f>+GETPIVOTDATA(" New All Ranks avg",'Averages Pivot Table'!$A$3,"State","WV","Category",7,"Category2","Two-Year")</f>
        <v>46891.629959398488</v>
      </c>
      <c r="C58" s="65">
        <f>IF(B58&gt;0,(RANK(B58,B$40:B$58)),0)</f>
        <v>7</v>
      </c>
      <c r="D58" s="137">
        <f>+GETPIVOTDATA(" New All Ranks avg",'Averages Pivot Table'!$A$3,"State","WV","Category",8,"Category2","Two-Year")</f>
        <v>0</v>
      </c>
      <c r="E58" s="65">
        <f>IF(D58&gt;0,(RANK(D58,D$40:D$58)),0)</f>
        <v>0</v>
      </c>
      <c r="F58" s="137">
        <f>+GETPIVOTDATA(" New All Ranks avg",'Averages Pivot Table'!$A$3,"State","WV","Category",9,"Category2","Two-Year")</f>
        <v>0</v>
      </c>
      <c r="G58" s="65">
        <f>IF(F58&gt;0,(RANK(F58,F$40:F$58)),0)</f>
        <v>0</v>
      </c>
      <c r="H58" s="146">
        <f>+GETPIVOTDATA(" New All Ranks avg",'Averages Pivot Table'!$A$3,"State","WV","Category",10,"Category2","Two-Year")</f>
        <v>47083.403043127961</v>
      </c>
      <c r="I58" s="202">
        <f>IF(H58&gt;0,(RANK(H58,H$40:H$58)),0)</f>
        <v>7</v>
      </c>
      <c r="J58" s="147">
        <f>+GETPIVOTDATA(" New All Ranks avg",'Averages Pivot Table'!$A$3,"State","WV","Category2","Two-Year")</f>
        <v>47037.446610450454</v>
      </c>
      <c r="K58" s="202">
        <f>IF(J58&gt;0,(RANK(J58,J$40:J$58)),0)</f>
        <v>13</v>
      </c>
      <c r="O58" s="207"/>
      <c r="Q58" s="241">
        <f>(J58-S58)/S58</f>
        <v>7.7561534405776135E-3</v>
      </c>
      <c r="R58" s="74" t="s">
        <v>453</v>
      </c>
      <c r="S58" s="78">
        <f>+GETPIVOTDATA(" Old All Ranks avg",'Averages Pivot Table'!$A$3,"State","WV","Category2","Two-Year")</f>
        <v>46675.424853383462</v>
      </c>
    </row>
    <row r="59" spans="1:19" ht="30" customHeight="1">
      <c r="A59" s="627" t="s">
        <v>323</v>
      </c>
      <c r="B59" s="627"/>
      <c r="C59" s="627"/>
      <c r="D59" s="627"/>
      <c r="E59" s="627"/>
      <c r="F59" s="627"/>
      <c r="G59" s="627"/>
      <c r="H59" s="627"/>
      <c r="I59" s="627"/>
      <c r="J59" s="627"/>
      <c r="K59" s="627"/>
      <c r="L59" s="584"/>
      <c r="M59" s="584"/>
      <c r="N59" s="183"/>
      <c r="O59" s="208"/>
      <c r="Q59" s="239"/>
    </row>
    <row r="60" spans="1:19">
      <c r="K60" s="244" t="s">
        <v>1166</v>
      </c>
      <c r="M60" s="244"/>
      <c r="Q60" s="239"/>
    </row>
    <row r="61" spans="1:19" ht="18">
      <c r="A61" s="13" t="s">
        <v>778</v>
      </c>
      <c r="B61" s="13"/>
      <c r="C61" s="13"/>
      <c r="D61" s="13"/>
      <c r="E61" s="13"/>
      <c r="F61" s="13"/>
      <c r="G61" s="135"/>
      <c r="H61" s="135"/>
      <c r="I61" s="196"/>
      <c r="J61" s="135" t="s">
        <v>457</v>
      </c>
      <c r="K61" s="135"/>
      <c r="O61" s="207"/>
      <c r="Q61" s="239"/>
    </row>
    <row r="62" spans="1:19">
      <c r="A62" s="5"/>
      <c r="B62" s="5"/>
      <c r="C62" s="5"/>
      <c r="D62" s="5"/>
      <c r="E62" s="5"/>
      <c r="F62" s="5"/>
      <c r="G62" s="135"/>
      <c r="H62" s="135"/>
      <c r="I62" s="196"/>
      <c r="J62" s="135"/>
      <c r="K62" s="135"/>
      <c r="O62" s="207"/>
      <c r="Q62" s="239"/>
    </row>
    <row r="63" spans="1:19">
      <c r="A63" s="619" t="s">
        <v>438</v>
      </c>
      <c r="B63" s="619"/>
      <c r="C63" s="619"/>
      <c r="D63" s="619"/>
      <c r="E63" s="619"/>
      <c r="F63" s="619"/>
      <c r="G63" s="619"/>
      <c r="H63" s="619"/>
      <c r="I63" s="619"/>
      <c r="J63" s="135" t="s">
        <v>457</v>
      </c>
      <c r="K63" s="135"/>
      <c r="O63" s="207"/>
      <c r="Q63" s="239"/>
    </row>
    <row r="64" spans="1:19">
      <c r="A64" s="619" t="s">
        <v>1147</v>
      </c>
      <c r="B64" s="619"/>
      <c r="C64" s="619"/>
      <c r="D64" s="619"/>
      <c r="E64" s="619"/>
      <c r="F64" s="619"/>
      <c r="G64" s="619"/>
      <c r="H64" s="619"/>
      <c r="I64" s="619"/>
      <c r="J64" s="135" t="s">
        <v>457</v>
      </c>
      <c r="K64" s="135"/>
      <c r="O64" s="207"/>
      <c r="Q64" s="239"/>
    </row>
    <row r="65" spans="1:19">
      <c r="A65" s="5"/>
      <c r="B65" s="5"/>
      <c r="C65" s="5"/>
      <c r="D65" s="5"/>
      <c r="E65" s="5"/>
      <c r="F65" s="5"/>
      <c r="G65" s="135"/>
      <c r="H65" s="135"/>
      <c r="I65" s="196"/>
      <c r="J65" s="135"/>
      <c r="K65" s="135"/>
      <c r="L65" s="126"/>
      <c r="M65" s="187"/>
      <c r="N65" s="126"/>
      <c r="O65" s="209"/>
      <c r="Q65" s="239"/>
    </row>
    <row r="66" spans="1:19" s="156" customFormat="1" ht="48" customHeight="1">
      <c r="A66" s="153"/>
      <c r="B66" s="179" t="s">
        <v>462</v>
      </c>
      <c r="C66" s="180"/>
      <c r="D66" s="179" t="s">
        <v>240</v>
      </c>
      <c r="E66" s="19"/>
      <c r="F66" s="179" t="s">
        <v>241</v>
      </c>
      <c r="G66" s="19"/>
      <c r="H66" s="181" t="s">
        <v>242</v>
      </c>
      <c r="I66" s="198"/>
      <c r="L66" s="157" t="s">
        <v>457</v>
      </c>
      <c r="M66" s="231"/>
      <c r="N66" s="157"/>
      <c r="O66" s="210"/>
      <c r="Q66" s="239" t="s">
        <v>237</v>
      </c>
      <c r="R66" s="193"/>
      <c r="S66" s="74" t="s">
        <v>236</v>
      </c>
    </row>
    <row r="67" spans="1:19">
      <c r="A67" s="16"/>
      <c r="B67" s="60" t="s">
        <v>336</v>
      </c>
      <c r="C67" s="61" t="s">
        <v>427</v>
      </c>
      <c r="D67" s="60" t="s">
        <v>336</v>
      </c>
      <c r="E67" s="61" t="s">
        <v>427</v>
      </c>
      <c r="F67" s="60" t="s">
        <v>336</v>
      </c>
      <c r="G67" s="61" t="s">
        <v>427</v>
      </c>
      <c r="H67" s="134" t="s">
        <v>336</v>
      </c>
      <c r="I67" s="228" t="s">
        <v>427</v>
      </c>
      <c r="L67" s="133"/>
      <c r="M67" s="204"/>
      <c r="N67" s="133"/>
      <c r="O67" s="207"/>
      <c r="Q67" s="239"/>
    </row>
    <row r="68" spans="1:19" s="156" customFormat="1" ht="18" customHeight="1">
      <c r="A68" s="168" t="s">
        <v>456</v>
      </c>
      <c r="B68" s="172">
        <f>+GETPIVOTDATA(" New All Ranks avg",'Averages Pivot Table'!$A$3,"Category",12,"Category2","Technical Institutes")</f>
        <v>45855.188354653605</v>
      </c>
      <c r="C68" s="172"/>
      <c r="D68" s="172">
        <f>+GETPIVOTDATA(" New All Ranks avg",'Averages Pivot Table'!$A$3,"Category",13,"Category2","Technical Institutes")</f>
        <v>43801.787279337739</v>
      </c>
      <c r="E68" s="172"/>
      <c r="F68" s="172">
        <f>+GETPIVOTDATA(" New All Ranks avg",'Averages Pivot Table'!$A$3,"Category",14,"Category2","Technical Institutes")</f>
        <v>40024.100049110319</v>
      </c>
      <c r="G68" s="174"/>
      <c r="H68" s="172">
        <f>+GETPIVOTDATA(" New All Ranks avg",'Averages Pivot Table'!$A$3,"Category2","Technical Institutes")</f>
        <v>44097.216963692648</v>
      </c>
      <c r="I68" s="229"/>
      <c r="J68" s="172"/>
      <c r="K68" s="172"/>
      <c r="L68" s="172"/>
      <c r="M68" s="205"/>
      <c r="N68" s="173"/>
      <c r="O68" s="210"/>
      <c r="Q68" s="240">
        <f>(H68-S68)/S68</f>
        <v>-1.2385611299342061E-2</v>
      </c>
      <c r="R68" s="193" t="s">
        <v>456</v>
      </c>
      <c r="S68" s="171">
        <f>+GETPIVOTDATA(" Old All Ranks avg",'Averages Pivot Table'!$A$3,"Category2","Technical Institutes")</f>
        <v>44650.237449161286</v>
      </c>
    </row>
    <row r="69" spans="1:19" ht="12.95" customHeight="1">
      <c r="A69" s="12"/>
      <c r="B69" s="62"/>
      <c r="C69" s="62"/>
      <c r="D69" s="62"/>
      <c r="E69" s="62"/>
      <c r="F69" s="138"/>
      <c r="G69" s="148"/>
      <c r="H69" s="149"/>
      <c r="I69" s="151"/>
      <c r="J69" s="126"/>
      <c r="O69" s="207"/>
      <c r="Q69" s="241"/>
      <c r="S69" s="78"/>
    </row>
    <row r="70" spans="1:19" ht="12.95" customHeight="1">
      <c r="A70" s="12" t="s">
        <v>439</v>
      </c>
      <c r="B70" s="62">
        <f>+GETPIVOTDATA(" New All Ranks avg",'Averages Pivot Table'!$A$3,"State","AL","Category",12,"Category2","Technical Institutes")</f>
        <v>54504.933505263158</v>
      </c>
      <c r="C70" s="130">
        <f>IF(B70&gt;0,(RANK(B70,B$70:B$88)),0)</f>
        <v>1</v>
      </c>
      <c r="D70" s="62">
        <f>+GETPIVOTDATA(" New All Ranks avg",'Averages Pivot Table'!$A$3,"State","AL","Category",13,"Category2","Technical Institutes")</f>
        <v>52453.511352941176</v>
      </c>
      <c r="E70" s="130">
        <f>IF(D70&gt;0,(RANK(D70,D$70:D$88)),0)</f>
        <v>1</v>
      </c>
      <c r="F70" s="62">
        <f>+GETPIVOTDATA(" New All Ranks avg",'Averages Pivot Table'!$A$3,"State","AL","Category",14,"Category2","Technical Institutes")</f>
        <v>0</v>
      </c>
      <c r="G70" s="130">
        <f>IF(F70&gt;0,(RANK(F70,F$70:F$88)),0)</f>
        <v>0</v>
      </c>
      <c r="H70" s="149">
        <f>+GETPIVOTDATA(" New All Ranks avg",'Averages Pivot Table'!$A$3,"State","AL","Category2","Technical Institutes")</f>
        <v>53421.884542857144</v>
      </c>
      <c r="I70" s="201">
        <f>IF(H70&gt;0,(RANK(H70,H$70:H$88)),0)</f>
        <v>1</v>
      </c>
      <c r="J70" s="126"/>
      <c r="O70" s="209"/>
      <c r="Q70" s="241">
        <f>(H70-S70)/S70</f>
        <v>-4.9558132153468236E-3</v>
      </c>
      <c r="R70" s="74" t="s">
        <v>439</v>
      </c>
      <c r="S70" s="78">
        <f>+GETPIVOTDATA(" Old All Ranks avg",'Averages Pivot Table'!$A$3,"State","AL","Category2","Technical Institutes")</f>
        <v>53687.952004907973</v>
      </c>
    </row>
    <row r="71" spans="1:19" ht="12.95" customHeight="1">
      <c r="A71" s="12" t="s">
        <v>440</v>
      </c>
      <c r="B71" s="62">
        <f>+GETPIVOTDATA(" New All Ranks avg",'Averages Pivot Table'!$A$3,"State","AR","Category",12,"Category2","Technical Institutes")</f>
        <v>0</v>
      </c>
      <c r="C71" s="130">
        <f>IF(B71&gt;0,(RANK(B71,B$70:B$88)),0)</f>
        <v>0</v>
      </c>
      <c r="D71" s="62">
        <f>+GETPIVOTDATA(" New All Ranks avg",'Averages Pivot Table'!$A$3,"State","AR","Category",13,"Category2","Technical Institutes")</f>
        <v>0</v>
      </c>
      <c r="E71" s="130">
        <f>IF(D71&gt;0,(RANK(D71,D$70:D$88)),0)</f>
        <v>0</v>
      </c>
      <c r="F71" s="62">
        <f>+GETPIVOTDATA(" New All Ranks avg",'Averages Pivot Table'!$A$3,"State","AR","Category",14,"Category2","Technical Institutes")</f>
        <v>0</v>
      </c>
      <c r="G71" s="130">
        <f>IF(F71&gt;0,(RANK(F71,F$70:F$88)),0)</f>
        <v>0</v>
      </c>
      <c r="H71" s="149">
        <f>+GETPIVOTDATA(" New All Ranks avg",'Averages Pivot Table'!$A$3,"State","AR","Category2","Technical Institutes")</f>
        <v>0</v>
      </c>
      <c r="I71" s="201">
        <f>IF(H71&gt;0,(RANK(H71,H$70:H$88)),0)</f>
        <v>0</v>
      </c>
      <c r="J71" s="126"/>
      <c r="O71" s="207"/>
      <c r="Q71" s="241" t="e">
        <f>(H71-S71)/S71</f>
        <v>#DIV/0!</v>
      </c>
      <c r="R71" s="74" t="s">
        <v>440</v>
      </c>
      <c r="S71" s="78">
        <f>+GETPIVOTDATA(" Old All Ranks avg",'Averages Pivot Table'!$A$3,"State","AR","Category2","Technical Institutes")</f>
        <v>0</v>
      </c>
    </row>
    <row r="72" spans="1:19" ht="12.95" customHeight="1">
      <c r="A72" s="12" t="s">
        <v>455</v>
      </c>
      <c r="B72" s="62">
        <f>+GETPIVOTDATA(" New All Ranks avg",'Averages Pivot Table'!$A$3,"State","DE","Category",12,"Category2","Technical Institutes")</f>
        <v>0</v>
      </c>
      <c r="C72" s="130">
        <f>IF(B72&gt;0,(RANK(B72,B$70:B$88)),0)</f>
        <v>0</v>
      </c>
      <c r="D72" s="62">
        <f>+GETPIVOTDATA(" New All Ranks avg",'Averages Pivot Table'!$A$3,"State","DE","Category",13,"Category2","Technical Institutes")</f>
        <v>0</v>
      </c>
      <c r="E72" s="130">
        <f>IF(D72&gt;0,(RANK(D72,D$70:D$88)),0)</f>
        <v>0</v>
      </c>
      <c r="F72" s="62">
        <f>+GETPIVOTDATA(" New All Ranks avg",'Averages Pivot Table'!$A$3,"State","DE","Category",14,"Category2","Technical Institutes")</f>
        <v>0</v>
      </c>
      <c r="G72" s="130">
        <f>IF(F72&gt;0,(RANK(F72,F$70:F$88)),0)</f>
        <v>0</v>
      </c>
      <c r="H72" s="149">
        <f>+GETPIVOTDATA(" New All Ranks avg",'Averages Pivot Table'!$A$3,"State","DE","Category2","Technical Institutes")</f>
        <v>0</v>
      </c>
      <c r="I72" s="201">
        <f>IF(H72&gt;0,(RANK(H72,H$70:H$88)),0)</f>
        <v>0</v>
      </c>
      <c r="J72" s="126"/>
      <c r="O72" s="207"/>
      <c r="Q72" s="241" t="e">
        <f>(H72-S72)/S72</f>
        <v>#DIV/0!</v>
      </c>
      <c r="R72" s="74" t="s">
        <v>455</v>
      </c>
      <c r="S72" s="78">
        <f>+GETPIVOTDATA(" Old All Ranks avg",'Averages Pivot Table'!$A$3,"State","DE","Category2","Technical Institutes")</f>
        <v>0</v>
      </c>
    </row>
    <row r="73" spans="1:19" ht="12.95" customHeight="1">
      <c r="A73" s="12" t="s">
        <v>441</v>
      </c>
      <c r="B73" s="62">
        <f>+GETPIVOTDATA(" New All Ranks avg",'Averages Pivot Table'!$A$3,"State","FL","Category",12,"Category2","Technical Institutes")</f>
        <v>0</v>
      </c>
      <c r="C73" s="130">
        <f>IF(B73&gt;0,(RANK(B73,B$70:B$88)),0)</f>
        <v>0</v>
      </c>
      <c r="D73" s="62">
        <f>+GETPIVOTDATA(" New All Ranks avg",'Averages Pivot Table'!$A$3,"State","FL","Category",13,"Category2","Technical Institutes")</f>
        <v>0</v>
      </c>
      <c r="E73" s="130">
        <f>IF(D73&gt;0,(RANK(D73,D$70:D$88)),0)</f>
        <v>0</v>
      </c>
      <c r="F73" s="62">
        <f>+GETPIVOTDATA(" New All Ranks avg",'Averages Pivot Table'!$A$3,"State","FL","Category",14,"Category2","Technical Institutes")</f>
        <v>0</v>
      </c>
      <c r="G73" s="130">
        <f>IF(F73&gt;0,(RANK(F73,F$70:F$88)),0)</f>
        <v>0</v>
      </c>
      <c r="H73" s="149">
        <f>+GETPIVOTDATA(" New All Ranks avg",'Averages Pivot Table'!$A$3,"State","FL","Category2","Technical Institutes")</f>
        <v>0</v>
      </c>
      <c r="I73" s="201">
        <f>IF(H73&gt;0,(RANK(H73,H$70:H$88)),0)</f>
        <v>0</v>
      </c>
      <c r="J73" s="126"/>
      <c r="O73" s="207"/>
      <c r="Q73" s="241" t="e">
        <f>(H73-S73)/S73</f>
        <v>#DIV/0!</v>
      </c>
      <c r="R73" s="74" t="s">
        <v>441</v>
      </c>
      <c r="S73" s="78">
        <f>+GETPIVOTDATA(" Old All Ranks avg",'Averages Pivot Table'!$A$3,"State","FL","Category2","Technical Institutes")</f>
        <v>0</v>
      </c>
    </row>
    <row r="74" spans="1:19" ht="12.95" customHeight="1">
      <c r="A74" s="12"/>
      <c r="B74" s="62"/>
      <c r="C74" s="130"/>
      <c r="D74" s="62"/>
      <c r="E74" s="130"/>
      <c r="F74" s="62"/>
      <c r="G74" s="130"/>
      <c r="H74" s="149"/>
      <c r="I74" s="201"/>
      <c r="J74" s="126"/>
      <c r="O74" s="207"/>
      <c r="Q74" s="241"/>
      <c r="S74" s="78"/>
    </row>
    <row r="75" spans="1:19" ht="12.95" customHeight="1">
      <c r="A75" s="12" t="s">
        <v>442</v>
      </c>
      <c r="B75" s="62">
        <f>+GETPIVOTDATA(" New All Ranks avg",'Averages Pivot Table'!$A$3,"State","GA","Category",12,"Category2","Technical Institutes")</f>
        <v>45125.410549044027</v>
      </c>
      <c r="C75" s="130">
        <f>IF(B75&gt;0,(RANK(B75,B$70:B$88)),0)</f>
        <v>3</v>
      </c>
      <c r="D75" s="62">
        <f>+GETPIVOTDATA(" New All Ranks avg",'Averages Pivot Table'!$A$3,"State","GA","Category",13,"Category2","Technical Institutes")</f>
        <v>37133.188799999996</v>
      </c>
      <c r="E75" s="130">
        <f>IF(D75&gt;0,(RANK(D75,D$70:D$88)),0)</f>
        <v>3</v>
      </c>
      <c r="F75" s="62">
        <f>+GETPIVOTDATA(" New All Ranks avg",'Averages Pivot Table'!$A$3,"State","GA","Category",14,"Category2","Technical Institutes")</f>
        <v>0</v>
      </c>
      <c r="G75" s="130">
        <f>IF(F75&gt;0,(RANK(F75,F$70:F$88)),0)</f>
        <v>0</v>
      </c>
      <c r="H75" s="149">
        <f>+GETPIVOTDATA(" New All Ranks avg",'Averages Pivot Table'!$A$3,"State","GA","Category2","Technical Institutes")</f>
        <v>45023.665847234421</v>
      </c>
      <c r="I75" s="201">
        <f>IF(H75&gt;0,(RANK(H75,H$70:H$88)),0)</f>
        <v>3</v>
      </c>
      <c r="J75" s="126"/>
      <c r="O75" s="207"/>
      <c r="Q75" s="241">
        <f>(H75-S75)/S75</f>
        <v>3.2219859803459061E-3</v>
      </c>
      <c r="R75" s="74" t="s">
        <v>442</v>
      </c>
      <c r="S75" s="78">
        <f>+GETPIVOTDATA(" Old All Ranks avg",'Averages Pivot Table'!$A$3,"State","GA","Category2","Technical Institutes")</f>
        <v>44879.06612536747</v>
      </c>
    </row>
    <row r="76" spans="1:19" ht="12.95" customHeight="1">
      <c r="A76" s="12" t="s">
        <v>443</v>
      </c>
      <c r="B76" s="62">
        <f>+GETPIVOTDATA(" New All Ranks avg",'Averages Pivot Table'!$A$3,"State","KY","Category",12,"Category2","Technical Institutes")</f>
        <v>44076.473624050632</v>
      </c>
      <c r="C76" s="130">
        <f>IF(B76&gt;0,(RANK(B76,B$70:B$88)),0)</f>
        <v>4</v>
      </c>
      <c r="D76" s="62">
        <f>+GETPIVOTDATA(" New All Ranks avg",'Averages Pivot Table'!$A$3,"State","KY","Category",13,"Category2","Technical Institutes")</f>
        <v>0</v>
      </c>
      <c r="E76" s="130">
        <f>IF(D76&gt;0,(RANK(D76,D$70:D$88)),0)</f>
        <v>0</v>
      </c>
      <c r="F76" s="62">
        <f>+GETPIVOTDATA(" New All Ranks avg",'Averages Pivot Table'!$A$3,"State","KY","Category",14,"Category2","Technical Institutes")</f>
        <v>0</v>
      </c>
      <c r="G76" s="130">
        <f>IF(F76&gt;0,(RANK(F76,F$70:F$88)),0)</f>
        <v>0</v>
      </c>
      <c r="H76" s="149">
        <f>+GETPIVOTDATA(" New All Ranks avg",'Averages Pivot Table'!$A$3,"State","KY","Category2","Technical Institutes")</f>
        <v>44076.473624050632</v>
      </c>
      <c r="I76" s="201">
        <f>IF(H76&gt;0,(RANK(H76,H$70:H$88)),0)</f>
        <v>4</v>
      </c>
      <c r="J76" s="126"/>
      <c r="O76" s="207"/>
      <c r="Q76" s="241">
        <f>(H76-S76)/S76</f>
        <v>-6.0846150365459232E-3</v>
      </c>
      <c r="R76" s="74" t="s">
        <v>443</v>
      </c>
      <c r="S76" s="78">
        <f>+GETPIVOTDATA(" Old All Ranks avg",'Averages Pivot Table'!$A$3,"State","KY","Category2","Technical Institutes")</f>
        <v>44346.303811034486</v>
      </c>
    </row>
    <row r="77" spans="1:19" ht="12.95" customHeight="1">
      <c r="A77" s="12" t="s">
        <v>444</v>
      </c>
      <c r="B77" s="62">
        <f>+GETPIVOTDATA(" New All Ranks avg",'Averages Pivot Table'!$A$3,"State","LA","Category",12,"Category2","Technical Institutes")</f>
        <v>40903.802615151515</v>
      </c>
      <c r="C77" s="130">
        <f>IF(B77&gt;0,(RANK(B77,B$70:B$88)),0)</f>
        <v>5</v>
      </c>
      <c r="D77" s="62">
        <f>+GETPIVOTDATA(" New All Ranks avg",'Averages Pivot Table'!$A$3,"State","LA","Category",13,"Category2","Technical Institutes")</f>
        <v>36778.146267924531</v>
      </c>
      <c r="E77" s="130">
        <f>IF(D77&gt;0,(RANK(D77,D$70:D$88)),0)</f>
        <v>5</v>
      </c>
      <c r="F77" s="62">
        <f>+GETPIVOTDATA(" New All Ranks avg",'Averages Pivot Table'!$A$3,"State","LA","Category",14,"Category2","Technical Institutes")</f>
        <v>39975.470922361361</v>
      </c>
      <c r="G77" s="130">
        <f>IF(F77&gt;0,(RANK(F77,F$70:F$88)),0)</f>
        <v>2</v>
      </c>
      <c r="H77" s="149">
        <f>+GETPIVOTDATA(" New All Ranks avg",'Averages Pivot Table'!$A$3,"State","LA","Category2","Technical Institutes")</f>
        <v>39888.010683912697</v>
      </c>
      <c r="I77" s="201">
        <f>IF(H77&gt;0,(RANK(H77,H$70:H$88)),0)</f>
        <v>5</v>
      </c>
      <c r="J77" s="126"/>
      <c r="Q77" s="241">
        <f>(H77-S77)/S77</f>
        <v>-5.5722352870271382E-3</v>
      </c>
      <c r="R77" s="74" t="s">
        <v>444</v>
      </c>
      <c r="S77" s="78">
        <f>+GETPIVOTDATA(" Old All Ranks avg",'Averages Pivot Table'!$A$3,"State","LA","Category2","Technical Institutes")</f>
        <v>40111.521519540227</v>
      </c>
    </row>
    <row r="78" spans="1:19" ht="12.95" customHeight="1">
      <c r="A78" s="12" t="s">
        <v>445</v>
      </c>
      <c r="B78" s="62">
        <f>+GETPIVOTDATA(" New All Ranks avg",'Averages Pivot Table'!$A$3,"State","MD","Category",12,"Category2","Technical Institutes")</f>
        <v>0</v>
      </c>
      <c r="C78" s="130">
        <f>IF(B78&gt;0,(RANK(B78,B$70:B$88)),0)</f>
        <v>0</v>
      </c>
      <c r="D78" s="62">
        <f>+GETPIVOTDATA(" New All Ranks avg",'Averages Pivot Table'!$A$3,"State","MD","Category",13,"Category2","Technical Institutes")</f>
        <v>0</v>
      </c>
      <c r="E78" s="130">
        <f>IF(D78&gt;0,(RANK(D78,D$70:D$88)),0)</f>
        <v>0</v>
      </c>
      <c r="F78" s="62">
        <f>+GETPIVOTDATA(" New All Ranks avg",'Averages Pivot Table'!$A$3,"State","MD","Category",14,"Category2","Technical Institutes")</f>
        <v>0</v>
      </c>
      <c r="G78" s="130">
        <f>IF(F78&gt;0,(RANK(F78,F$70:F$88)),0)</f>
        <v>0</v>
      </c>
      <c r="H78" s="149">
        <f>+GETPIVOTDATA(" New All Ranks avg",'Averages Pivot Table'!$A$3,"State","MD","Category2","Technical Institutes")</f>
        <v>0</v>
      </c>
      <c r="I78" s="201">
        <f>IF(H78&gt;0,(RANK(H78,H$70:H$88)),0)</f>
        <v>0</v>
      </c>
      <c r="J78" s="126"/>
      <c r="Q78" s="241" t="e">
        <f>(H78-S78)/S78</f>
        <v>#DIV/0!</v>
      </c>
      <c r="R78" s="74" t="s">
        <v>445</v>
      </c>
      <c r="S78" s="78">
        <f>+GETPIVOTDATA(" Old All Ranks avg",'Averages Pivot Table'!$A$3,"State","MD","Category2","Technical Institutes")</f>
        <v>0</v>
      </c>
    </row>
    <row r="79" spans="1:19" ht="12.95" customHeight="1">
      <c r="A79" s="12"/>
      <c r="B79" s="62"/>
      <c r="C79" s="130"/>
      <c r="D79" s="62"/>
      <c r="E79" s="130"/>
      <c r="F79" s="62"/>
      <c r="G79" s="130"/>
      <c r="H79" s="149"/>
      <c r="I79" s="201"/>
      <c r="J79" s="126"/>
      <c r="Q79" s="241"/>
      <c r="S79" s="78"/>
    </row>
    <row r="80" spans="1:19" ht="12.95" customHeight="1">
      <c r="A80" s="12" t="s">
        <v>446</v>
      </c>
      <c r="B80" s="62">
        <f>+GETPIVOTDATA(" New All Ranks avg",'Averages Pivot Table'!$A$3,"State","MS","Category",12,"Category2","Technical Institutes")</f>
        <v>0</v>
      </c>
      <c r="C80" s="130">
        <f>IF(B80&gt;0,(RANK(B80,B$70:B$88)),0)</f>
        <v>0</v>
      </c>
      <c r="D80" s="62">
        <f>+GETPIVOTDATA(" New All Ranks avg",'Averages Pivot Table'!$A$3,"State","MS","Category",13,"Category2","Technical Institutes")</f>
        <v>0</v>
      </c>
      <c r="E80" s="130">
        <f>IF(D80&gt;0,(RANK(D80,D$70:D$88)),0)</f>
        <v>0</v>
      </c>
      <c r="F80" s="62">
        <f>+GETPIVOTDATA(" New All Ranks avg",'Averages Pivot Table'!$A$3,"State","MS","Category",14,"Category2","Technical Institutes")</f>
        <v>0</v>
      </c>
      <c r="G80" s="130">
        <f>IF(F80&gt;0,(RANK(F80,F$70:F$88)),0)</f>
        <v>0</v>
      </c>
      <c r="H80" s="149">
        <f>+GETPIVOTDATA(" New All Ranks avg",'Averages Pivot Table'!$A$3,"State","MS","Category2","Technical Institutes")</f>
        <v>0</v>
      </c>
      <c r="I80" s="201">
        <f>IF(H80&gt;0,(RANK(H80,H$70:H$88)),0)</f>
        <v>0</v>
      </c>
      <c r="J80" s="126"/>
      <c r="Q80" s="241" t="e">
        <f>(H80-S80)/S80</f>
        <v>#DIV/0!</v>
      </c>
      <c r="R80" s="74" t="s">
        <v>446</v>
      </c>
      <c r="S80" s="78">
        <f>+GETPIVOTDATA(" Old All Ranks avg",'Averages Pivot Table'!$A$3,"State","MS","Category2","Technical Institutes")</f>
        <v>0</v>
      </c>
    </row>
    <row r="81" spans="1:19" ht="12.95" customHeight="1">
      <c r="A81" s="12" t="s">
        <v>447</v>
      </c>
      <c r="B81" s="62">
        <f>+GETPIVOTDATA(" New All Ranks avg",'Averages Pivot Table'!$A$3,"State","NC","Category",12,"Category2","Technical Institutes")</f>
        <v>0</v>
      </c>
      <c r="C81" s="130">
        <f>IF(B81&gt;0,(RANK(B81,B$70:B$88)),0)</f>
        <v>0</v>
      </c>
      <c r="D81" s="62">
        <f>+GETPIVOTDATA(" New All Ranks avg",'Averages Pivot Table'!$A$3,"State","NC","Category",13,"Category2","Technical Institutes")</f>
        <v>0</v>
      </c>
      <c r="E81" s="130">
        <f>IF(D81&gt;0,(RANK(D81,D$70:D$88)),0)</f>
        <v>0</v>
      </c>
      <c r="F81" s="62">
        <f>+GETPIVOTDATA(" New All Ranks avg",'Averages Pivot Table'!$A$3,"State","NC","Category",14,"Category2","Technical Institutes")</f>
        <v>0</v>
      </c>
      <c r="G81" s="130">
        <f>IF(F81&gt;0,(RANK(F81,F$70:F$88)),0)</f>
        <v>0</v>
      </c>
      <c r="H81" s="149">
        <f>+GETPIVOTDATA(" New All Ranks avg",'Averages Pivot Table'!$A$3,"State","NC","Category2","Technical Institutes")</f>
        <v>0</v>
      </c>
      <c r="I81" s="201">
        <f>IF(H81&gt;0,(RANK(H81,H$70:H$88)),0)</f>
        <v>0</v>
      </c>
      <c r="J81" s="126"/>
      <c r="Q81" s="241" t="e">
        <f>(H81-S81)/S81</f>
        <v>#DIV/0!</v>
      </c>
      <c r="R81" s="74" t="s">
        <v>447</v>
      </c>
      <c r="S81" s="78">
        <f>+GETPIVOTDATA(" Old All Ranks avg",'Averages Pivot Table'!$A$3,"State","NC","Category2","Technical Institutes")</f>
        <v>0</v>
      </c>
    </row>
    <row r="82" spans="1:19" ht="12.95" customHeight="1">
      <c r="A82" s="12" t="s">
        <v>448</v>
      </c>
      <c r="B82" s="62">
        <f>+GETPIVOTDATA(" New All Ranks avg",'Averages Pivot Table'!$A$3,"State","OK","Category",12,"Category2","Technical Institutes")</f>
        <v>51006.379421359226</v>
      </c>
      <c r="C82" s="130">
        <f>IF(B82&gt;0,(RANK(B82,B$70:B$88)),0)</f>
        <v>2</v>
      </c>
      <c r="D82" s="62">
        <f>+GETPIVOTDATA(" New All Ranks avg",'Averages Pivot Table'!$A$3,"State","OK","Category",13,"Category2","Technical Institutes")</f>
        <v>48075.167293366103</v>
      </c>
      <c r="E82" s="130">
        <f>IF(D82&gt;0,(RANK(D82,D$70:D$88)),0)</f>
        <v>2</v>
      </c>
      <c r="F82" s="62">
        <f>+GETPIVOTDATA(" New All Ranks avg",'Averages Pivot Table'!$A$3,"State","OK","Category",14,"Category2","Technical Institutes")</f>
        <v>49085.327333333342</v>
      </c>
      <c r="G82" s="130">
        <f>IF(F82&gt;0,(RANK(F82,F$70:F$88)),0)</f>
        <v>1</v>
      </c>
      <c r="H82" s="149">
        <f>+GETPIVOTDATA(" New All Ranks avg",'Averages Pivot Table'!$A$3,"State","OK","Category2","Technical Institutes")</f>
        <v>48882.789532329502</v>
      </c>
      <c r="I82" s="201">
        <f>IF(H82&gt;0,(RANK(H82,H$70:H$88)),0)</f>
        <v>2</v>
      </c>
      <c r="J82" s="126"/>
      <c r="Q82" s="241">
        <f>(H82-S82)/S82</f>
        <v>3.1973561567938836E-3</v>
      </c>
      <c r="R82" s="74" t="s">
        <v>448</v>
      </c>
      <c r="S82" s="78">
        <f>+GETPIVOTDATA(" Old All Ranks avg",'Averages Pivot Table'!$A$3,"State","OK","Category2","Technical Institutes")</f>
        <v>48726.991984505796</v>
      </c>
    </row>
    <row r="83" spans="1:19" ht="12.95" customHeight="1">
      <c r="A83" s="12" t="s">
        <v>449</v>
      </c>
      <c r="B83" s="62">
        <f>+GETPIVOTDATA(" New All Ranks avg",'Averages Pivot Table'!$A$3,"State","SC","Category",12,"Category2","Technical Institutes")</f>
        <v>0</v>
      </c>
      <c r="C83" s="130">
        <f>IF(B83&gt;0,(RANK(B83,B$70:B$88)),0)</f>
        <v>0</v>
      </c>
      <c r="D83" s="62">
        <f>+GETPIVOTDATA(" New All Ranks avg",'Averages Pivot Table'!$A$3,"State","SC","Category",13,"Category2","Technical Institutes")</f>
        <v>0</v>
      </c>
      <c r="E83" s="130">
        <f>IF(D83&gt;0,(RANK(D83,D$70:D$88)),0)</f>
        <v>0</v>
      </c>
      <c r="F83" s="62">
        <f>+GETPIVOTDATA(" New All Ranks avg",'Averages Pivot Table'!$A$3,"State","SC","Category",14,"Category2","Technical Institutes")</f>
        <v>0</v>
      </c>
      <c r="G83" s="130">
        <f>IF(F83&gt;0,(RANK(F83,F$70:F$88)),0)</f>
        <v>0</v>
      </c>
      <c r="H83" s="149">
        <f>+GETPIVOTDATA(" New All Ranks avg",'Averages Pivot Table'!$A$3,"State","SC","Category2","Technical Institutes")</f>
        <v>0</v>
      </c>
      <c r="I83" s="201">
        <f>IF(H83&gt;0,(RANK(H83,H$70:H$88)),0)</f>
        <v>0</v>
      </c>
      <c r="J83" s="126"/>
      <c r="Q83" s="241" t="e">
        <f>(H83-S83)/S83</f>
        <v>#DIV/0!</v>
      </c>
      <c r="R83" s="74" t="s">
        <v>449</v>
      </c>
      <c r="S83" s="78">
        <f>+GETPIVOTDATA(" Old All Ranks avg",'Averages Pivot Table'!$A$3,"State","SC","Category2","Technical Institutes")</f>
        <v>0</v>
      </c>
    </row>
    <row r="84" spans="1:19" ht="12.95" customHeight="1">
      <c r="A84" s="12"/>
      <c r="B84" s="62"/>
      <c r="C84" s="130"/>
      <c r="D84" s="62"/>
      <c r="E84" s="130"/>
      <c r="F84" s="62"/>
      <c r="G84" s="130"/>
      <c r="H84" s="149"/>
      <c r="I84" s="201"/>
      <c r="J84" s="126"/>
      <c r="Q84" s="241"/>
      <c r="S84" s="78"/>
    </row>
    <row r="85" spans="1:19" ht="12.95" customHeight="1">
      <c r="A85" s="12" t="s">
        <v>450</v>
      </c>
      <c r="B85" s="129">
        <f>+GETPIVOTDATA(" New All Ranks avg",'Averages Pivot Table'!$A$3,"State","TN","Category",12,"Category2","Technical Institutes")</f>
        <v>0</v>
      </c>
      <c r="C85" s="130">
        <f>IF(B85&gt;0,(RANK(B85,B$70:B$88)),0)</f>
        <v>0</v>
      </c>
      <c r="D85" s="129">
        <f>+GETPIVOTDATA(" New All Ranks avg",'Averages Pivot Table'!$A$3,"State","TN","Category",13,"Category2","Technical Institutes")</f>
        <v>36905.217244990548</v>
      </c>
      <c r="E85" s="130">
        <f>IF(D85&gt;0,(RANK(D85,D$70:D$88)),0)</f>
        <v>4</v>
      </c>
      <c r="F85" s="129">
        <f>+GETPIVOTDATA(" New All Ranks avg",'Averages Pivot Table'!$A$3,"State","TN","Category",14,"Category2","Technical Institutes")</f>
        <v>0</v>
      </c>
      <c r="G85" s="130">
        <f>IF(F85&gt;0,(RANK(F85,F$70:F$88)),0)</f>
        <v>0</v>
      </c>
      <c r="H85" s="149">
        <f>+GETPIVOTDATA(" New All Ranks avg",'Averages Pivot Table'!$A$3,"State","TN","Category2","Technical Institutes")</f>
        <v>36905.217244990548</v>
      </c>
      <c r="I85" s="201">
        <f>IF(H85&gt;0,(RANK(H85,H$70:H$88)),0)</f>
        <v>6</v>
      </c>
      <c r="J85" s="126"/>
      <c r="Q85" s="241">
        <f>(H85-S85)/S85</f>
        <v>-8.2847680459211884E-3</v>
      </c>
      <c r="R85" s="74" t="s">
        <v>450</v>
      </c>
      <c r="S85" s="78">
        <f>+GETPIVOTDATA(" Old All Ranks avg",'Averages Pivot Table'!$A$3,"State","TN","Category2","Technical Institutes")</f>
        <v>37213.522648303377</v>
      </c>
    </row>
    <row r="86" spans="1:19" ht="12.95" customHeight="1">
      <c r="A86" s="12" t="s">
        <v>451</v>
      </c>
      <c r="B86" s="129">
        <f>+GETPIVOTDATA(" New All Ranks avg",'Averages Pivot Table'!$A$3,"State","TX","Category",12,"Category2","Technical Institutes")</f>
        <v>0</v>
      </c>
      <c r="C86" s="130">
        <f>IF(B86&gt;0,(RANK(B86,B$70:B$88)),0)</f>
        <v>0</v>
      </c>
      <c r="D86" s="129">
        <f>+GETPIVOTDATA(" New All Ranks avg",'Averages Pivot Table'!$A$3,"State","TX","Category",13,"Category2","Technical Institutes")</f>
        <v>0</v>
      </c>
      <c r="E86" s="130">
        <f>IF(D86&gt;0,(RANK(D86,D$70:D$88)),0)</f>
        <v>0</v>
      </c>
      <c r="F86" s="129">
        <f>+GETPIVOTDATA(" New All Ranks avg",'Averages Pivot Table'!$A$3,"State","TX","Category",14,"Category2","Technical Institutes")</f>
        <v>0</v>
      </c>
      <c r="G86" s="130">
        <f>IF(F86&gt;0,(RANK(F86,F$70:F$88)),0)</f>
        <v>0</v>
      </c>
      <c r="H86" s="149">
        <f>+GETPIVOTDATA(" New All Ranks avg",'Averages Pivot Table'!$A$3,"State","TX","Category2","Technical Institutes")</f>
        <v>0</v>
      </c>
      <c r="I86" s="201">
        <f>IF(H86&gt;0,(RANK(H86,H$70:H$88)),0)</f>
        <v>0</v>
      </c>
      <c r="J86" s="126"/>
      <c r="Q86" s="241" t="e">
        <f>(H86-S86)/S86</f>
        <v>#DIV/0!</v>
      </c>
      <c r="R86" s="74" t="s">
        <v>451</v>
      </c>
      <c r="S86" s="78">
        <f>+GETPIVOTDATA(" Old All Ranks avg",'Averages Pivot Table'!$A$3,"State","TX","Category2","Technical Institutes")</f>
        <v>0</v>
      </c>
    </row>
    <row r="87" spans="1:19" ht="12.95" customHeight="1">
      <c r="A87" s="12" t="s">
        <v>452</v>
      </c>
      <c r="B87" s="129">
        <f>+GETPIVOTDATA(" New All Ranks avg",'Averages Pivot Table'!$A$3,"State","VA","Category",12,"Category2","Technical Institutes")</f>
        <v>0</v>
      </c>
      <c r="C87" s="130">
        <f>IF(B87&gt;0,(RANK(B87,B$70:B$88)),0)</f>
        <v>0</v>
      </c>
      <c r="D87" s="129">
        <f>+GETPIVOTDATA(" New All Ranks avg",'Averages Pivot Table'!$A$3,"State","VA","Category",13,"Category2","Technical Institutes")</f>
        <v>0</v>
      </c>
      <c r="E87" s="130">
        <f>IF(D87&gt;0,(RANK(D87,D$70:D$88)),0)</f>
        <v>0</v>
      </c>
      <c r="F87" s="129">
        <f>+GETPIVOTDATA(" New All Ranks avg",'Averages Pivot Table'!$A$3,"State","VA","Category",14,"Category2","Technical Institutes")</f>
        <v>0</v>
      </c>
      <c r="G87" s="130">
        <f>IF(F87&gt;0,(RANK(F87,F$70:F$88)),0)</f>
        <v>0</v>
      </c>
      <c r="H87" s="149">
        <f>+GETPIVOTDATA(" New All Ranks avg",'Averages Pivot Table'!$A$3,"State","VA","Category2","Technical Institutes")</f>
        <v>0</v>
      </c>
      <c r="I87" s="201">
        <f>IF(H87&gt;0,(RANK(H87,H$70:H$88)),0)</f>
        <v>0</v>
      </c>
      <c r="J87" s="126"/>
      <c r="Q87" s="241" t="e">
        <f>(H87-S87)/S87</f>
        <v>#DIV/0!</v>
      </c>
      <c r="R87" s="74" t="s">
        <v>452</v>
      </c>
      <c r="S87" s="78">
        <f>+GETPIVOTDATA(" Old All Ranks avg",'Averages Pivot Table'!$A$3,"State","VA","Category2","Technical Institutes")</f>
        <v>0</v>
      </c>
    </row>
    <row r="88" spans="1:19" ht="12.95" customHeight="1">
      <c r="A88" s="11" t="s">
        <v>453</v>
      </c>
      <c r="B88" s="64">
        <f>+GETPIVOTDATA(" New All Ranks avg",'Averages Pivot Table'!$A$3,"State","WV","Category",12,"Category2","Technical Institutes")</f>
        <v>0</v>
      </c>
      <c r="C88" s="65">
        <f>IF(B88&gt;0,(RANK(B88,B$70:B$88)),0)</f>
        <v>0</v>
      </c>
      <c r="D88" s="64">
        <f>+GETPIVOTDATA(" New All Ranks avg",'Averages Pivot Table'!$A$3,"State","WV","Category",13,"Category2","Technical Institutes")</f>
        <v>0</v>
      </c>
      <c r="E88" s="65">
        <f>IF(D88&gt;0,(RANK(D88,D$70:D$88)),0)</f>
        <v>0</v>
      </c>
      <c r="F88" s="64">
        <f>+GETPIVOTDATA(" New All Ranks avg",'Averages Pivot Table'!$A$3,"State","WV","Category",14,"Category2","Technical Institutes")</f>
        <v>0</v>
      </c>
      <c r="G88" s="65">
        <f>IF(F88&gt;0,(RANK(F88,F$70:F$88)),0)</f>
        <v>0</v>
      </c>
      <c r="H88" s="150">
        <f>+GETPIVOTDATA(" New All Ranks avg",'Averages Pivot Table'!$A$3,"State","WV","Category2","Technical Institutes")</f>
        <v>0</v>
      </c>
      <c r="I88" s="202">
        <f>IF(H88&gt;0,(RANK(H88,H$70:H$88)),0)</f>
        <v>0</v>
      </c>
      <c r="J88" s="126"/>
      <c r="Q88" s="241" t="e">
        <f>(H88-S88)/S88</f>
        <v>#DIV/0!</v>
      </c>
      <c r="R88" s="74" t="s">
        <v>453</v>
      </c>
      <c r="S88" s="78">
        <f>+GETPIVOTDATA(" Old All Ranks avg",'Averages Pivot Table'!$A$3,"State","WV","Category2","Technical Institutes")</f>
        <v>0</v>
      </c>
    </row>
    <row r="89" spans="1:19" ht="39" customHeight="1">
      <c r="A89" s="622" t="s">
        <v>324</v>
      </c>
      <c r="B89" s="626"/>
      <c r="C89" s="626"/>
      <c r="D89" s="626"/>
      <c r="E89" s="626"/>
      <c r="F89" s="626"/>
      <c r="G89" s="623"/>
      <c r="H89" s="623"/>
      <c r="I89" s="623"/>
      <c r="J89" s="126"/>
    </row>
    <row r="90" spans="1:19">
      <c r="I90" s="244" t="s">
        <v>1166</v>
      </c>
    </row>
    <row r="91" spans="1:19" ht="18">
      <c r="A91" s="618" t="s">
        <v>779</v>
      </c>
      <c r="B91" s="618"/>
      <c r="C91" s="618"/>
      <c r="D91" s="618"/>
      <c r="E91" s="618"/>
      <c r="F91" s="618"/>
      <c r="G91" s="618"/>
      <c r="H91" s="618"/>
      <c r="I91" s="618"/>
      <c r="J91" s="618"/>
      <c r="K91" s="618"/>
      <c r="L91" s="618"/>
      <c r="M91" s="618"/>
      <c r="N91" s="167"/>
      <c r="O91" s="166"/>
    </row>
    <row r="92" spans="1:19">
      <c r="A92" s="23"/>
      <c r="B92" s="5"/>
      <c r="C92" s="5"/>
      <c r="D92" s="5"/>
      <c r="E92" s="5"/>
      <c r="F92" s="5"/>
      <c r="G92" s="5"/>
      <c r="H92" s="5"/>
      <c r="I92" s="159"/>
      <c r="J92" s="5"/>
      <c r="K92" s="5"/>
      <c r="L92" s="5"/>
      <c r="M92" s="159"/>
      <c r="N92" s="5"/>
      <c r="O92" s="159"/>
    </row>
    <row r="93" spans="1:19">
      <c r="A93" s="619" t="s">
        <v>454</v>
      </c>
      <c r="B93" s="619"/>
      <c r="C93" s="619"/>
      <c r="D93" s="619"/>
      <c r="E93" s="619"/>
      <c r="F93" s="619"/>
      <c r="G93" s="619"/>
      <c r="H93" s="619"/>
      <c r="I93" s="619"/>
      <c r="J93" s="619"/>
      <c r="K93" s="619"/>
      <c r="L93" s="619"/>
      <c r="M93" s="619"/>
      <c r="N93" s="177"/>
      <c r="O93" s="211"/>
    </row>
    <row r="94" spans="1:19">
      <c r="A94" s="619" t="s">
        <v>1160</v>
      </c>
      <c r="B94" s="619"/>
      <c r="C94" s="619"/>
      <c r="D94" s="619"/>
      <c r="E94" s="619"/>
      <c r="F94" s="619"/>
      <c r="G94" s="619"/>
      <c r="H94" s="619"/>
      <c r="I94" s="619"/>
      <c r="J94" s="619"/>
      <c r="K94" s="619"/>
      <c r="L94" s="619"/>
      <c r="M94" s="619"/>
      <c r="N94" s="177"/>
      <c r="O94" s="211"/>
    </row>
    <row r="95" spans="1:19">
      <c r="A95" s="12"/>
      <c r="B95" s="12"/>
      <c r="C95" s="12"/>
      <c r="D95" s="12"/>
      <c r="E95" s="12"/>
      <c r="F95" s="12"/>
      <c r="G95" s="12"/>
      <c r="H95" s="12"/>
      <c r="I95" s="215"/>
      <c r="J95" s="12"/>
      <c r="K95" s="12"/>
      <c r="L95" s="12"/>
      <c r="M95" s="215"/>
      <c r="N95" s="12"/>
      <c r="O95" s="215"/>
    </row>
    <row r="96" spans="1:19" ht="31.5" customHeight="1">
      <c r="A96" s="15"/>
      <c r="B96" s="21" t="s">
        <v>332</v>
      </c>
      <c r="C96" s="22"/>
      <c r="D96" s="141" t="s">
        <v>333</v>
      </c>
      <c r="E96" s="142"/>
      <c r="F96" s="141" t="s">
        <v>334</v>
      </c>
      <c r="G96" s="142"/>
      <c r="H96" s="21" t="s">
        <v>335</v>
      </c>
      <c r="I96" s="225"/>
      <c r="J96" s="141" t="s">
        <v>461</v>
      </c>
      <c r="K96" s="142"/>
      <c r="L96" s="22" t="s">
        <v>316</v>
      </c>
      <c r="M96" s="225"/>
      <c r="N96" s="63" t="s">
        <v>457</v>
      </c>
      <c r="O96" s="212"/>
    </row>
    <row r="97" spans="1:19">
      <c r="A97" s="16"/>
      <c r="B97" s="19" t="s">
        <v>336</v>
      </c>
      <c r="C97" s="18" t="s">
        <v>427</v>
      </c>
      <c r="D97" s="19" t="s">
        <v>336</v>
      </c>
      <c r="E97" s="18" t="s">
        <v>427</v>
      </c>
      <c r="F97" s="19" t="s">
        <v>336</v>
      </c>
      <c r="G97" s="18" t="s">
        <v>427</v>
      </c>
      <c r="H97" s="19" t="s">
        <v>336</v>
      </c>
      <c r="I97" s="226" t="s">
        <v>427</v>
      </c>
      <c r="J97" s="19" t="s">
        <v>336</v>
      </c>
      <c r="K97" s="18" t="s">
        <v>427</v>
      </c>
      <c r="L97" s="19" t="s">
        <v>336</v>
      </c>
      <c r="M97" s="226" t="s">
        <v>427</v>
      </c>
    </row>
    <row r="98" spans="1:19" s="156" customFormat="1" ht="18" customHeight="1">
      <c r="A98" s="168" t="s">
        <v>456</v>
      </c>
      <c r="B98" s="172">
        <f>+GETPIVOTDATA(" New Prof avg",'Averages Pivot Table'!$A$3,"Category2","Four-Year")</f>
        <v>103212.32795590247</v>
      </c>
      <c r="C98" s="172"/>
      <c r="D98" s="172">
        <f>+GETPIVOTDATA(" New Asc. avg",'Averages Pivot Table'!$A$3,"Category2","Four-Year")</f>
        <v>73898.324697466276</v>
      </c>
      <c r="E98" s="172"/>
      <c r="F98" s="172">
        <f>+GETPIVOTDATA(" New Ast. avg",'Averages Pivot Table'!$A$3,"Category2","Four-Year")</f>
        <v>62423.735593316022</v>
      </c>
      <c r="G98" s="172"/>
      <c r="H98" s="172">
        <f>+GETPIVOTDATA(" New Inst. avg",'Averages Pivot Table'!$A$3,"Category2","Four-Year")</f>
        <v>44395.283326791636</v>
      </c>
      <c r="I98" s="229"/>
      <c r="J98" s="172">
        <f>+GETPIVOTDATA(" New Undesg. avg",'Averages Pivot Table'!$A$3,"Category2","Four-Year")</f>
        <v>48961.219357781454</v>
      </c>
      <c r="K98" s="172"/>
      <c r="L98" s="172">
        <f>+GETPIVOTDATA(" New All Ranks avg",'Averages Pivot Table'!$A$3,"Category2","Four-Year")</f>
        <v>73954.52597053448</v>
      </c>
      <c r="M98" s="232"/>
      <c r="N98" s="172"/>
      <c r="O98" s="216"/>
      <c r="Q98" s="193"/>
      <c r="R98" s="193"/>
      <c r="S98" s="193"/>
    </row>
    <row r="99" spans="1:19" ht="12.95" customHeight="1">
      <c r="A99" s="12"/>
      <c r="B99" s="9"/>
      <c r="C99" s="17"/>
      <c r="D99" s="9"/>
      <c r="E99" s="17"/>
      <c r="F99" s="9"/>
      <c r="G99" s="17"/>
      <c r="H99" s="9"/>
      <c r="I99" s="233"/>
      <c r="J99" s="9"/>
      <c r="K99" s="17"/>
      <c r="L99" s="9"/>
      <c r="M99" s="233"/>
      <c r="N99" s="9"/>
      <c r="O99" s="217"/>
    </row>
    <row r="100" spans="1:19" ht="12.95" customHeight="1">
      <c r="A100" s="12" t="s">
        <v>439</v>
      </c>
      <c r="B100" s="10">
        <f>+GETPIVOTDATA(" New Prof avg",'Averages Pivot Table'!$A$3,"State","AL","Category2","Four-Year")</f>
        <v>101278.95544807122</v>
      </c>
      <c r="C100" s="130">
        <f t="shared" ref="C100:C118" si="1">IF(B100&gt;0,(RANK(B100,B$100:B$118)),0)</f>
        <v>7</v>
      </c>
      <c r="D100" s="10">
        <f>+GETPIVOTDATA(" New Asc. avg",'Averages Pivot Table'!$A$3,"State","AL","Category2","Four-Year")</f>
        <v>74325.366958983883</v>
      </c>
      <c r="E100" s="130">
        <f t="shared" ref="E100:E118" si="2">IF(D100&gt;0,(RANK(D100,D$100:D$118)),0)</f>
        <v>7</v>
      </c>
      <c r="F100" s="10">
        <f>+GETPIVOTDATA(" New Ast. avg",'Averages Pivot Table'!$A$3,"State","AL","Category2","Four-Year")</f>
        <v>59541.282097691896</v>
      </c>
      <c r="G100" s="130">
        <f t="shared" ref="G100:G118" si="3">IF(F100&gt;0,(RANK(F100,F$100:F$118)),0)</f>
        <v>9</v>
      </c>
      <c r="H100" s="10">
        <f>+GETPIVOTDATA(" New Inst. avg",'Averages Pivot Table'!$A$3,"State","AL","Category2","Four-Year")</f>
        <v>44337.701189961394</v>
      </c>
      <c r="I100" s="201">
        <f t="shared" ref="I100:I118" si="4">IF(H100&gt;0,(RANK(H100,H$100:H$118)),0)</f>
        <v>9</v>
      </c>
      <c r="J100" s="10">
        <f>+GETPIVOTDATA(" New Undesg. avg",'Averages Pivot Table'!$A$3,"State","AL","Category2","Four-Year")</f>
        <v>45908.26581095891</v>
      </c>
      <c r="K100" s="130">
        <f t="shared" ref="K100:K118" si="5">IF(J100&gt;0,(RANK(J100,J$100:J$118)),0)</f>
        <v>9</v>
      </c>
      <c r="L100" s="10">
        <f>+GETPIVOTDATA(" New All Ranks avg",'Averages Pivot Table'!$A$3,"State","AL","Category2","Four-Year")</f>
        <v>72751.781656992593</v>
      </c>
      <c r="M100" s="201">
        <f t="shared" ref="M100:M118" si="6">IF(L100&gt;0,(RANK(L100,L$100:L$118)),0)</f>
        <v>8</v>
      </c>
      <c r="N100" s="10"/>
      <c r="O100" s="218"/>
    </row>
    <row r="101" spans="1:19" ht="12.95" customHeight="1">
      <c r="A101" s="12" t="s">
        <v>440</v>
      </c>
      <c r="B101" s="10">
        <f>+GETPIVOTDATA(" New Prof avg",'Averages Pivot Table'!$A$3,"State","AR","Category2","Four-Year")</f>
        <v>85496.518468750015</v>
      </c>
      <c r="C101" s="130">
        <f t="shared" si="1"/>
        <v>15</v>
      </c>
      <c r="D101" s="10">
        <f>+GETPIVOTDATA(" New Asc. avg",'Averages Pivot Table'!$A$3,"State","AR","Category2","Four-Year")</f>
        <v>64329.264804502367</v>
      </c>
      <c r="E101" s="130">
        <f t="shared" si="2"/>
        <v>16</v>
      </c>
      <c r="F101" s="10">
        <f>+GETPIVOTDATA(" New Ast. avg",'Averages Pivot Table'!$A$3,"State","AR","Category2","Four-Year")</f>
        <v>55323.244611267604</v>
      </c>
      <c r="G101" s="130">
        <f t="shared" si="3"/>
        <v>15</v>
      </c>
      <c r="H101" s="10">
        <f>+GETPIVOTDATA(" New Inst. avg",'Averages Pivot Table'!$A$3,"State","AR","Category2","Four-Year")</f>
        <v>39685.125020909087</v>
      </c>
      <c r="I101" s="201">
        <f t="shared" si="4"/>
        <v>15</v>
      </c>
      <c r="J101" s="10">
        <f>+GETPIVOTDATA(" New Undesg. avg",'Averages Pivot Table'!$A$3,"State","AR","Category2","Four-Year")</f>
        <v>40741.623498230081</v>
      </c>
      <c r="K101" s="130">
        <f t="shared" si="5"/>
        <v>12</v>
      </c>
      <c r="L101" s="10">
        <f>+GETPIVOTDATA(" New All Ranks avg",'Averages Pivot Table'!$A$3,"State","AR","Category2","Four-Year")</f>
        <v>61129.79961629834</v>
      </c>
      <c r="M101" s="201">
        <f t="shared" si="6"/>
        <v>16</v>
      </c>
      <c r="N101" s="10"/>
      <c r="O101" s="218"/>
    </row>
    <row r="102" spans="1:19" ht="12.95" customHeight="1">
      <c r="A102" s="12" t="s">
        <v>455</v>
      </c>
      <c r="B102" s="10">
        <f>+GETPIVOTDATA(" New Prof avg",'Averages Pivot Table'!$A$3,"State","DE","Category2","Four-Year")</f>
        <v>129796.89912192771</v>
      </c>
      <c r="C102" s="130">
        <f t="shared" si="1"/>
        <v>1</v>
      </c>
      <c r="D102" s="10">
        <f>+GETPIVOTDATA(" New Asc. avg",'Averages Pivot Table'!$A$3,"State","DE","Category2","Four-Year")</f>
        <v>86343.212614678909</v>
      </c>
      <c r="E102" s="130">
        <f t="shared" si="2"/>
        <v>1</v>
      </c>
      <c r="F102" s="10">
        <f>+GETPIVOTDATA(" New Ast. avg",'Averages Pivot Table'!$A$3,"State","DE","Category2","Four-Year")</f>
        <v>74674.032444759214</v>
      </c>
      <c r="G102" s="130">
        <f t="shared" si="3"/>
        <v>1</v>
      </c>
      <c r="H102" s="10">
        <f>+GETPIVOTDATA(" New Inst. avg",'Averages Pivot Table'!$A$3,"State","DE","Category2","Four-Year")</f>
        <v>60414.894842372887</v>
      </c>
      <c r="I102" s="201">
        <f t="shared" si="4"/>
        <v>1</v>
      </c>
      <c r="J102" s="10">
        <f>+GETPIVOTDATA(" New Undesg. avg",'Averages Pivot Table'!$A$3,"State","DE","Category2","Four-Year")</f>
        <v>41893</v>
      </c>
      <c r="K102" s="130">
        <f t="shared" si="5"/>
        <v>11</v>
      </c>
      <c r="L102" s="10">
        <f>+GETPIVOTDATA(" New All Ranks avg",'Averages Pivot Table'!$A$3,"State","DE","Category2","Four-Year")</f>
        <v>94474.343564954674</v>
      </c>
      <c r="M102" s="201">
        <f t="shared" si="6"/>
        <v>1</v>
      </c>
      <c r="N102" s="10"/>
      <c r="O102" s="218"/>
    </row>
    <row r="103" spans="1:19" ht="12.95" customHeight="1">
      <c r="A103" s="12" t="s">
        <v>441</v>
      </c>
      <c r="B103" s="10">
        <f>+GETPIVOTDATA(" New Prof avg",'Averages Pivot Table'!$A$3,"State","FL","Category2","Four-Year")</f>
        <v>108816.0737400261</v>
      </c>
      <c r="C103" s="130">
        <f t="shared" si="1"/>
        <v>6</v>
      </c>
      <c r="D103" s="10">
        <f>+GETPIVOTDATA(" New Asc. avg",'Averages Pivot Table'!$A$3,"State","FL","Category2","Four-Year")</f>
        <v>76213.591940350088</v>
      </c>
      <c r="E103" s="130">
        <f t="shared" si="2"/>
        <v>6</v>
      </c>
      <c r="F103" s="10">
        <f>+GETPIVOTDATA(" New Ast. avg",'Averages Pivot Table'!$A$3,"State","FL","Category2","Four-Year")</f>
        <v>66022.436329974167</v>
      </c>
      <c r="G103" s="130">
        <f t="shared" si="3"/>
        <v>4</v>
      </c>
      <c r="H103" s="10">
        <f>+GETPIVOTDATA(" New Inst. avg",'Averages Pivot Table'!$A$3,"State","FL","Category2","Four-Year")</f>
        <v>48193.315039025052</v>
      </c>
      <c r="I103" s="201">
        <f t="shared" si="4"/>
        <v>3</v>
      </c>
      <c r="J103" s="10">
        <f>+GETPIVOTDATA(" New Undesg. avg",'Averages Pivot Table'!$A$3,"State","FL","Category2","Four-Year")</f>
        <v>56330.965895367524</v>
      </c>
      <c r="K103" s="130">
        <f t="shared" si="5"/>
        <v>2</v>
      </c>
      <c r="L103" s="10">
        <f>+GETPIVOTDATA(" New All Ranks avg",'Averages Pivot Table'!$A$3,"State","FL","Category2","Four-Year")</f>
        <v>78037.041880881632</v>
      </c>
      <c r="M103" s="201">
        <f t="shared" si="6"/>
        <v>5</v>
      </c>
      <c r="N103" s="10"/>
      <c r="O103" s="218"/>
    </row>
    <row r="104" spans="1:19" ht="12.95" customHeight="1">
      <c r="A104" s="12"/>
      <c r="B104" s="10"/>
      <c r="C104" s="130"/>
      <c r="D104" s="10"/>
      <c r="E104" s="130"/>
      <c r="F104" s="10"/>
      <c r="G104" s="130"/>
      <c r="H104" s="10"/>
      <c r="I104" s="201"/>
      <c r="J104" s="10"/>
      <c r="K104" s="130"/>
      <c r="L104" s="10"/>
      <c r="M104" s="201"/>
      <c r="N104" s="10"/>
      <c r="O104" s="218"/>
    </row>
    <row r="105" spans="1:19" ht="12.95" customHeight="1">
      <c r="A105" s="12" t="s">
        <v>442</v>
      </c>
      <c r="B105" s="10">
        <f>+GETPIVOTDATA(" New Prof avg",'Averages Pivot Table'!$A$3,"State","GA","Category2","Four-Year")</f>
        <v>101168.65917953177</v>
      </c>
      <c r="C105" s="130">
        <f t="shared" si="1"/>
        <v>8</v>
      </c>
      <c r="D105" s="10">
        <f>+GETPIVOTDATA(" New Asc. avg",'Averages Pivot Table'!$A$3,"State","GA","Category2","Four-Year")</f>
        <v>71989.985605063499</v>
      </c>
      <c r="E105" s="130">
        <f t="shared" si="2"/>
        <v>8</v>
      </c>
      <c r="F105" s="10">
        <f>+GETPIVOTDATA(" New Ast. avg",'Averages Pivot Table'!$A$3,"State","GA","Category2","Four-Year")</f>
        <v>61304.205027633325</v>
      </c>
      <c r="G105" s="130">
        <f t="shared" si="3"/>
        <v>8</v>
      </c>
      <c r="H105" s="10">
        <f>+GETPIVOTDATA(" New Inst. avg",'Averages Pivot Table'!$A$3,"State","GA","Category2","Four-Year")</f>
        <v>43425.251119778484</v>
      </c>
      <c r="I105" s="201">
        <f t="shared" si="4"/>
        <v>10</v>
      </c>
      <c r="J105" s="10">
        <f>+GETPIVOTDATA(" New Undesg. avg",'Averages Pivot Table'!$A$3,"State","GA","Category2","Four-Year")</f>
        <v>50140.536737910537</v>
      </c>
      <c r="K105" s="130">
        <f t="shared" si="5"/>
        <v>5</v>
      </c>
      <c r="L105" s="10">
        <f>+GETPIVOTDATA(" New All Ranks avg",'Averages Pivot Table'!$A$3,"State","GA","Category2","Four-Year")</f>
        <v>72774.068051609604</v>
      </c>
      <c r="M105" s="201">
        <f t="shared" si="6"/>
        <v>7</v>
      </c>
      <c r="N105" s="10"/>
      <c r="O105" s="218"/>
    </row>
    <row r="106" spans="1:19" ht="12.95" customHeight="1">
      <c r="A106" s="12" t="s">
        <v>443</v>
      </c>
      <c r="B106" s="10">
        <f>+GETPIVOTDATA(" New Prof avg",'Averages Pivot Table'!$A$3,"State","KY","Category2","Four-Year")</f>
        <v>95418.927701073626</v>
      </c>
      <c r="C106" s="130">
        <f t="shared" si="1"/>
        <v>10</v>
      </c>
      <c r="D106" s="10">
        <f>+GETPIVOTDATA(" New Asc. avg",'Averages Pivot Table'!$A$3,"State","KY","Category2","Four-Year")</f>
        <v>69662.165112973758</v>
      </c>
      <c r="E106" s="130">
        <f t="shared" si="2"/>
        <v>10</v>
      </c>
      <c r="F106" s="10">
        <f>+GETPIVOTDATA(" New Ast. avg",'Averages Pivot Table'!$A$3,"State","KY","Category2","Four-Year")</f>
        <v>59297.967202305474</v>
      </c>
      <c r="G106" s="130">
        <f t="shared" si="3"/>
        <v>10</v>
      </c>
      <c r="H106" s="10">
        <f>+GETPIVOTDATA(" New Inst. avg",'Averages Pivot Table'!$A$3,"State","KY","Category2","Four-Year")</f>
        <v>44482.54244432717</v>
      </c>
      <c r="I106" s="201">
        <f t="shared" si="4"/>
        <v>8</v>
      </c>
      <c r="J106" s="10">
        <f>+GETPIVOTDATA(" New Undesg. avg",'Averages Pivot Table'!$A$3,"State","KY","Category2","Four-Year")</f>
        <v>47532.937589254769</v>
      </c>
      <c r="K106" s="130">
        <f t="shared" si="5"/>
        <v>6</v>
      </c>
      <c r="L106" s="10">
        <f>+GETPIVOTDATA(" New All Ranks avg",'Averages Pivot Table'!$A$3,"State","KY","Category2","Four-Year")</f>
        <v>69042.577551673312</v>
      </c>
      <c r="M106" s="201">
        <f t="shared" si="6"/>
        <v>10</v>
      </c>
      <c r="N106" s="10"/>
      <c r="O106" s="218"/>
    </row>
    <row r="107" spans="1:19" ht="12.95" customHeight="1">
      <c r="A107" s="12" t="s">
        <v>444</v>
      </c>
      <c r="B107" s="10">
        <f>+GETPIVOTDATA(" New Prof avg",'Averages Pivot Table'!$A$3,"State","LA","Category2","Four-Year")</f>
        <v>91274.647875301205</v>
      </c>
      <c r="C107" s="130">
        <f t="shared" si="1"/>
        <v>12</v>
      </c>
      <c r="D107" s="10">
        <f>+GETPIVOTDATA(" New Asc. avg",'Averages Pivot Table'!$A$3,"State","LA","Category2","Four-Year")</f>
        <v>68556.594056930684</v>
      </c>
      <c r="E107" s="130">
        <f t="shared" si="2"/>
        <v>11</v>
      </c>
      <c r="F107" s="10">
        <f>+GETPIVOTDATA(" New Ast. avg",'Averages Pivot Table'!$A$3,"State","LA","Category2","Four-Year")</f>
        <v>58066.627615221711</v>
      </c>
      <c r="G107" s="130">
        <f t="shared" si="3"/>
        <v>11</v>
      </c>
      <c r="H107" s="10">
        <f>+GETPIVOTDATA(" New Inst. avg",'Averages Pivot Table'!$A$3,"State","LA","Category2","Four-Year")</f>
        <v>42506.175407272727</v>
      </c>
      <c r="I107" s="201">
        <f t="shared" si="4"/>
        <v>11</v>
      </c>
      <c r="J107" s="10">
        <f>+GETPIVOTDATA(" New Undesg. avg",'Averages Pivot Table'!$A$3,"State","LA","Category2","Four-Year")</f>
        <v>59469.15264242424</v>
      </c>
      <c r="K107" s="130">
        <f t="shared" si="5"/>
        <v>1</v>
      </c>
      <c r="L107" s="10">
        <f>+GETPIVOTDATA(" New All Ranks avg",'Averages Pivot Table'!$A$3,"State","LA","Category2","Four-Year")</f>
        <v>65908.823999419736</v>
      </c>
      <c r="M107" s="201">
        <f t="shared" si="6"/>
        <v>13</v>
      </c>
      <c r="N107" s="10"/>
      <c r="O107" s="218"/>
    </row>
    <row r="108" spans="1:19" ht="12.95" customHeight="1">
      <c r="A108" s="12" t="s">
        <v>445</v>
      </c>
      <c r="B108" s="10">
        <f>+GETPIVOTDATA(" New Prof avg",'Averages Pivot Table'!$A$3,"State","MD","Category2","Four-Year")</f>
        <v>114004.12994166066</v>
      </c>
      <c r="C108" s="130">
        <f t="shared" si="1"/>
        <v>2</v>
      </c>
      <c r="D108" s="10">
        <f>+GETPIVOTDATA(" New Asc. avg",'Averages Pivot Table'!$A$3,"State","MD","Category2","Four-Year")</f>
        <v>81246.602108148145</v>
      </c>
      <c r="E108" s="130">
        <f t="shared" si="2"/>
        <v>2</v>
      </c>
      <c r="F108" s="10">
        <f>+GETPIVOTDATA(" New Ast. avg",'Averages Pivot Table'!$A$3,"State","MD","Category2","Four-Year")</f>
        <v>67834.493388760588</v>
      </c>
      <c r="G108" s="130">
        <f t="shared" si="3"/>
        <v>2</v>
      </c>
      <c r="H108" s="10">
        <f>+GETPIVOTDATA(" New Inst. avg",'Averages Pivot Table'!$A$3,"State","MD","Category2","Four-Year")</f>
        <v>45021.114583333336</v>
      </c>
      <c r="I108" s="201">
        <f t="shared" si="4"/>
        <v>6</v>
      </c>
      <c r="J108" s="10">
        <f>+GETPIVOTDATA(" New Undesg. avg",'Averages Pivot Table'!$A$3,"State","MD","Category2","Four-Year")</f>
        <v>21481.022800000002</v>
      </c>
      <c r="K108" s="130">
        <f t="shared" si="5"/>
        <v>15</v>
      </c>
      <c r="L108" s="10">
        <f>+GETPIVOTDATA(" New All Ranks avg",'Averages Pivot Table'!$A$3,"State","MD","Category2","Four-Year")</f>
        <v>87322.115685592813</v>
      </c>
      <c r="M108" s="201">
        <f t="shared" si="6"/>
        <v>2</v>
      </c>
      <c r="N108" s="10"/>
      <c r="O108" s="218"/>
    </row>
    <row r="109" spans="1:19" ht="12.95" customHeight="1">
      <c r="A109" s="12"/>
      <c r="B109" s="10"/>
      <c r="C109" s="130"/>
      <c r="D109" s="10"/>
      <c r="E109" s="130"/>
      <c r="F109" s="10"/>
      <c r="G109" s="130"/>
      <c r="H109" s="10"/>
      <c r="I109" s="201"/>
      <c r="J109" s="10"/>
      <c r="K109" s="130"/>
      <c r="L109" s="10"/>
      <c r="M109" s="201"/>
      <c r="N109" s="10"/>
      <c r="O109" s="218"/>
    </row>
    <row r="110" spans="1:19" ht="12.95" customHeight="1">
      <c r="A110" s="12" t="s">
        <v>446</v>
      </c>
      <c r="B110" s="10">
        <f>+GETPIVOTDATA(" New Prof avg",'Averages Pivot Table'!$A$3,"State","MS","Category2","Four-Year")</f>
        <v>86896.227739107344</v>
      </c>
      <c r="C110" s="130">
        <f t="shared" si="1"/>
        <v>14</v>
      </c>
      <c r="D110" s="10">
        <f>+GETPIVOTDATA(" New Asc. avg",'Averages Pivot Table'!$A$3,"State","MS","Category2","Four-Year")</f>
        <v>67331.25147659854</v>
      </c>
      <c r="E110" s="130">
        <f t="shared" si="2"/>
        <v>13</v>
      </c>
      <c r="F110" s="10">
        <f>+GETPIVOTDATA(" New Ast. avg",'Averages Pivot Table'!$A$3,"State","MS","Category2","Four-Year")</f>
        <v>57791.179785715409</v>
      </c>
      <c r="G110" s="130">
        <f t="shared" si="3"/>
        <v>12</v>
      </c>
      <c r="H110" s="10">
        <f>+GETPIVOTDATA(" New Inst. avg",'Averages Pivot Table'!$A$3,"State","MS","Category2","Four-Year")</f>
        <v>41829.063639444103</v>
      </c>
      <c r="I110" s="201">
        <f t="shared" si="4"/>
        <v>12</v>
      </c>
      <c r="J110" s="10">
        <f>+GETPIVOTDATA(" New Undesg. avg",'Averages Pivot Table'!$A$3,"State","MS","Category2","Four-Year")</f>
        <v>33820.063883333336</v>
      </c>
      <c r="K110" s="130">
        <f t="shared" si="5"/>
        <v>14</v>
      </c>
      <c r="L110" s="10">
        <f>+GETPIVOTDATA(" New All Ranks avg",'Averages Pivot Table'!$A$3,"State","MS","Category2","Four-Year")</f>
        <v>62816.482272798901</v>
      </c>
      <c r="M110" s="201">
        <f t="shared" si="6"/>
        <v>15</v>
      </c>
      <c r="N110" s="10"/>
      <c r="O110" s="218"/>
    </row>
    <row r="111" spans="1:19" ht="12.95" customHeight="1">
      <c r="A111" s="12" t="s">
        <v>447</v>
      </c>
      <c r="B111" s="10">
        <f>+GETPIVOTDATA(" New Prof avg",'Averages Pivot Table'!$A$3,"State","NC","Category2","Four-Year")</f>
        <v>111209.74035163083</v>
      </c>
      <c r="C111" s="130">
        <f t="shared" si="1"/>
        <v>4</v>
      </c>
      <c r="D111" s="10">
        <f>+GETPIVOTDATA(" New Asc. avg",'Averages Pivot Table'!$A$3,"State","NC","Category2","Four-Year")</f>
        <v>78771.143588214662</v>
      </c>
      <c r="E111" s="130">
        <f t="shared" si="2"/>
        <v>3</v>
      </c>
      <c r="F111" s="10">
        <f>+GETPIVOTDATA(" New Ast. avg",'Averages Pivot Table'!$A$3,"State","NC","Category2","Four-Year")</f>
        <v>67119.989633777426</v>
      </c>
      <c r="G111" s="130">
        <f t="shared" si="3"/>
        <v>3</v>
      </c>
      <c r="H111" s="10">
        <f>+GETPIVOTDATA(" New Inst. avg",'Averages Pivot Table'!$A$3,"State","NC","Category2","Four-Year")</f>
        <v>57502.924204678369</v>
      </c>
      <c r="I111" s="201">
        <f t="shared" si="4"/>
        <v>2</v>
      </c>
      <c r="J111" s="10">
        <f>+GETPIVOTDATA(" New Undesg. avg",'Averages Pivot Table'!$A$3,"State","NC","Category2","Four-Year")</f>
        <v>54176.983503861884</v>
      </c>
      <c r="K111" s="130">
        <f t="shared" si="5"/>
        <v>3</v>
      </c>
      <c r="L111" s="10">
        <f>+GETPIVOTDATA(" New All Ranks avg",'Averages Pivot Table'!$A$3,"State","NC","Category2","Four-Year")</f>
        <v>79332.810015933195</v>
      </c>
      <c r="M111" s="201">
        <f t="shared" si="6"/>
        <v>4</v>
      </c>
      <c r="N111" s="10"/>
      <c r="O111" s="218"/>
    </row>
    <row r="112" spans="1:19" ht="12.95" customHeight="1">
      <c r="A112" s="12" t="s">
        <v>448</v>
      </c>
      <c r="B112" s="10">
        <f>+GETPIVOTDATA(" New Prof avg",'Averages Pivot Table'!$A$3,"State","OK","Category2","Four-Year")</f>
        <v>94344.138759067355</v>
      </c>
      <c r="C112" s="130">
        <f t="shared" si="1"/>
        <v>11</v>
      </c>
      <c r="D112" s="10">
        <f>+GETPIVOTDATA(" New Asc. avg",'Averages Pivot Table'!$A$3,"State","OK","Category2","Four-Year")</f>
        <v>66256.438672746328</v>
      </c>
      <c r="E112" s="130">
        <f t="shared" si="2"/>
        <v>14</v>
      </c>
      <c r="F112" s="10">
        <f>+GETPIVOTDATA(" New Ast. avg",'Averages Pivot Table'!$A$3,"State","OK","Category2","Four-Year")</f>
        <v>56960.608642215855</v>
      </c>
      <c r="G112" s="130">
        <f t="shared" si="3"/>
        <v>13</v>
      </c>
      <c r="H112" s="10">
        <f>+GETPIVOTDATA(" New Inst. avg",'Averages Pivot Table'!$A$3,"State","OK","Category2","Four-Year")</f>
        <v>40927.748899753693</v>
      </c>
      <c r="I112" s="201">
        <f t="shared" si="4"/>
        <v>13</v>
      </c>
      <c r="J112" s="10">
        <f>+GETPIVOTDATA(" New Undesg. avg",'Averages Pivot Table'!$A$3,"State","OK","Category2","Four-Year")</f>
        <v>0</v>
      </c>
      <c r="K112" s="130">
        <f t="shared" si="5"/>
        <v>0</v>
      </c>
      <c r="L112" s="10">
        <f>+GETPIVOTDATA(" New All Ranks avg",'Averages Pivot Table'!$A$3,"State","OK","Category2","Four-Year")</f>
        <v>66816.984268899527</v>
      </c>
      <c r="M112" s="201">
        <f t="shared" si="6"/>
        <v>12</v>
      </c>
      <c r="N112" s="10"/>
      <c r="O112" s="218"/>
    </row>
    <row r="113" spans="1:19" ht="12.95" customHeight="1">
      <c r="A113" s="12" t="s">
        <v>449</v>
      </c>
      <c r="B113" s="10">
        <f>+GETPIVOTDATA(" New Prof avg",'Averages Pivot Table'!$A$3,"State","SC","Category2","Four-Year")</f>
        <v>95819.367490311415</v>
      </c>
      <c r="C113" s="130">
        <f t="shared" si="1"/>
        <v>9</v>
      </c>
      <c r="D113" s="10">
        <f>+GETPIVOTDATA(" New Asc. avg",'Averages Pivot Table'!$A$3,"State","SC","Category2","Four-Year")</f>
        <v>70864.954276638658</v>
      </c>
      <c r="E113" s="130">
        <f t="shared" si="2"/>
        <v>9</v>
      </c>
      <c r="F113" s="10">
        <f>+GETPIVOTDATA(" New Ast. avg",'Averages Pivot Table'!$A$3,"State","SC","Category2","Four-Year")</f>
        <v>61690.498728310173</v>
      </c>
      <c r="G113" s="130">
        <f t="shared" si="3"/>
        <v>7</v>
      </c>
      <c r="H113" s="10">
        <f>+GETPIVOTDATA(" New Inst. avg",'Averages Pivot Table'!$A$3,"State","SC","Category2","Four-Year")</f>
        <v>44725.983891627904</v>
      </c>
      <c r="I113" s="201">
        <f t="shared" si="4"/>
        <v>7</v>
      </c>
      <c r="J113" s="10">
        <f>+GETPIVOTDATA(" New Undesg. avg",'Averages Pivot Table'!$A$3,"State","SC","Category2","Four-Year")</f>
        <v>44673.093353793105</v>
      </c>
      <c r="K113" s="130">
        <f t="shared" si="5"/>
        <v>10</v>
      </c>
      <c r="L113" s="10">
        <f>+GETPIVOTDATA(" New All Ranks avg",'Averages Pivot Table'!$A$3,"State","SC","Category2","Four-Year")</f>
        <v>70294.330321588102</v>
      </c>
      <c r="M113" s="201">
        <f t="shared" si="6"/>
        <v>9</v>
      </c>
      <c r="N113" s="10"/>
      <c r="O113" s="218"/>
    </row>
    <row r="114" spans="1:19" ht="12.95" customHeight="1">
      <c r="A114" s="12"/>
      <c r="B114" s="10"/>
      <c r="C114" s="130"/>
      <c r="D114" s="10"/>
      <c r="E114" s="130"/>
      <c r="F114" s="10"/>
      <c r="G114" s="130"/>
      <c r="H114" s="10"/>
      <c r="I114" s="201"/>
      <c r="J114" s="10"/>
      <c r="K114" s="130"/>
      <c r="L114" s="10"/>
      <c r="M114" s="201"/>
      <c r="N114" s="10"/>
      <c r="O114" s="218"/>
    </row>
    <row r="115" spans="1:19" ht="12.95" customHeight="1">
      <c r="A115" s="12" t="s">
        <v>450</v>
      </c>
      <c r="B115" s="140">
        <f>+GETPIVOTDATA(" New Prof avg",'Averages Pivot Table'!$A$3,"State","TN","Category2","Four-Year")</f>
        <v>89490.38025434663</v>
      </c>
      <c r="C115" s="130">
        <f t="shared" si="1"/>
        <v>13</v>
      </c>
      <c r="D115" s="140">
        <f>+GETPIVOTDATA(" New Asc. avg",'Averages Pivot Table'!$A$3,"State","TN","Category2","Four-Year")</f>
        <v>67446.417528091406</v>
      </c>
      <c r="E115" s="130">
        <f t="shared" si="2"/>
        <v>12</v>
      </c>
      <c r="F115" s="140">
        <f>+GETPIVOTDATA(" New Ast. avg",'Averages Pivot Table'!$A$3,"State","TN","Category2","Four-Year")</f>
        <v>56349.175674069149</v>
      </c>
      <c r="G115" s="130">
        <f t="shared" si="3"/>
        <v>14</v>
      </c>
      <c r="H115" s="140">
        <f>+GETPIVOTDATA(" New Inst. avg",'Averages Pivot Table'!$A$3,"State","TN","Category2","Four-Year")</f>
        <v>40498.545316397234</v>
      </c>
      <c r="I115" s="201">
        <f t="shared" si="4"/>
        <v>14</v>
      </c>
      <c r="J115" s="140">
        <f>+GETPIVOTDATA(" New Undesg. avg",'Averages Pivot Table'!$A$3,"State","TN","Category2","Four-Year")</f>
        <v>38517.180679999998</v>
      </c>
      <c r="K115" s="130">
        <f t="shared" si="5"/>
        <v>13</v>
      </c>
      <c r="L115" s="140">
        <f>+GETPIVOTDATA(" New All Ranks avg",'Averages Pivot Table'!$A$3,"State","TN","Category2","Four-Year")</f>
        <v>67160.426279245279</v>
      </c>
      <c r="M115" s="201">
        <f t="shared" si="6"/>
        <v>11</v>
      </c>
      <c r="N115" s="10"/>
      <c r="O115" s="218"/>
    </row>
    <row r="116" spans="1:19" ht="12.95" customHeight="1">
      <c r="A116" s="12" t="s">
        <v>451</v>
      </c>
      <c r="B116" s="140">
        <f>+GETPIVOTDATA(" New Prof avg",'Averages Pivot Table'!$A$3,"State","TX","Category2","Four-Year")</f>
        <v>109758.07101240676</v>
      </c>
      <c r="C116" s="130">
        <f t="shared" si="1"/>
        <v>5</v>
      </c>
      <c r="D116" s="140">
        <f>+GETPIVOTDATA(" New Asc. avg",'Averages Pivot Table'!$A$3,"State","TX","Category2","Four-Year")</f>
        <v>76221.662012852117</v>
      </c>
      <c r="E116" s="130">
        <f t="shared" si="2"/>
        <v>5</v>
      </c>
      <c r="F116" s="140">
        <f>+GETPIVOTDATA(" New Ast. avg",'Averages Pivot Table'!$A$3,"State","TX","Category2","Four-Year")</f>
        <v>65776.767740275769</v>
      </c>
      <c r="G116" s="130">
        <f t="shared" si="3"/>
        <v>5</v>
      </c>
      <c r="H116" s="140">
        <f>+GETPIVOTDATA(" New Inst. avg",'Averages Pivot Table'!$A$3,"State","TX","Category2","Four-Year")</f>
        <v>45334.801016849015</v>
      </c>
      <c r="I116" s="201">
        <f t="shared" si="4"/>
        <v>5</v>
      </c>
      <c r="J116" s="140">
        <f>+GETPIVOTDATA(" New Undesg. avg",'Averages Pivot Table'!$A$3,"State","TX","Category2","Four-Year")</f>
        <v>46449.127979209683</v>
      </c>
      <c r="K116" s="130">
        <f t="shared" si="5"/>
        <v>8</v>
      </c>
      <c r="L116" s="140">
        <f>+GETPIVOTDATA(" New All Ranks avg",'Averages Pivot Table'!$A$3,"State","TX","Category2","Four-Year")</f>
        <v>75977.00008845485</v>
      </c>
      <c r="M116" s="201">
        <f t="shared" si="6"/>
        <v>6</v>
      </c>
      <c r="N116" s="10"/>
      <c r="O116" s="218"/>
    </row>
    <row r="117" spans="1:19" ht="12.95" customHeight="1">
      <c r="A117" s="12" t="s">
        <v>452</v>
      </c>
      <c r="B117" s="140">
        <f>+GETPIVOTDATA(" New Prof avg",'Averages Pivot Table'!$A$3,"State","VA","Category2","Four-Year")</f>
        <v>111377.68054619484</v>
      </c>
      <c r="C117" s="130">
        <f t="shared" si="1"/>
        <v>3</v>
      </c>
      <c r="D117" s="140">
        <f>+GETPIVOTDATA(" New Asc. avg",'Averages Pivot Table'!$A$3,"State","VA","Category2","Four-Year")</f>
        <v>77705.375201826842</v>
      </c>
      <c r="E117" s="130">
        <f t="shared" si="2"/>
        <v>4</v>
      </c>
      <c r="F117" s="140">
        <f>+GETPIVOTDATA(" New Ast. avg",'Averages Pivot Table'!$A$3,"State","VA","Category2","Four-Year")</f>
        <v>64669.136509969787</v>
      </c>
      <c r="G117" s="130">
        <f t="shared" si="3"/>
        <v>6</v>
      </c>
      <c r="H117" s="140">
        <f>+GETPIVOTDATA(" New Inst. avg",'Averages Pivot Table'!$A$3,"State","VA","Category2","Four-Year")</f>
        <v>48173.439396909496</v>
      </c>
      <c r="I117" s="201">
        <f t="shared" si="4"/>
        <v>4</v>
      </c>
      <c r="J117" s="140">
        <f>+GETPIVOTDATA(" New Undesg. avg",'Averages Pivot Table'!$A$3,"State","VA","Category2","Four-Year")</f>
        <v>50317.294304316551</v>
      </c>
      <c r="K117" s="130">
        <f t="shared" si="5"/>
        <v>4</v>
      </c>
      <c r="L117" s="140">
        <f>+GETPIVOTDATA(" New All Ranks avg",'Averages Pivot Table'!$A$3,"State","VA","Category2","Four-Year")</f>
        <v>80471.193759384754</v>
      </c>
      <c r="M117" s="201">
        <f t="shared" si="6"/>
        <v>3</v>
      </c>
      <c r="N117" s="10"/>
      <c r="O117" s="218"/>
    </row>
    <row r="118" spans="1:19" ht="12.95" customHeight="1">
      <c r="A118" s="11" t="s">
        <v>453</v>
      </c>
      <c r="B118" s="66">
        <f>+GETPIVOTDATA(" New Prof avg",'Averages Pivot Table'!$A$3,"State","WV","Category2","Four-Year")</f>
        <v>85025.979041260754</v>
      </c>
      <c r="C118" s="65">
        <f t="shared" si="1"/>
        <v>16</v>
      </c>
      <c r="D118" s="66">
        <f>+GETPIVOTDATA(" New Asc. avg",'Averages Pivot Table'!$A$3,"State","WV","Category2","Four-Year")</f>
        <v>65758.364294897954</v>
      </c>
      <c r="E118" s="65">
        <f t="shared" si="2"/>
        <v>15</v>
      </c>
      <c r="F118" s="66">
        <f>+GETPIVOTDATA(" New Ast. avg",'Averages Pivot Table'!$A$3,"State","WV","Category2","Four-Year")</f>
        <v>54871.529626429481</v>
      </c>
      <c r="G118" s="65">
        <f t="shared" si="3"/>
        <v>16</v>
      </c>
      <c r="H118" s="66">
        <f>+GETPIVOTDATA(" New Inst. avg",'Averages Pivot Table'!$A$3,"State","WV","Category2","Four-Year")</f>
        <v>39138.409138947369</v>
      </c>
      <c r="I118" s="202">
        <f t="shared" si="4"/>
        <v>16</v>
      </c>
      <c r="J118" s="66">
        <f>+GETPIVOTDATA(" New Undesg. avg",'Averages Pivot Table'!$A$3,"State","WV","Category2","Four-Year")</f>
        <v>47420.706664000005</v>
      </c>
      <c r="K118" s="65">
        <f t="shared" si="5"/>
        <v>7</v>
      </c>
      <c r="L118" s="66">
        <f>+GETPIVOTDATA(" New All Ranks avg",'Averages Pivot Table'!$A$3,"State","WV","Category2","Four-Year")</f>
        <v>65285.464099351499</v>
      </c>
      <c r="M118" s="202">
        <f t="shared" si="6"/>
        <v>14</v>
      </c>
      <c r="N118" s="10"/>
      <c r="O118" s="213"/>
    </row>
    <row r="119" spans="1:19" ht="30" customHeight="1">
      <c r="A119" s="622" t="s">
        <v>323</v>
      </c>
      <c r="B119" s="623"/>
      <c r="C119" s="623"/>
      <c r="D119" s="623"/>
      <c r="E119" s="623"/>
      <c r="F119" s="623"/>
      <c r="G119" s="623"/>
      <c r="H119" s="623"/>
      <c r="I119" s="623"/>
      <c r="J119" s="623"/>
      <c r="K119" s="623"/>
      <c r="L119" s="623"/>
      <c r="M119" s="623"/>
      <c r="N119" s="12"/>
      <c r="O119" s="215"/>
    </row>
    <row r="120" spans="1:19">
      <c r="M120" s="244" t="s">
        <v>1166</v>
      </c>
      <c r="O120" s="214"/>
    </row>
    <row r="121" spans="1:19" ht="18">
      <c r="A121" s="618" t="s">
        <v>780</v>
      </c>
      <c r="B121" s="618"/>
      <c r="C121" s="618"/>
      <c r="D121" s="618"/>
      <c r="E121" s="618"/>
      <c r="F121" s="618"/>
      <c r="G121" s="618"/>
      <c r="H121" s="618"/>
      <c r="I121" s="618"/>
      <c r="J121" s="618"/>
      <c r="K121" s="618"/>
      <c r="L121" s="618"/>
      <c r="M121" s="618"/>
      <c r="N121" s="167"/>
      <c r="O121" s="166"/>
    </row>
    <row r="122" spans="1:19">
      <c r="A122" s="23"/>
      <c r="B122" s="5"/>
      <c r="C122" s="5"/>
      <c r="D122" s="5"/>
      <c r="E122" s="5"/>
      <c r="F122" s="5"/>
      <c r="G122" s="5"/>
      <c r="H122" s="5"/>
      <c r="I122" s="159"/>
      <c r="J122" s="5"/>
      <c r="K122" s="5"/>
      <c r="L122" s="5"/>
      <c r="M122" s="159"/>
      <c r="N122" s="5"/>
      <c r="O122" s="159"/>
    </row>
    <row r="123" spans="1:19">
      <c r="A123" s="619" t="s">
        <v>454</v>
      </c>
      <c r="B123" s="619"/>
      <c r="C123" s="619"/>
      <c r="D123" s="619"/>
      <c r="E123" s="619"/>
      <c r="F123" s="619"/>
      <c r="G123" s="619"/>
      <c r="H123" s="619"/>
      <c r="I123" s="619"/>
      <c r="J123" s="619"/>
      <c r="K123" s="619"/>
      <c r="L123" s="619"/>
      <c r="M123" s="619"/>
      <c r="N123" s="177"/>
      <c r="O123" s="211"/>
    </row>
    <row r="124" spans="1:19">
      <c r="A124" s="619" t="s">
        <v>1159</v>
      </c>
      <c r="B124" s="619"/>
      <c r="C124" s="619"/>
      <c r="D124" s="619"/>
      <c r="E124" s="619"/>
      <c r="F124" s="619"/>
      <c r="G124" s="619"/>
      <c r="H124" s="619"/>
      <c r="I124" s="619"/>
      <c r="J124" s="619"/>
      <c r="K124" s="619"/>
      <c r="L124" s="619"/>
      <c r="M124" s="619"/>
      <c r="N124" s="177"/>
      <c r="O124" s="211"/>
    </row>
    <row r="125" spans="1:19">
      <c r="A125" s="12"/>
      <c r="B125" s="12"/>
      <c r="C125" s="12"/>
      <c r="D125" s="12"/>
      <c r="E125" s="12"/>
      <c r="F125" s="12"/>
      <c r="G125" s="12"/>
      <c r="H125" s="12"/>
      <c r="I125" s="215"/>
      <c r="J125" s="12"/>
      <c r="K125" s="12"/>
      <c r="L125" s="12"/>
      <c r="M125" s="215"/>
      <c r="N125" s="12"/>
      <c r="O125" s="215"/>
    </row>
    <row r="126" spans="1:19" ht="31.5" customHeight="1">
      <c r="A126" s="15"/>
      <c r="B126" s="21" t="s">
        <v>332</v>
      </c>
      <c r="C126" s="22"/>
      <c r="D126" s="141" t="s">
        <v>333</v>
      </c>
      <c r="E126" s="142"/>
      <c r="F126" s="141" t="s">
        <v>334</v>
      </c>
      <c r="G126" s="142"/>
      <c r="H126" s="21" t="s">
        <v>335</v>
      </c>
      <c r="I126" s="225"/>
      <c r="J126" s="141" t="s">
        <v>461</v>
      </c>
      <c r="K126" s="142"/>
      <c r="L126" s="22" t="s">
        <v>316</v>
      </c>
      <c r="M126" s="225"/>
      <c r="N126" s="63" t="s">
        <v>457</v>
      </c>
      <c r="O126" s="212"/>
    </row>
    <row r="127" spans="1:19">
      <c r="A127" s="16"/>
      <c r="B127" s="19" t="s">
        <v>336</v>
      </c>
      <c r="C127" s="18" t="s">
        <v>427</v>
      </c>
      <c r="D127" s="19" t="s">
        <v>336</v>
      </c>
      <c r="E127" s="18" t="s">
        <v>427</v>
      </c>
      <c r="F127" s="19" t="s">
        <v>336</v>
      </c>
      <c r="G127" s="18" t="s">
        <v>427</v>
      </c>
      <c r="H127" s="19" t="s">
        <v>336</v>
      </c>
      <c r="I127" s="226" t="s">
        <v>427</v>
      </c>
      <c r="J127" s="19" t="s">
        <v>336</v>
      </c>
      <c r="K127" s="18" t="s">
        <v>427</v>
      </c>
      <c r="L127" s="19" t="s">
        <v>336</v>
      </c>
      <c r="M127" s="226" t="s">
        <v>427</v>
      </c>
    </row>
    <row r="128" spans="1:19" s="156" customFormat="1" ht="18" customHeight="1">
      <c r="A128" s="168" t="s">
        <v>456</v>
      </c>
      <c r="B128" s="172">
        <f>+GETPIVOTDATA(" New Prof avg",'Averages Pivot Table'!$A$3,"Category",1,"Category2","Four-Year")</f>
        <v>116739.7840645887</v>
      </c>
      <c r="C128" s="172"/>
      <c r="D128" s="172">
        <f>+GETPIVOTDATA(" New Asc. avg",'Averages Pivot Table'!$A$3,"Category",1,"Category2","Four-Year")</f>
        <v>80044.915100683895</v>
      </c>
      <c r="E128" s="172"/>
      <c r="F128" s="172">
        <f>+GETPIVOTDATA(" New Ast. avg",'Averages Pivot Table'!$A$3,"Category",1,"Category2","Four-Year")</f>
        <v>69202.177042910625</v>
      </c>
      <c r="G128" s="172"/>
      <c r="H128" s="172">
        <f>+GETPIVOTDATA(" New Inst. avg",'Averages Pivot Table'!$A$3,"Category",1,"Category2","Four-Year")</f>
        <v>45800.465433144709</v>
      </c>
      <c r="I128" s="229"/>
      <c r="J128" s="172">
        <f>+GETPIVOTDATA(" New Undesg. avg",'Averages Pivot Table'!$A$3,"Category",1,"Category2","Four-Year")</f>
        <v>52438.836260749929</v>
      </c>
      <c r="K128" s="172"/>
      <c r="L128" s="172">
        <f>+GETPIVOTDATA(" New All Ranks avg",'Averages Pivot Table'!$A$3,"Category",1,"Category2","Four-Year")</f>
        <v>84691.302308609505</v>
      </c>
      <c r="M128" s="232"/>
      <c r="N128" s="172"/>
      <c r="O128" s="216"/>
      <c r="Q128" s="193"/>
      <c r="R128" s="193"/>
      <c r="S128" s="193"/>
    </row>
    <row r="129" spans="1:15" ht="12.95" customHeight="1">
      <c r="A129" s="12"/>
      <c r="B129" s="9"/>
      <c r="C129" s="17"/>
      <c r="D129" s="9"/>
      <c r="E129" s="17"/>
      <c r="F129" s="9"/>
      <c r="G129" s="17"/>
      <c r="H129" s="9"/>
      <c r="I129" s="233"/>
      <c r="J129" s="9"/>
      <c r="K129" s="17"/>
      <c r="L129" s="9"/>
      <c r="M129" s="233"/>
      <c r="N129" s="9"/>
      <c r="O129" s="217"/>
    </row>
    <row r="130" spans="1:15" ht="12.95" customHeight="1">
      <c r="A130" s="12" t="s">
        <v>439</v>
      </c>
      <c r="B130" s="10">
        <f>+GETPIVOTDATA(" New Prof avg",'Averages Pivot Table'!$A$3,"State","AL","Category",1,"Category2","Four-Year")</f>
        <v>113495.82273339981</v>
      </c>
      <c r="C130" s="130">
        <f>IF(B130&gt;0,(RANK(B130,B$130:B$148)),0)</f>
        <v>7</v>
      </c>
      <c r="D130" s="10">
        <f>+GETPIVOTDATA(" New Asc. avg",'Averages Pivot Table'!$A$3,"State","AL","Category",1,"Category2","Four-Year")</f>
        <v>79479.332325327501</v>
      </c>
      <c r="E130" s="130">
        <f>IF(D130&gt;0,(RANK(D130,D$130:D$148)),0)</f>
        <v>6</v>
      </c>
      <c r="F130" s="10">
        <f>+GETPIVOTDATA(" New Ast. avg",'Averages Pivot Table'!$A$3,"State","AL","Category",1,"Category2","Four-Year")</f>
        <v>63800.64269171271</v>
      </c>
      <c r="G130" s="130">
        <f t="shared" ref="G130:G148" si="7">IF(F130&gt;0,(RANK(F130,F$130:F$148)),0)</f>
        <v>13</v>
      </c>
      <c r="H130" s="10">
        <f>+GETPIVOTDATA(" New Inst. avg",'Averages Pivot Table'!$A$3,"State","AL","Category",1,"Category2","Four-Year")</f>
        <v>42978.5560591623</v>
      </c>
      <c r="I130" s="201">
        <f t="shared" ref="I130:I148" si="8">IF(H130&gt;0,(RANK(H130,H$130:H$148)),0)</f>
        <v>11</v>
      </c>
      <c r="J130" s="10">
        <f>+GETPIVOTDATA(" New Undesg. avg",'Averages Pivot Table'!$A$3,"State","AL","Category",1,"Category2","Four-Year")</f>
        <v>61480.842315384616</v>
      </c>
      <c r="K130" s="130">
        <f t="shared" ref="K130:K148" si="9">IF(J130&gt;0,(RANK(J130,J$130:J$148)),0)</f>
        <v>3</v>
      </c>
      <c r="L130" s="10">
        <f>+GETPIVOTDATA(" New All Ranks avg",'Averages Pivot Table'!$A$3,"State","AL","Category",1,"Category2","Four-Year")</f>
        <v>81186.655495792089</v>
      </c>
      <c r="M130" s="201">
        <f t="shared" ref="M130:M148" si="10">IF(L130&gt;0,(RANK(L130,L$130:L$148)),0)</f>
        <v>8</v>
      </c>
      <c r="N130" s="10"/>
      <c r="O130" s="218"/>
    </row>
    <row r="131" spans="1:15" ht="12.95" customHeight="1">
      <c r="A131" s="12" t="s">
        <v>440</v>
      </c>
      <c r="B131" s="10">
        <f>+GETPIVOTDATA(" New Prof avg",'Averages Pivot Table'!$A$3,"State","AR","Category",1,"Category2","Four-Year")</f>
        <v>103582.99623398329</v>
      </c>
      <c r="C131" s="130">
        <f t="shared" ref="C131:E148" si="11">IF(B131&gt;0,(RANK(B131,B$130:B$148)),0)</f>
        <v>14</v>
      </c>
      <c r="D131" s="10">
        <f>+GETPIVOTDATA(" New Asc. avg",'Averages Pivot Table'!$A$3,"State","AR","Category",1,"Category2","Four-Year")</f>
        <v>73743.659477981651</v>
      </c>
      <c r="E131" s="130">
        <f t="shared" si="11"/>
        <v>14</v>
      </c>
      <c r="F131" s="10">
        <f>+GETPIVOTDATA(" New Ast. avg",'Averages Pivot Table'!$A$3,"State","AR","Category",1,"Category2","Four-Year")</f>
        <v>69920.66671294118</v>
      </c>
      <c r="G131" s="130">
        <f t="shared" si="7"/>
        <v>7</v>
      </c>
      <c r="H131" s="10">
        <f>+GETPIVOTDATA(" New Inst. avg",'Averages Pivot Table'!$A$3,"State","AR","Category",1,"Category2","Four-Year")</f>
        <v>43014.044648062016</v>
      </c>
      <c r="I131" s="201">
        <f t="shared" si="8"/>
        <v>10</v>
      </c>
      <c r="J131" s="10">
        <f>+GETPIVOTDATA(" New Undesg. avg",'Averages Pivot Table'!$A$3,"State","AR","Category",1,"Category2","Four-Year")</f>
        <v>45842.215265789477</v>
      </c>
      <c r="K131" s="130">
        <f t="shared" si="9"/>
        <v>11</v>
      </c>
      <c r="L131" s="10">
        <f>+GETPIVOTDATA(" New All Ranks avg",'Averages Pivot Table'!$A$3,"State","AR","Category",1,"Category2","Four-Year")</f>
        <v>77922.003020168064</v>
      </c>
      <c r="M131" s="201">
        <f t="shared" si="10"/>
        <v>12</v>
      </c>
      <c r="N131" s="10"/>
      <c r="O131" s="218"/>
    </row>
    <row r="132" spans="1:15" ht="12.95" customHeight="1">
      <c r="A132" s="12" t="s">
        <v>455</v>
      </c>
      <c r="B132" s="10">
        <f>+GETPIVOTDATA(" New Prof avg",'Averages Pivot Table'!$A$3,"State","DE","Category",1,"Category2","Four-Year")</f>
        <v>134602.56833245384</v>
      </c>
      <c r="C132" s="130">
        <f t="shared" si="11"/>
        <v>1</v>
      </c>
      <c r="D132" s="10">
        <f>+GETPIVOTDATA(" New Asc. avg",'Averages Pivot Table'!$A$3,"State","DE","Category",1,"Category2","Four-Year")</f>
        <v>91687.289451428573</v>
      </c>
      <c r="E132" s="130">
        <f t="shared" si="11"/>
        <v>2</v>
      </c>
      <c r="F132" s="10">
        <f>+GETPIVOTDATA(" New Ast. avg",'Averages Pivot Table'!$A$3,"State","DE","Category",1,"Category2","Four-Year")</f>
        <v>77905.654589655169</v>
      </c>
      <c r="G132" s="130">
        <f t="shared" si="7"/>
        <v>2</v>
      </c>
      <c r="H132" s="10">
        <f>+GETPIVOTDATA(" New Inst. avg",'Averages Pivot Table'!$A$3,"State","DE","Category",1,"Category2","Four-Year")</f>
        <v>60780.762536448601</v>
      </c>
      <c r="I132" s="201">
        <f t="shared" si="8"/>
        <v>2</v>
      </c>
      <c r="J132" s="10">
        <f>+GETPIVOTDATA(" New Undesg. avg",'Averages Pivot Table'!$A$3,"State","DE","Category",1,"Category2","Four-Year")</f>
        <v>0</v>
      </c>
      <c r="K132" s="130">
        <f t="shared" si="9"/>
        <v>0</v>
      </c>
      <c r="L132" s="10">
        <f>+GETPIVOTDATA(" New All Ranks avg",'Averages Pivot Table'!$A$3,"State","DE","Category",1,"Category2","Four-Year")</f>
        <v>99645.742565186505</v>
      </c>
      <c r="M132" s="201">
        <f t="shared" si="10"/>
        <v>2</v>
      </c>
      <c r="N132" s="10"/>
      <c r="O132" s="218"/>
    </row>
    <row r="133" spans="1:15" ht="12.95" customHeight="1">
      <c r="A133" s="12" t="s">
        <v>441</v>
      </c>
      <c r="B133" s="10">
        <f>+GETPIVOTDATA(" New Prof avg",'Averages Pivot Table'!$A$3,"State","FL","Category",1,"Category2","Four-Year")</f>
        <v>114104.2691161142</v>
      </c>
      <c r="C133" s="130">
        <f t="shared" si="11"/>
        <v>6</v>
      </c>
      <c r="D133" s="10">
        <f>+GETPIVOTDATA(" New Asc. avg",'Averages Pivot Table'!$A$3,"State","FL","Category",1,"Category2","Four-Year")</f>
        <v>78401.501458144994</v>
      </c>
      <c r="E133" s="130">
        <f t="shared" si="11"/>
        <v>7</v>
      </c>
      <c r="F133" s="10">
        <f>+GETPIVOTDATA(" New Ast. avg",'Averages Pivot Table'!$A$3,"State","FL","Category",1,"Category2","Four-Year")</f>
        <v>69049.553146133243</v>
      </c>
      <c r="G133" s="130">
        <f t="shared" si="7"/>
        <v>10</v>
      </c>
      <c r="H133" s="10">
        <f>+GETPIVOTDATA(" New Inst. avg",'Averages Pivot Table'!$A$3,"State","FL","Category",1,"Category2","Four-Year")</f>
        <v>49270.07460216996</v>
      </c>
      <c r="I133" s="201">
        <f t="shared" si="8"/>
        <v>5</v>
      </c>
      <c r="J133" s="10">
        <f>+GETPIVOTDATA(" New Undesg. avg",'Averages Pivot Table'!$A$3,"State","FL","Category",1,"Category2","Four-Year")</f>
        <v>57198.300282290504</v>
      </c>
      <c r="K133" s="130">
        <f t="shared" si="9"/>
        <v>4</v>
      </c>
      <c r="L133" s="10">
        <f>+GETPIVOTDATA(" New All Ranks avg",'Averages Pivot Table'!$A$3,"State","FL","Category",1,"Category2","Four-Year")</f>
        <v>82114.445515932341</v>
      </c>
      <c r="M133" s="201">
        <f t="shared" si="10"/>
        <v>7</v>
      </c>
      <c r="N133" s="10"/>
      <c r="O133" s="218"/>
    </row>
    <row r="134" spans="1:15" ht="12.95" customHeight="1">
      <c r="A134" s="12"/>
      <c r="B134" s="10"/>
      <c r="C134" s="130">
        <f t="shared" si="11"/>
        <v>0</v>
      </c>
      <c r="D134" s="10"/>
      <c r="E134" s="130">
        <f t="shared" si="11"/>
        <v>0</v>
      </c>
      <c r="F134" s="10"/>
      <c r="G134" s="130">
        <f t="shared" si="7"/>
        <v>0</v>
      </c>
      <c r="H134" s="10"/>
      <c r="I134" s="201">
        <f t="shared" si="8"/>
        <v>0</v>
      </c>
      <c r="J134" s="10"/>
      <c r="K134" s="130">
        <f t="shared" si="9"/>
        <v>0</v>
      </c>
      <c r="L134" s="10"/>
      <c r="M134" s="201">
        <f t="shared" si="10"/>
        <v>0</v>
      </c>
      <c r="N134" s="10"/>
      <c r="O134" s="218"/>
    </row>
    <row r="135" spans="1:15" ht="12.95" customHeight="1">
      <c r="A135" s="12" t="s">
        <v>442</v>
      </c>
      <c r="B135" s="10">
        <f>+GETPIVOTDATA(" New Prof avg",'Averages Pivot Table'!$A$3,"State","GA","Category",1,"Category2","Four-Year")</f>
        <v>109932.35000450957</v>
      </c>
      <c r="C135" s="130">
        <f t="shared" si="11"/>
        <v>9</v>
      </c>
      <c r="D135" s="10">
        <f>+GETPIVOTDATA(" New Asc. avg",'Averages Pivot Table'!$A$3,"State","GA","Category",1,"Category2","Four-Year")</f>
        <v>78178.574449187814</v>
      </c>
      <c r="E135" s="130">
        <f t="shared" si="11"/>
        <v>8</v>
      </c>
      <c r="F135" s="10">
        <f>+GETPIVOTDATA(" New Ast. avg",'Averages Pivot Table'!$A$3,"State","GA","Category",1,"Category2","Four-Year")</f>
        <v>71213.253589595814</v>
      </c>
      <c r="G135" s="130">
        <f t="shared" si="7"/>
        <v>5</v>
      </c>
      <c r="H135" s="10">
        <f>+GETPIVOTDATA(" New Inst. avg",'Averages Pivot Table'!$A$3,"State","GA","Category",1,"Category2","Four-Year")</f>
        <v>52086.671101886786</v>
      </c>
      <c r="I135" s="201">
        <f t="shared" si="8"/>
        <v>3</v>
      </c>
      <c r="J135" s="10">
        <f>+GETPIVOTDATA(" New Undesg. avg",'Averages Pivot Table'!$A$3,"State","GA","Category",1,"Category2","Four-Year")</f>
        <v>51315.764477076926</v>
      </c>
      <c r="K135" s="130">
        <f t="shared" si="9"/>
        <v>5</v>
      </c>
      <c r="L135" s="10">
        <f>+GETPIVOTDATA(" New All Ranks avg",'Averages Pivot Table'!$A$3,"State","GA","Category",1,"Category2","Four-Year")</f>
        <v>82834.245913112536</v>
      </c>
      <c r="M135" s="201">
        <f t="shared" si="10"/>
        <v>6</v>
      </c>
      <c r="N135" s="10"/>
      <c r="O135" s="218"/>
    </row>
    <row r="136" spans="1:15" ht="12.95" customHeight="1">
      <c r="A136" s="12" t="s">
        <v>443</v>
      </c>
      <c r="B136" s="10">
        <f>+GETPIVOTDATA(" New Prof avg",'Averages Pivot Table'!$A$3,"State","KY","Category",1,"Category2","Four-Year")</f>
        <v>104880.10045857519</v>
      </c>
      <c r="C136" s="130">
        <f t="shared" si="11"/>
        <v>13</v>
      </c>
      <c r="D136" s="10">
        <f>+GETPIVOTDATA(" New Asc. avg",'Averages Pivot Table'!$A$3,"State","KY","Category",1,"Category2","Four-Year")</f>
        <v>76048.276668932042</v>
      </c>
      <c r="E136" s="130">
        <f t="shared" si="11"/>
        <v>12</v>
      </c>
      <c r="F136" s="10">
        <f>+GETPIVOTDATA(" New Ast. avg",'Averages Pivot Table'!$A$3,"State","KY","Category",1,"Category2","Four-Year")</f>
        <v>64989.15304034188</v>
      </c>
      <c r="G136" s="130">
        <f t="shared" si="7"/>
        <v>11</v>
      </c>
      <c r="H136" s="10">
        <f>+GETPIVOTDATA(" New Inst. avg",'Averages Pivot Table'!$A$3,"State","KY","Category",1,"Category2","Four-Year")</f>
        <v>50868.498442553195</v>
      </c>
      <c r="I136" s="201">
        <f t="shared" si="8"/>
        <v>4</v>
      </c>
      <c r="J136" s="10">
        <f>+GETPIVOTDATA(" New Undesg. avg",'Averages Pivot Table'!$A$3,"State","KY","Category",1,"Category2","Four-Year")</f>
        <v>48689.083882894738</v>
      </c>
      <c r="K136" s="130">
        <f t="shared" si="9"/>
        <v>9</v>
      </c>
      <c r="L136" s="10">
        <f>+GETPIVOTDATA(" New All Ranks avg",'Averages Pivot Table'!$A$3,"State","KY","Category",1,"Category2","Four-Year")</f>
        <v>80062.521640869963</v>
      </c>
      <c r="M136" s="201">
        <f t="shared" si="10"/>
        <v>10</v>
      </c>
      <c r="N136" s="10"/>
      <c r="O136" s="218"/>
    </row>
    <row r="137" spans="1:15" ht="12.95" customHeight="1">
      <c r="A137" s="12" t="s">
        <v>444</v>
      </c>
      <c r="B137" s="10">
        <f>+GETPIVOTDATA(" New Prof avg",'Averages Pivot Table'!$A$3,"State","LA","Category",1,"Category2","Four-Year")</f>
        <v>110371.4612013986</v>
      </c>
      <c r="C137" s="130">
        <f t="shared" si="11"/>
        <v>8</v>
      </c>
      <c r="D137" s="10">
        <f>+GETPIVOTDATA(" New Asc. avg",'Averages Pivot Table'!$A$3,"State","LA","Category",1,"Category2","Four-Year")</f>
        <v>78092.475473400671</v>
      </c>
      <c r="E137" s="130">
        <f t="shared" si="11"/>
        <v>9</v>
      </c>
      <c r="F137" s="10">
        <f>+GETPIVOTDATA(" New Ast. avg",'Averages Pivot Table'!$A$3,"State","LA","Category",1,"Category2","Four-Year")</f>
        <v>69235.887364028778</v>
      </c>
      <c r="G137" s="130">
        <f t="shared" si="7"/>
        <v>9</v>
      </c>
      <c r="H137" s="10">
        <f>+GETPIVOTDATA(" New Inst. avg",'Averages Pivot Table'!$A$3,"State","LA","Category",1,"Category2","Four-Year")</f>
        <v>43912.270076995308</v>
      </c>
      <c r="I137" s="201">
        <f t="shared" si="8"/>
        <v>9</v>
      </c>
      <c r="J137" s="10">
        <f>+GETPIVOTDATA(" New Undesg. avg",'Averages Pivot Table'!$A$3,"State","LA","Category",1,"Category2","Four-Year")</f>
        <v>64156.826361904765</v>
      </c>
      <c r="K137" s="130">
        <f t="shared" si="9"/>
        <v>1</v>
      </c>
      <c r="L137" s="10">
        <f>+GETPIVOTDATA(" New All Ranks avg",'Averages Pivot Table'!$A$3,"State","LA","Category",1,"Category2","Four-Year")</f>
        <v>81172.056250565409</v>
      </c>
      <c r="M137" s="201">
        <f t="shared" si="10"/>
        <v>9</v>
      </c>
      <c r="N137" s="10"/>
      <c r="O137" s="218"/>
    </row>
    <row r="138" spans="1:15" ht="12.95" customHeight="1">
      <c r="A138" s="12" t="s">
        <v>445</v>
      </c>
      <c r="B138" s="10">
        <f>+GETPIVOTDATA(" New Prof avg",'Averages Pivot Table'!$A$3,"State","MD","Category",1,"Category2","Four-Year")</f>
        <v>134424.0034949464</v>
      </c>
      <c r="C138" s="130">
        <f t="shared" si="11"/>
        <v>2</v>
      </c>
      <c r="D138" s="10">
        <f>+GETPIVOTDATA(" New Asc. avg",'Averages Pivot Table'!$A$3,"State","MD","Category",1,"Category2","Four-Year")</f>
        <v>94546.65602079207</v>
      </c>
      <c r="E138" s="130">
        <f t="shared" si="11"/>
        <v>1</v>
      </c>
      <c r="F138" s="10">
        <f>+GETPIVOTDATA(" New Ast. avg",'Averages Pivot Table'!$A$3,"State","MD","Category",1,"Category2","Four-Year")</f>
        <v>82449.777770000001</v>
      </c>
      <c r="G138" s="130">
        <f t="shared" si="7"/>
        <v>1</v>
      </c>
      <c r="H138" s="10">
        <f>+GETPIVOTDATA(" New Inst. avg",'Averages Pivot Table'!$A$3,"State","MD","Category",1,"Category2","Four-Year")</f>
        <v>34849.833333333336</v>
      </c>
      <c r="I138" s="201">
        <f t="shared" si="8"/>
        <v>16</v>
      </c>
      <c r="J138" s="10">
        <f>+GETPIVOTDATA(" New Undesg. avg",'Averages Pivot Table'!$A$3,"State","MD","Category",1,"Category2","Four-Year")</f>
        <v>0</v>
      </c>
      <c r="K138" s="130">
        <f t="shared" si="9"/>
        <v>0</v>
      </c>
      <c r="L138" s="10">
        <f>+GETPIVOTDATA(" New All Ranks avg",'Averages Pivot Table'!$A$3,"State","MD","Category",1,"Category2","Four-Year")</f>
        <v>110063.9662877091</v>
      </c>
      <c r="M138" s="201">
        <f t="shared" si="10"/>
        <v>1</v>
      </c>
      <c r="N138" s="10"/>
      <c r="O138" s="218"/>
    </row>
    <row r="139" spans="1:15" ht="12.95" customHeight="1">
      <c r="A139" s="12"/>
      <c r="B139" s="10"/>
      <c r="C139" s="130">
        <f t="shared" si="11"/>
        <v>0</v>
      </c>
      <c r="D139" s="10"/>
      <c r="E139" s="130">
        <f t="shared" si="11"/>
        <v>0</v>
      </c>
      <c r="F139" s="10"/>
      <c r="G139" s="130">
        <f t="shared" si="7"/>
        <v>0</v>
      </c>
      <c r="H139" s="10"/>
      <c r="I139" s="201">
        <f t="shared" si="8"/>
        <v>0</v>
      </c>
      <c r="J139" s="10"/>
      <c r="K139" s="130">
        <f t="shared" si="9"/>
        <v>0</v>
      </c>
      <c r="L139" s="10"/>
      <c r="M139" s="201">
        <f t="shared" si="10"/>
        <v>0</v>
      </c>
      <c r="N139" s="10"/>
      <c r="O139" s="218"/>
    </row>
    <row r="140" spans="1:15" ht="12.95" customHeight="1">
      <c r="A140" s="12" t="s">
        <v>446</v>
      </c>
      <c r="B140" s="10">
        <f>+GETPIVOTDATA(" New Prof avg",'Averages Pivot Table'!$A$3,"State","MS","Category",1,"Category2","Four-Year")</f>
        <v>88670.495142521002</v>
      </c>
      <c r="C140" s="130">
        <f t="shared" si="11"/>
        <v>16</v>
      </c>
      <c r="D140" s="10">
        <f>+GETPIVOTDATA(" New Asc. avg",'Averages Pivot Table'!$A$3,"State","MS","Category",1,"Category2","Four-Year")</f>
        <v>67237.493130336836</v>
      </c>
      <c r="E140" s="130">
        <f t="shared" si="11"/>
        <v>16</v>
      </c>
      <c r="F140" s="10">
        <f>+GETPIVOTDATA(" New Ast. avg",'Averages Pivot Table'!$A$3,"State","MS","Category",1,"Category2","Four-Year")</f>
        <v>59075.709494782786</v>
      </c>
      <c r="G140" s="130">
        <f t="shared" si="7"/>
        <v>16</v>
      </c>
      <c r="H140" s="10">
        <f>+GETPIVOTDATA(" New Inst. avg",'Averages Pivot Table'!$A$3,"State","MS","Category",1,"Category2","Four-Year")</f>
        <v>42580.890910029419</v>
      </c>
      <c r="I140" s="201">
        <f t="shared" si="8"/>
        <v>12</v>
      </c>
      <c r="J140" s="10">
        <f>+GETPIVOTDATA(" New Undesg. avg",'Averages Pivot Table'!$A$3,"State","MS","Category",1,"Category2","Four-Year")</f>
        <v>30827.677547169809</v>
      </c>
      <c r="K140" s="130">
        <f t="shared" si="9"/>
        <v>13</v>
      </c>
      <c r="L140" s="10">
        <f>+GETPIVOTDATA(" New All Ranks avg",'Averages Pivot Table'!$A$3,"State","MS","Category",1,"Category2","Four-Year")</f>
        <v>64032.535242832259</v>
      </c>
      <c r="M140" s="201">
        <f t="shared" si="10"/>
        <v>16</v>
      </c>
      <c r="N140" s="10"/>
      <c r="O140" s="218"/>
    </row>
    <row r="141" spans="1:15" ht="12.95" customHeight="1">
      <c r="A141" s="12" t="s">
        <v>447</v>
      </c>
      <c r="B141" s="10">
        <f>+GETPIVOTDATA(" New Prof avg",'Averages Pivot Table'!$A$3,"State","NC","Category",1,"Category2","Four-Year")</f>
        <v>129252.82069075631</v>
      </c>
      <c r="C141" s="130">
        <f t="shared" si="11"/>
        <v>3</v>
      </c>
      <c r="D141" s="10">
        <f>+GETPIVOTDATA(" New Asc. avg",'Averages Pivot Table'!$A$3,"State","NC","Category",1,"Category2","Four-Year")</f>
        <v>88073.80301230769</v>
      </c>
      <c r="E141" s="130">
        <f t="shared" si="11"/>
        <v>3</v>
      </c>
      <c r="F141" s="10">
        <f>+GETPIVOTDATA(" New Ast. avg",'Averages Pivot Table'!$A$3,"State","NC","Category",1,"Category2","Four-Year")</f>
        <v>75735.466522436851</v>
      </c>
      <c r="G141" s="130">
        <f t="shared" si="7"/>
        <v>3</v>
      </c>
      <c r="H141" s="10">
        <f>+GETPIVOTDATA(" New Inst. avg",'Averages Pivot Table'!$A$3,"State","NC","Category",1,"Category2","Four-Year")</f>
        <v>77334.654399999999</v>
      </c>
      <c r="I141" s="201">
        <f t="shared" si="8"/>
        <v>1</v>
      </c>
      <c r="J141" s="10">
        <f>+GETPIVOTDATA(" New Undesg. avg",'Averages Pivot Table'!$A$3,"State","NC","Category",1,"Category2","Four-Year")</f>
        <v>63810.897983641975</v>
      </c>
      <c r="K141" s="130">
        <f t="shared" si="9"/>
        <v>2</v>
      </c>
      <c r="L141" s="10">
        <f>+GETPIVOTDATA(" New All Ranks avg",'Averages Pivot Table'!$A$3,"State","NC","Category",1,"Category2","Four-Year")</f>
        <v>96744.394035960315</v>
      </c>
      <c r="M141" s="201">
        <f t="shared" si="10"/>
        <v>3</v>
      </c>
      <c r="N141" s="10"/>
      <c r="O141" s="218"/>
    </row>
    <row r="142" spans="1:15" ht="12.95" customHeight="1">
      <c r="A142" s="12" t="s">
        <v>448</v>
      </c>
      <c r="B142" s="10">
        <f>+GETPIVOTDATA(" New Prof avg",'Averages Pivot Table'!$A$3,"State","OK","Category",1,"Category2","Four-Year")</f>
        <v>108998.91990129126</v>
      </c>
      <c r="C142" s="130">
        <f t="shared" si="11"/>
        <v>10</v>
      </c>
      <c r="D142" s="10">
        <f>+GETPIVOTDATA(" New Asc. avg",'Averages Pivot Table'!$A$3,"State","OK","Category",1,"Category2","Four-Year")</f>
        <v>71560.487778815077</v>
      </c>
      <c r="E142" s="130">
        <f t="shared" si="11"/>
        <v>15</v>
      </c>
      <c r="F142" s="10">
        <f>+GETPIVOTDATA(" New Ast. avg",'Averages Pivot Table'!$A$3,"State","OK","Category",1,"Category2","Four-Year")</f>
        <v>63046.024141035858</v>
      </c>
      <c r="G142" s="130">
        <f t="shared" si="7"/>
        <v>14</v>
      </c>
      <c r="H142" s="10">
        <f>+GETPIVOTDATA(" New Inst. avg",'Averages Pivot Table'!$A$3,"State","OK","Category",1,"Category2","Four-Year")</f>
        <v>41711.925397966101</v>
      </c>
      <c r="I142" s="201">
        <f t="shared" si="8"/>
        <v>13</v>
      </c>
      <c r="J142" s="10">
        <f>+GETPIVOTDATA(" New Undesg. avg",'Averages Pivot Table'!$A$3,"State","OK","Category",1,"Category2","Four-Year")</f>
        <v>0</v>
      </c>
      <c r="K142" s="130">
        <f t="shared" si="9"/>
        <v>0</v>
      </c>
      <c r="L142" s="10">
        <f>+GETPIVOTDATA(" New All Ranks avg",'Averages Pivot Table'!$A$3,"State","OK","Category",1,"Category2","Four-Year")</f>
        <v>77906.17307420772</v>
      </c>
      <c r="M142" s="201">
        <f t="shared" si="10"/>
        <v>13</v>
      </c>
      <c r="N142" s="10"/>
      <c r="O142" s="218"/>
    </row>
    <row r="143" spans="1:15" ht="12.95" customHeight="1">
      <c r="A143" s="12" t="s">
        <v>449</v>
      </c>
      <c r="B143" s="10">
        <f>+GETPIVOTDATA(" New Prof avg",'Averages Pivot Table'!$A$3,"State","SC","Category",1,"Category2","Four-Year")</f>
        <v>108871.98574144144</v>
      </c>
      <c r="C143" s="130">
        <f t="shared" si="11"/>
        <v>11</v>
      </c>
      <c r="D143" s="10">
        <f>+GETPIVOTDATA(" New Asc. avg",'Averages Pivot Table'!$A$3,"State","SC","Category",1,"Category2","Four-Year")</f>
        <v>77874.406851839463</v>
      </c>
      <c r="E143" s="130">
        <f t="shared" si="11"/>
        <v>10</v>
      </c>
      <c r="F143" s="10">
        <f>+GETPIVOTDATA(" New Ast. avg",'Averages Pivot Table'!$A$3,"State","SC","Category",1,"Category2","Four-Year")</f>
        <v>69698.866133444259</v>
      </c>
      <c r="G143" s="130">
        <f t="shared" si="7"/>
        <v>8</v>
      </c>
      <c r="H143" s="10">
        <f>+GETPIVOTDATA(" New Inst. avg",'Averages Pivot Table'!$A$3,"State","SC","Category",1,"Category2","Four-Year")</f>
        <v>44076.495982068969</v>
      </c>
      <c r="I143" s="201">
        <f t="shared" si="8"/>
        <v>8</v>
      </c>
      <c r="J143" s="10">
        <f>+GETPIVOTDATA(" New Undesg. avg",'Averages Pivot Table'!$A$3,"State","SC","Category",1,"Category2","Four-Year")</f>
        <v>46491.675765876775</v>
      </c>
      <c r="K143" s="130">
        <f t="shared" si="9"/>
        <v>10</v>
      </c>
      <c r="L143" s="10">
        <f>+GETPIVOTDATA(" New All Ranks avg",'Averages Pivot Table'!$A$3,"State","SC","Category",1,"Category2","Four-Year")</f>
        <v>79769.244417559661</v>
      </c>
      <c r="M143" s="201">
        <f t="shared" si="10"/>
        <v>11</v>
      </c>
      <c r="N143" s="10"/>
      <c r="O143" s="218"/>
    </row>
    <row r="144" spans="1:15" ht="12.95" customHeight="1">
      <c r="A144" s="12"/>
      <c r="B144" s="10"/>
      <c r="C144" s="130">
        <f t="shared" si="11"/>
        <v>0</v>
      </c>
      <c r="D144" s="10"/>
      <c r="E144" s="130">
        <f t="shared" si="11"/>
        <v>0</v>
      </c>
      <c r="F144" s="10"/>
      <c r="G144" s="130">
        <f t="shared" si="7"/>
        <v>0</v>
      </c>
      <c r="H144" s="10"/>
      <c r="I144" s="201">
        <f t="shared" si="8"/>
        <v>0</v>
      </c>
      <c r="J144" s="10"/>
      <c r="K144" s="130">
        <f t="shared" si="9"/>
        <v>0</v>
      </c>
      <c r="L144" s="10"/>
      <c r="M144" s="201">
        <f t="shared" si="10"/>
        <v>0</v>
      </c>
      <c r="N144" s="10"/>
      <c r="O144" s="218"/>
    </row>
    <row r="145" spans="1:19" ht="12.95" customHeight="1">
      <c r="A145" s="12" t="s">
        <v>450</v>
      </c>
      <c r="B145" s="140">
        <f>+GETPIVOTDATA(" New Prof avg",'Averages Pivot Table'!$A$3,"State","TN","Category",1,"Category2","Four-Year")</f>
        <v>106515.87517121212</v>
      </c>
      <c r="C145" s="130">
        <f t="shared" si="11"/>
        <v>12</v>
      </c>
      <c r="D145" s="140">
        <f>+GETPIVOTDATA(" New Asc. avg",'Averages Pivot Table'!$A$3,"State","TN","Category",1,"Category2","Four-Year")</f>
        <v>76424.423953566002</v>
      </c>
      <c r="E145" s="130">
        <f t="shared" si="11"/>
        <v>11</v>
      </c>
      <c r="F145" s="140">
        <f>+GETPIVOTDATA(" New Ast. avg",'Averages Pivot Table'!$A$3,"State","TN","Category",1,"Category2","Four-Year")</f>
        <v>64813.182217333328</v>
      </c>
      <c r="G145" s="130">
        <f t="shared" si="7"/>
        <v>12</v>
      </c>
      <c r="H145" s="140">
        <f>+GETPIVOTDATA(" New Inst. avg",'Averages Pivot Table'!$A$3,"State","TN","Category",1,"Category2","Four-Year")</f>
        <v>44992.558275524476</v>
      </c>
      <c r="I145" s="201">
        <f t="shared" si="8"/>
        <v>7</v>
      </c>
      <c r="J145" s="140">
        <f>+GETPIVOTDATA(" New Undesg. avg",'Averages Pivot Table'!$A$3,"State","TN","Category",1,"Category2","Four-Year")</f>
        <v>40374.741732851988</v>
      </c>
      <c r="K145" s="130">
        <f t="shared" si="9"/>
        <v>12</v>
      </c>
      <c r="L145" s="140">
        <f>+GETPIVOTDATA(" New All Ranks avg",'Averages Pivot Table'!$A$3,"State","TN","Category",1,"Category2","Four-Year")</f>
        <v>77389.687229785515</v>
      </c>
      <c r="M145" s="201">
        <f t="shared" si="10"/>
        <v>14</v>
      </c>
      <c r="N145" s="10"/>
      <c r="O145" s="218"/>
    </row>
    <row r="146" spans="1:19" ht="12.95" customHeight="1">
      <c r="A146" s="12" t="s">
        <v>451</v>
      </c>
      <c r="B146" s="140">
        <f>+GETPIVOTDATA(" New Prof avg",'Averages Pivot Table'!$A$3,"State","TX","Category",1,"Category2","Four-Year")</f>
        <v>122335.85140233766</v>
      </c>
      <c r="C146" s="130">
        <f t="shared" si="11"/>
        <v>5</v>
      </c>
      <c r="D146" s="140">
        <f>+GETPIVOTDATA(" New Asc. avg",'Averages Pivot Table'!$A$3,"State","TX","Category",1,"Category2","Four-Year")</f>
        <v>81473.092664596275</v>
      </c>
      <c r="E146" s="130">
        <f t="shared" si="11"/>
        <v>5</v>
      </c>
      <c r="F146" s="140">
        <f>+GETPIVOTDATA(" New Ast. avg",'Averages Pivot Table'!$A$3,"State","TX","Category",1,"Category2","Four-Year")</f>
        <v>72524.52500867052</v>
      </c>
      <c r="G146" s="130">
        <f t="shared" si="7"/>
        <v>4</v>
      </c>
      <c r="H146" s="140">
        <f>+GETPIVOTDATA(" New Inst. avg",'Averages Pivot Table'!$A$3,"State","TX","Category",1,"Category2","Four-Year")</f>
        <v>41452.940786885243</v>
      </c>
      <c r="I146" s="201">
        <f t="shared" si="8"/>
        <v>14</v>
      </c>
      <c r="J146" s="140">
        <f>+GETPIVOTDATA(" New Undesg. avg",'Averages Pivot Table'!$A$3,"State","TX","Category",1,"Category2","Four-Year")</f>
        <v>50209.11188442292</v>
      </c>
      <c r="K146" s="130">
        <f t="shared" si="9"/>
        <v>7</v>
      </c>
      <c r="L146" s="140">
        <f>+GETPIVOTDATA(" New All Ranks avg",'Averages Pivot Table'!$A$3,"State","TX","Category",1,"Category2","Four-Year")</f>
        <v>86738.150747194028</v>
      </c>
      <c r="M146" s="201">
        <f t="shared" si="10"/>
        <v>5</v>
      </c>
      <c r="N146" s="10"/>
      <c r="O146" s="218"/>
    </row>
    <row r="147" spans="1:19" ht="12.95" customHeight="1">
      <c r="A147" s="12" t="s">
        <v>452</v>
      </c>
      <c r="B147" s="140">
        <f>+GETPIVOTDATA(" New Prof avg",'Averages Pivot Table'!$A$3,"State","VA","Category",1,"Category2","Four-Year")</f>
        <v>124562.97476737683</v>
      </c>
      <c r="C147" s="130">
        <f t="shared" si="11"/>
        <v>4</v>
      </c>
      <c r="D147" s="140">
        <f>+GETPIVOTDATA(" New Asc. avg",'Averages Pivot Table'!$A$3,"State","VA","Category",1,"Category2","Four-Year")</f>
        <v>83612.139426893351</v>
      </c>
      <c r="E147" s="130">
        <f t="shared" si="11"/>
        <v>4</v>
      </c>
      <c r="F147" s="140">
        <f>+GETPIVOTDATA(" New Ast. avg",'Averages Pivot Table'!$A$3,"State","VA","Category",1,"Category2","Four-Year")</f>
        <v>70740.197485657773</v>
      </c>
      <c r="G147" s="130">
        <f t="shared" si="7"/>
        <v>6</v>
      </c>
      <c r="H147" s="140">
        <f>+GETPIVOTDATA(" New Inst. avg",'Averages Pivot Table'!$A$3,"State","VA","Category",1,"Category2","Four-Year")</f>
        <v>47680.821794520547</v>
      </c>
      <c r="I147" s="201">
        <f t="shared" si="8"/>
        <v>6</v>
      </c>
      <c r="J147" s="140">
        <f>+GETPIVOTDATA(" New Undesg. avg",'Averages Pivot Table'!$A$3,"State","VA","Category",1,"Category2","Four-Year")</f>
        <v>50390.221189380536</v>
      </c>
      <c r="K147" s="130">
        <f t="shared" si="9"/>
        <v>6</v>
      </c>
      <c r="L147" s="140">
        <f>+GETPIVOTDATA(" New All Ranks avg",'Averages Pivot Table'!$A$3,"State","VA","Category",1,"Category2","Four-Year")</f>
        <v>90662.896214982655</v>
      </c>
      <c r="M147" s="201">
        <f t="shared" si="10"/>
        <v>4</v>
      </c>
      <c r="N147" s="10"/>
      <c r="O147" s="218"/>
    </row>
    <row r="148" spans="1:19" ht="12.95" customHeight="1">
      <c r="A148" s="11" t="s">
        <v>453</v>
      </c>
      <c r="B148" s="66">
        <f>+GETPIVOTDATA(" New Prof avg",'Averages Pivot Table'!$A$3,"State","WV","Category",1,"Category2","Four-Year")</f>
        <v>102848.99392081912</v>
      </c>
      <c r="C148" s="65">
        <f t="shared" si="11"/>
        <v>15</v>
      </c>
      <c r="D148" s="66">
        <f>+GETPIVOTDATA(" New Asc. avg",'Averages Pivot Table'!$A$3,"State","WV","Category",1,"Category2","Four-Year")</f>
        <v>74946.176752226718</v>
      </c>
      <c r="E148" s="65">
        <f t="shared" si="11"/>
        <v>13</v>
      </c>
      <c r="F148" s="66">
        <f>+GETPIVOTDATA(" New Ast. avg",'Averages Pivot Table'!$A$3,"State","WV","Category",1,"Category2","Four-Year")</f>
        <v>60493.710709090905</v>
      </c>
      <c r="G148" s="65">
        <f t="shared" si="7"/>
        <v>15</v>
      </c>
      <c r="H148" s="66">
        <f>+GETPIVOTDATA(" New Inst. avg",'Averages Pivot Table'!$A$3,"State","WV","Category",1,"Category2","Four-Year")</f>
        <v>40395.589458823531</v>
      </c>
      <c r="I148" s="202">
        <f t="shared" si="8"/>
        <v>15</v>
      </c>
      <c r="J148" s="66">
        <f>+GETPIVOTDATA(" New Undesg. avg",'Averages Pivot Table'!$A$3,"State","WV","Category",1,"Category2","Four-Year")</f>
        <v>48858.74407619048</v>
      </c>
      <c r="K148" s="65">
        <f t="shared" si="9"/>
        <v>8</v>
      </c>
      <c r="L148" s="66">
        <f>+GETPIVOTDATA(" New All Ranks avg",'Averages Pivot Table'!$A$3,"State","WV","Category",1,"Category2","Four-Year")</f>
        <v>75753.584786514504</v>
      </c>
      <c r="M148" s="202">
        <f t="shared" si="10"/>
        <v>15</v>
      </c>
      <c r="N148" s="10"/>
      <c r="O148" s="213"/>
    </row>
    <row r="149" spans="1:19" ht="30" customHeight="1">
      <c r="A149" s="622" t="s">
        <v>323</v>
      </c>
      <c r="B149" s="623"/>
      <c r="C149" s="623"/>
      <c r="D149" s="623"/>
      <c r="E149" s="623"/>
      <c r="F149" s="623"/>
      <c r="G149" s="623"/>
      <c r="H149" s="623"/>
      <c r="I149" s="623"/>
      <c r="J149" s="623"/>
      <c r="K149" s="623"/>
      <c r="L149" s="623"/>
      <c r="M149" s="623"/>
      <c r="N149" s="12"/>
      <c r="O149" s="215"/>
    </row>
    <row r="150" spans="1:19">
      <c r="M150" s="244" t="s">
        <v>1166</v>
      </c>
      <c r="O150" s="214"/>
    </row>
    <row r="151" spans="1:19" ht="18">
      <c r="A151" s="618" t="s">
        <v>781</v>
      </c>
      <c r="B151" s="618"/>
      <c r="C151" s="618"/>
      <c r="D151" s="618"/>
      <c r="E151" s="618"/>
      <c r="F151" s="618"/>
      <c r="G151" s="618"/>
      <c r="H151" s="618"/>
      <c r="I151" s="618"/>
      <c r="J151" s="618"/>
      <c r="K151" s="618"/>
      <c r="L151" s="618"/>
      <c r="M151" s="618"/>
      <c r="N151" s="167"/>
      <c r="O151" s="166"/>
    </row>
    <row r="152" spans="1:19">
      <c r="A152" s="12"/>
      <c r="B152" s="5"/>
      <c r="C152" s="5"/>
      <c r="D152" s="5"/>
      <c r="E152" s="5"/>
      <c r="F152" s="5"/>
      <c r="G152" s="5"/>
      <c r="H152" s="5"/>
      <c r="I152" s="159"/>
      <c r="J152" s="5"/>
      <c r="K152" s="5"/>
      <c r="L152" s="5"/>
      <c r="M152" s="159"/>
      <c r="N152" s="5"/>
      <c r="O152" s="159"/>
    </row>
    <row r="153" spans="1:19">
      <c r="A153" s="619" t="s">
        <v>454</v>
      </c>
      <c r="B153" s="619"/>
      <c r="C153" s="619"/>
      <c r="D153" s="619"/>
      <c r="E153" s="619"/>
      <c r="F153" s="619"/>
      <c r="G153" s="619"/>
      <c r="H153" s="619"/>
      <c r="I153" s="619"/>
      <c r="J153" s="619"/>
      <c r="K153" s="619"/>
      <c r="L153" s="619"/>
      <c r="M153" s="619"/>
      <c r="N153" s="177"/>
      <c r="O153" s="211"/>
    </row>
    <row r="154" spans="1:19">
      <c r="A154" s="619" t="s">
        <v>1158</v>
      </c>
      <c r="B154" s="619"/>
      <c r="C154" s="619"/>
      <c r="D154" s="619"/>
      <c r="E154" s="619"/>
      <c r="F154" s="619"/>
      <c r="G154" s="619"/>
      <c r="H154" s="619"/>
      <c r="I154" s="619"/>
      <c r="J154" s="619"/>
      <c r="K154" s="619"/>
      <c r="L154" s="619"/>
      <c r="M154" s="619"/>
      <c r="N154" s="177"/>
      <c r="O154" s="211"/>
    </row>
    <row r="155" spans="1:19">
      <c r="A155" s="12"/>
      <c r="B155" s="12"/>
      <c r="C155" s="12"/>
      <c r="D155" s="12"/>
      <c r="E155" s="12"/>
      <c r="F155" s="12"/>
      <c r="G155" s="12"/>
      <c r="H155" s="12"/>
      <c r="I155" s="215"/>
      <c r="J155" s="12"/>
      <c r="K155" s="12"/>
      <c r="L155" s="12"/>
      <c r="M155" s="215"/>
      <c r="N155" s="12"/>
      <c r="O155" s="215"/>
    </row>
    <row r="156" spans="1:19" ht="30.75" customHeight="1">
      <c r="A156" s="15"/>
      <c r="B156" s="21" t="s">
        <v>332</v>
      </c>
      <c r="C156" s="22"/>
      <c r="D156" s="141" t="s">
        <v>333</v>
      </c>
      <c r="E156" s="142"/>
      <c r="F156" s="141" t="s">
        <v>334</v>
      </c>
      <c r="G156" s="142"/>
      <c r="H156" s="21" t="s">
        <v>335</v>
      </c>
      <c r="I156" s="225"/>
      <c r="J156" s="141" t="s">
        <v>461</v>
      </c>
      <c r="K156" s="142"/>
      <c r="L156" s="22" t="s">
        <v>316</v>
      </c>
      <c r="M156" s="225"/>
      <c r="N156" s="63" t="s">
        <v>457</v>
      </c>
      <c r="O156" s="212"/>
    </row>
    <row r="157" spans="1:19">
      <c r="A157" s="16"/>
      <c r="B157" s="19" t="s">
        <v>336</v>
      </c>
      <c r="C157" s="18" t="s">
        <v>427</v>
      </c>
      <c r="D157" s="19" t="s">
        <v>336</v>
      </c>
      <c r="E157" s="18" t="s">
        <v>427</v>
      </c>
      <c r="F157" s="19" t="s">
        <v>336</v>
      </c>
      <c r="G157" s="18" t="s">
        <v>427</v>
      </c>
      <c r="H157" s="19" t="s">
        <v>336</v>
      </c>
      <c r="I157" s="226" t="s">
        <v>427</v>
      </c>
      <c r="J157" s="19" t="s">
        <v>336</v>
      </c>
      <c r="K157" s="18" t="s">
        <v>427</v>
      </c>
      <c r="L157" s="19" t="s">
        <v>336</v>
      </c>
      <c r="M157" s="226" t="s">
        <v>427</v>
      </c>
    </row>
    <row r="158" spans="1:19" s="156" customFormat="1" ht="18" customHeight="1">
      <c r="A158" s="168" t="s">
        <v>456</v>
      </c>
      <c r="B158" s="172">
        <f>+GETPIVOTDATA(" New Prof avg",'Averages Pivot Table'!$A$3,"Category",2,"Category2","Four-Year")</f>
        <v>109561.62957280544</v>
      </c>
      <c r="C158" s="172"/>
      <c r="D158" s="172">
        <f>+GETPIVOTDATA(" New Asc. avg",'Averages Pivot Table'!$A$3,"Category",2,"Category2","Four-Year")</f>
        <v>77783.855881979762</v>
      </c>
      <c r="E158" s="172"/>
      <c r="F158" s="172">
        <f>+GETPIVOTDATA(" New Ast. avg",'Averages Pivot Table'!$A$3,"Category",2,"Category2","Four-Year")</f>
        <v>65777.184668638336</v>
      </c>
      <c r="G158" s="172"/>
      <c r="H158" s="172">
        <f>+GETPIVOTDATA(" New Inst. avg",'Averages Pivot Table'!$A$3,"Category",2,"Category2","Four-Year")</f>
        <v>44934.379973666983</v>
      </c>
      <c r="I158" s="229"/>
      <c r="J158" s="172">
        <f>+GETPIVOTDATA(" New Undesg. avg",'Averages Pivot Table'!$A$3,"Category",2,"Category2","Four-Year")</f>
        <v>45254.311606261857</v>
      </c>
      <c r="K158" s="172"/>
      <c r="L158" s="172">
        <f>+GETPIVOTDATA(" New All Ranks avg",'Averages Pivot Table'!$A$3,"Category",2,"Category2","Four-Year")</f>
        <v>75916.652892789236</v>
      </c>
      <c r="M158" s="232"/>
      <c r="N158" s="172"/>
      <c r="O158" s="216"/>
      <c r="Q158" s="193"/>
      <c r="R158" s="193"/>
      <c r="S158" s="193"/>
    </row>
    <row r="159" spans="1:19" ht="12.95" customHeight="1">
      <c r="A159" s="12"/>
      <c r="B159" s="9"/>
      <c r="C159" s="17"/>
      <c r="D159" s="9"/>
      <c r="E159" s="17"/>
      <c r="F159" s="9"/>
      <c r="G159" s="17"/>
      <c r="H159" s="9"/>
      <c r="I159" s="233"/>
      <c r="J159" s="9"/>
      <c r="K159" s="17"/>
      <c r="L159" s="9"/>
      <c r="M159" s="233"/>
      <c r="N159" s="9"/>
      <c r="O159" s="217"/>
    </row>
    <row r="160" spans="1:19" ht="12.95" customHeight="1">
      <c r="A160" s="12" t="s">
        <v>439</v>
      </c>
      <c r="B160" s="62">
        <f>+GETPIVOTDATA(" New Prof avg",'Averages Pivot Table'!$A$3,"State","AL","Category",2,"Category2","Four-Year")</f>
        <v>109897.95613421053</v>
      </c>
      <c r="C160" s="130">
        <f>IF(B160&gt;0,(RANK(B160,B$160:B$178)),0)</f>
        <v>5</v>
      </c>
      <c r="D160" s="62">
        <f>+GETPIVOTDATA(" New Asc. avg",'Averages Pivot Table'!$A$3,"State","AL","Category",2,"Category2","Four-Year")</f>
        <v>78889.588777528086</v>
      </c>
      <c r="E160" s="130">
        <f>IF(D160&gt;0,(RANK(D160,D$160:D$178)),0)</f>
        <v>4</v>
      </c>
      <c r="F160" s="62">
        <f>+GETPIVOTDATA(" New Ast. avg",'Averages Pivot Table'!$A$3,"State","AL","Category",2,"Category2","Four-Year")</f>
        <v>64633.125237647058</v>
      </c>
      <c r="G160" s="130">
        <f t="shared" ref="G160:G178" si="12">IF(F160&gt;0,(RANK(F160,F$160:F$178)),0)</f>
        <v>5</v>
      </c>
      <c r="H160" s="62">
        <f>+GETPIVOTDATA(" New Inst. avg",'Averages Pivot Table'!$A$3,"State","AL","Category",2,"Category2","Four-Year")</f>
        <v>49537.538461538461</v>
      </c>
      <c r="I160" s="201">
        <f t="shared" ref="I160:I178" si="13">IF(H160&gt;0,(RANK(H160,H$160:H$178)),0)</f>
        <v>3</v>
      </c>
      <c r="J160" s="62">
        <f>+GETPIVOTDATA(" New Undesg. avg",'Averages Pivot Table'!$A$3,"State","AL","Category",2,"Category2","Four-Year")</f>
        <v>46430.874714999998</v>
      </c>
      <c r="K160" s="130">
        <f t="shared" ref="K160:K178" si="14">IF(J160&gt;0,(RANK(J160,J$160:J$178)),0)</f>
        <v>6</v>
      </c>
      <c r="L160" s="62">
        <f>+GETPIVOTDATA(" New All Ranks avg",'Averages Pivot Table'!$A$3,"State","AL","Category",2,"Category2","Four-Year")</f>
        <v>77123.619475907588</v>
      </c>
      <c r="M160" s="201">
        <f t="shared" ref="M160:M178" si="15">IF(L160&gt;0,(RANK(L160,L$160:L$178)),0)</f>
        <v>4</v>
      </c>
      <c r="N160" s="62"/>
      <c r="O160" s="212"/>
    </row>
    <row r="161" spans="1:15" ht="12.95" customHeight="1">
      <c r="A161" s="12" t="s">
        <v>440</v>
      </c>
      <c r="B161" s="62">
        <f>+GETPIVOTDATA(" New Prof avg",'Averages Pivot Table'!$A$3,"State","AR","Category",2,"Category2","Four-Year")</f>
        <v>0</v>
      </c>
      <c r="C161" s="130">
        <f t="shared" ref="C161:E178" si="16">IF(B161&gt;0,(RANK(B161,B$160:B$178)),0)</f>
        <v>0</v>
      </c>
      <c r="D161" s="62">
        <f>+GETPIVOTDATA(" New Asc. avg",'Averages Pivot Table'!$A$3,"State","AR","Category",2,"Category2","Four-Year")</f>
        <v>0</v>
      </c>
      <c r="E161" s="130">
        <f t="shared" si="16"/>
        <v>0</v>
      </c>
      <c r="F161" s="62">
        <f>+GETPIVOTDATA(" New Ast. avg",'Averages Pivot Table'!$A$3,"State","AR","Category",2,"Category2","Four-Year")</f>
        <v>0</v>
      </c>
      <c r="G161" s="130">
        <f t="shared" si="12"/>
        <v>0</v>
      </c>
      <c r="H161" s="62">
        <f>+GETPIVOTDATA(" New Inst. avg",'Averages Pivot Table'!$A$3,"State","AR","Category",2,"Category2","Four-Year")</f>
        <v>0</v>
      </c>
      <c r="I161" s="201">
        <f t="shared" si="13"/>
        <v>0</v>
      </c>
      <c r="J161" s="62">
        <f>+GETPIVOTDATA(" New Undesg. avg",'Averages Pivot Table'!$A$3,"State","AR","Category",2,"Category2","Four-Year")</f>
        <v>0</v>
      </c>
      <c r="K161" s="130">
        <f t="shared" si="14"/>
        <v>0</v>
      </c>
      <c r="L161" s="62">
        <f>+GETPIVOTDATA(" New All Ranks avg",'Averages Pivot Table'!$A$3,"State","AR","Category",2,"Category2","Four-Year")</f>
        <v>0</v>
      </c>
      <c r="M161" s="201">
        <f t="shared" si="15"/>
        <v>0</v>
      </c>
      <c r="N161" s="62"/>
      <c r="O161" s="212"/>
    </row>
    <row r="162" spans="1:15" ht="12.95" customHeight="1">
      <c r="A162" s="12" t="s">
        <v>455</v>
      </c>
      <c r="B162" s="62">
        <f>+GETPIVOTDATA(" New Prof avg",'Averages Pivot Table'!$A$3,"State","DE","Category",2,"Category2","Four-Year")</f>
        <v>0</v>
      </c>
      <c r="C162" s="130">
        <f t="shared" si="16"/>
        <v>0</v>
      </c>
      <c r="D162" s="62">
        <f>+GETPIVOTDATA(" New Asc. avg",'Averages Pivot Table'!$A$3,"State","DE","Category",2,"Category2","Four-Year")</f>
        <v>0</v>
      </c>
      <c r="E162" s="130">
        <f t="shared" si="16"/>
        <v>0</v>
      </c>
      <c r="F162" s="62">
        <f>+GETPIVOTDATA(" New Ast. avg",'Averages Pivot Table'!$A$3,"State","DE","Category",2,"Category2","Four-Year")</f>
        <v>0</v>
      </c>
      <c r="G162" s="130">
        <f t="shared" si="12"/>
        <v>0</v>
      </c>
      <c r="H162" s="62">
        <f>+GETPIVOTDATA(" New Inst. avg",'Averages Pivot Table'!$A$3,"State","DE","Category",2,"Category2","Four-Year")</f>
        <v>0</v>
      </c>
      <c r="I162" s="201">
        <f t="shared" si="13"/>
        <v>0</v>
      </c>
      <c r="J162" s="62">
        <f>+GETPIVOTDATA(" New Undesg. avg",'Averages Pivot Table'!$A$3,"State","DE","Category",2,"Category2","Four-Year")</f>
        <v>0</v>
      </c>
      <c r="K162" s="130">
        <f t="shared" si="14"/>
        <v>0</v>
      </c>
      <c r="L162" s="62">
        <f>+GETPIVOTDATA(" New All Ranks avg",'Averages Pivot Table'!$A$3,"State","DE","Category",2,"Category2","Four-Year")</f>
        <v>0</v>
      </c>
      <c r="M162" s="201">
        <f t="shared" si="15"/>
        <v>0</v>
      </c>
      <c r="N162" s="62"/>
      <c r="O162" s="212"/>
    </row>
    <row r="163" spans="1:15" ht="12.95" customHeight="1">
      <c r="A163" s="12" t="s">
        <v>441</v>
      </c>
      <c r="B163" s="62">
        <f>+GETPIVOTDATA(" New Prof avg",'Averages Pivot Table'!$A$3,"State","FL","Category",2,"Category2","Four-Year")</f>
        <v>96670.059248704652</v>
      </c>
      <c r="C163" s="130">
        <f t="shared" si="16"/>
        <v>7</v>
      </c>
      <c r="D163" s="62">
        <f>+GETPIVOTDATA(" New Asc. avg",'Averages Pivot Table'!$A$3,"State","FL","Category",2,"Category2","Four-Year")</f>
        <v>72367.856142608696</v>
      </c>
      <c r="E163" s="130">
        <f t="shared" si="16"/>
        <v>7</v>
      </c>
      <c r="F163" s="62">
        <f>+GETPIVOTDATA(" New Ast. avg",'Averages Pivot Table'!$A$3,"State","FL","Category",2,"Category2","Four-Year")</f>
        <v>64029.218874698796</v>
      </c>
      <c r="G163" s="130">
        <f t="shared" si="12"/>
        <v>6</v>
      </c>
      <c r="H163" s="62">
        <f>+GETPIVOTDATA(" New Inst. avg",'Averages Pivot Table'!$A$3,"State","FL","Category",2,"Category2","Four-Year")</f>
        <v>47799.094380219787</v>
      </c>
      <c r="I163" s="201">
        <f t="shared" si="13"/>
        <v>5</v>
      </c>
      <c r="J163" s="62">
        <f>+GETPIVOTDATA(" New Undesg. avg",'Averages Pivot Table'!$A$3,"State","FL","Category",2,"Category2","Four-Year")</f>
        <v>53629.285800000005</v>
      </c>
      <c r="K163" s="130">
        <f t="shared" si="14"/>
        <v>4</v>
      </c>
      <c r="L163" s="62">
        <f>+GETPIVOTDATA(" New All Ranks avg",'Averages Pivot Table'!$A$3,"State","FL","Category",2,"Category2","Four-Year")</f>
        <v>70789.5371002584</v>
      </c>
      <c r="M163" s="201">
        <f t="shared" si="15"/>
        <v>6</v>
      </c>
      <c r="N163" s="62"/>
      <c r="O163" s="212"/>
    </row>
    <row r="164" spans="1:15" ht="12.95" customHeight="1">
      <c r="A164" s="12"/>
      <c r="B164" s="62"/>
      <c r="C164" s="130">
        <f t="shared" si="16"/>
        <v>0</v>
      </c>
      <c r="D164" s="62"/>
      <c r="E164" s="130">
        <f t="shared" si="16"/>
        <v>0</v>
      </c>
      <c r="F164" s="62"/>
      <c r="G164" s="130">
        <f t="shared" si="12"/>
        <v>0</v>
      </c>
      <c r="H164" s="62"/>
      <c r="I164" s="201">
        <f t="shared" si="13"/>
        <v>0</v>
      </c>
      <c r="J164" s="62"/>
      <c r="K164" s="130">
        <f t="shared" si="14"/>
        <v>0</v>
      </c>
      <c r="L164" s="62"/>
      <c r="M164" s="201">
        <f t="shared" si="15"/>
        <v>0</v>
      </c>
      <c r="N164" s="62"/>
      <c r="O164" s="212"/>
    </row>
    <row r="165" spans="1:15" ht="12.95" customHeight="1">
      <c r="A165" s="12" t="s">
        <v>235</v>
      </c>
      <c r="B165" s="62">
        <f>+GETPIVOTDATA(" New Prof avg",'Averages Pivot Table'!$A$3,"State","GA","Category",2,"Category2","Four-Year")</f>
        <v>138407.57790754258</v>
      </c>
      <c r="C165" s="130">
        <f t="shared" si="16"/>
        <v>1</v>
      </c>
      <c r="D165" s="62">
        <f>+GETPIVOTDATA(" New Asc. avg",'Averages Pivot Table'!$A$3,"State","GA","Category",2,"Category2","Four-Year")</f>
        <v>94234.647671369297</v>
      </c>
      <c r="E165" s="130">
        <f t="shared" si="16"/>
        <v>1</v>
      </c>
      <c r="F165" s="62">
        <f>+GETPIVOTDATA(" New Ast. avg",'Averages Pivot Table'!$A$3,"State","GA","Category",2,"Category2","Four-Year")</f>
        <v>85603.49</v>
      </c>
      <c r="G165" s="130">
        <f t="shared" si="12"/>
        <v>1</v>
      </c>
      <c r="H165" s="62">
        <f>+GETPIVOTDATA(" New Inst. avg",'Averages Pivot Table'!$A$3,"State","GA","Category",2,"Category2","Four-Year")</f>
        <v>49219.849999999991</v>
      </c>
      <c r="I165" s="201">
        <f t="shared" si="13"/>
        <v>4</v>
      </c>
      <c r="J165" s="62">
        <f>+GETPIVOTDATA(" New Undesg. avg",'Averages Pivot Table'!$A$3,"State","GA","Category",2,"Category2","Four-Year")</f>
        <v>62667.887383783789</v>
      </c>
      <c r="K165" s="130">
        <f t="shared" si="14"/>
        <v>1</v>
      </c>
      <c r="L165" s="62">
        <f>+GETPIVOTDATA(" New All Ranks avg",'Averages Pivot Table'!$A$3,"State","GA","Category",2,"Category2","Four-Year")</f>
        <v>107284.9052771282</v>
      </c>
      <c r="M165" s="201">
        <f t="shared" si="15"/>
        <v>1</v>
      </c>
      <c r="N165" s="62"/>
      <c r="O165" s="212"/>
    </row>
    <row r="166" spans="1:15" ht="12.95" customHeight="1">
      <c r="A166" s="12" t="s">
        <v>443</v>
      </c>
      <c r="B166" s="62">
        <f>+GETPIVOTDATA(" New Prof avg",'Averages Pivot Table'!$A$3,"State","KY","Category",2,"Category2","Four-Year")</f>
        <v>0</v>
      </c>
      <c r="C166" s="130">
        <f t="shared" si="16"/>
        <v>0</v>
      </c>
      <c r="D166" s="62">
        <f>+GETPIVOTDATA(" New Asc. avg",'Averages Pivot Table'!$A$3,"State","KY","Category",2,"Category2","Four-Year")</f>
        <v>0</v>
      </c>
      <c r="E166" s="130">
        <f t="shared" si="16"/>
        <v>0</v>
      </c>
      <c r="F166" s="62">
        <f>+GETPIVOTDATA(" New Ast. avg",'Averages Pivot Table'!$A$3,"State","KY","Category",2,"Category2","Four-Year")</f>
        <v>0</v>
      </c>
      <c r="G166" s="130">
        <f t="shared" si="12"/>
        <v>0</v>
      </c>
      <c r="H166" s="62">
        <f>+GETPIVOTDATA(" New Inst. avg",'Averages Pivot Table'!$A$3,"State","KY","Category",2,"Category2","Four-Year")</f>
        <v>0</v>
      </c>
      <c r="I166" s="201">
        <f t="shared" si="13"/>
        <v>0</v>
      </c>
      <c r="J166" s="62">
        <f>+GETPIVOTDATA(" New Undesg. avg",'Averages Pivot Table'!$A$3,"State","KY","Category",2,"Category2","Four-Year")</f>
        <v>0</v>
      </c>
      <c r="K166" s="130">
        <f t="shared" si="14"/>
        <v>0</v>
      </c>
      <c r="L166" s="62">
        <f>+GETPIVOTDATA(" New All Ranks avg",'Averages Pivot Table'!$A$3,"State","KY","Category",2,"Category2","Four-Year")</f>
        <v>0</v>
      </c>
      <c r="M166" s="201">
        <f t="shared" si="15"/>
        <v>0</v>
      </c>
      <c r="N166" s="62"/>
      <c r="O166" s="212"/>
    </row>
    <row r="167" spans="1:15" ht="12.95" customHeight="1">
      <c r="A167" s="12" t="s">
        <v>444</v>
      </c>
      <c r="B167" s="62">
        <f>+GETPIVOTDATA(" New Prof avg",'Averages Pivot Table'!$A$3,"State","LA","Category",2,"Category2","Four-Year")</f>
        <v>92609.639215730334</v>
      </c>
      <c r="C167" s="130">
        <f t="shared" si="16"/>
        <v>9</v>
      </c>
      <c r="D167" s="62">
        <f>+GETPIVOTDATA(" New Asc. avg",'Averages Pivot Table'!$A$3,"State","LA","Category",2,"Category2","Four-Year")</f>
        <v>70354.94346783626</v>
      </c>
      <c r="E167" s="130">
        <f t="shared" si="16"/>
        <v>9</v>
      </c>
      <c r="F167" s="62">
        <f>+GETPIVOTDATA(" New Ast. avg",'Averages Pivot Table'!$A$3,"State","LA","Category",2,"Category2","Four-Year")</f>
        <v>60126.92549972752</v>
      </c>
      <c r="G167" s="130">
        <f t="shared" si="12"/>
        <v>9</v>
      </c>
      <c r="H167" s="62">
        <f>+GETPIVOTDATA(" New Inst. avg",'Averages Pivot Table'!$A$3,"State","LA","Category",2,"Category2","Four-Year")</f>
        <v>42829.302763333333</v>
      </c>
      <c r="I167" s="201">
        <f t="shared" si="13"/>
        <v>7</v>
      </c>
      <c r="J167" s="62">
        <f>+GETPIVOTDATA(" New Undesg. avg",'Averages Pivot Table'!$A$3,"State","LA","Category",2,"Category2","Four-Year")</f>
        <v>62343</v>
      </c>
      <c r="K167" s="130">
        <f t="shared" si="14"/>
        <v>2</v>
      </c>
      <c r="L167" s="62">
        <f>+GETPIVOTDATA(" New All Ranks avg",'Averages Pivot Table'!$A$3,"State","LA","Category",2,"Category2","Four-Year")</f>
        <v>67301.43570905141</v>
      </c>
      <c r="M167" s="201">
        <f t="shared" si="15"/>
        <v>8</v>
      </c>
      <c r="N167" s="62"/>
      <c r="O167" s="212"/>
    </row>
    <row r="168" spans="1:15" ht="12.95" customHeight="1">
      <c r="A168" s="12" t="s">
        <v>445</v>
      </c>
      <c r="B168" s="62">
        <f>+GETPIVOTDATA(" New Prof avg",'Averages Pivot Table'!$A$3,"State","MD","Category",2,"Category2","Four-Year")</f>
        <v>112818.35656</v>
      </c>
      <c r="C168" s="130">
        <f t="shared" si="16"/>
        <v>2</v>
      </c>
      <c r="D168" s="62">
        <f>+GETPIVOTDATA(" New Asc. avg",'Averages Pivot Table'!$A$3,"State","MD","Category",2,"Category2","Four-Year")</f>
        <v>77697.422160000002</v>
      </c>
      <c r="E168" s="130">
        <f t="shared" si="16"/>
        <v>5</v>
      </c>
      <c r="F168" s="62">
        <f>+GETPIVOTDATA(" New Ast. avg",'Averages Pivot Table'!$A$3,"State","MD","Category",2,"Category2","Four-Year")</f>
        <v>66513.997189473681</v>
      </c>
      <c r="G168" s="130">
        <f t="shared" si="12"/>
        <v>4</v>
      </c>
      <c r="H168" s="62">
        <f>+GETPIVOTDATA(" New Inst. avg",'Averages Pivot Table'!$A$3,"State","MD","Category",2,"Category2","Four-Year")</f>
        <v>28193.666666666668</v>
      </c>
      <c r="I168" s="201">
        <f t="shared" si="13"/>
        <v>9</v>
      </c>
      <c r="J168" s="62">
        <f>+GETPIVOTDATA(" New Undesg. avg",'Averages Pivot Table'!$A$3,"State","MD","Category",2,"Category2","Four-Year")</f>
        <v>0</v>
      </c>
      <c r="K168" s="130">
        <f t="shared" si="14"/>
        <v>0</v>
      </c>
      <c r="L168" s="62">
        <f>+GETPIVOTDATA(" New All Ranks avg",'Averages Pivot Table'!$A$3,"State","MD","Category",2,"Category2","Four-Year")</f>
        <v>86571.303540540539</v>
      </c>
      <c r="M168" s="201">
        <f t="shared" si="15"/>
        <v>2</v>
      </c>
      <c r="N168" s="62"/>
      <c r="O168" s="212"/>
    </row>
    <row r="169" spans="1:15" ht="12.95" customHeight="1">
      <c r="A169" s="12"/>
      <c r="B169" s="62"/>
      <c r="C169" s="130">
        <f t="shared" si="16"/>
        <v>0</v>
      </c>
      <c r="D169" s="62"/>
      <c r="E169" s="130">
        <f t="shared" si="16"/>
        <v>0</v>
      </c>
      <c r="F169" s="62"/>
      <c r="G169" s="130">
        <f t="shared" si="12"/>
        <v>0</v>
      </c>
      <c r="H169" s="62"/>
      <c r="I169" s="201">
        <f t="shared" si="13"/>
        <v>0</v>
      </c>
      <c r="J169" s="62"/>
      <c r="K169" s="130">
        <f t="shared" si="14"/>
        <v>0</v>
      </c>
      <c r="L169" s="62"/>
      <c r="M169" s="201">
        <f t="shared" si="15"/>
        <v>0</v>
      </c>
      <c r="N169" s="62"/>
      <c r="O169" s="212"/>
    </row>
    <row r="170" spans="1:15" ht="12.95" customHeight="1">
      <c r="A170" s="12" t="s">
        <v>446</v>
      </c>
      <c r="B170" s="62">
        <f>+GETPIVOTDATA(" New Prof avg",'Averages Pivot Table'!$A$3,"State","MS","Category",2,"Category2","Four-Year")</f>
        <v>94795.253882975216</v>
      </c>
      <c r="C170" s="130">
        <f t="shared" si="16"/>
        <v>8</v>
      </c>
      <c r="D170" s="62">
        <f>+GETPIVOTDATA(" New Asc. avg",'Averages Pivot Table'!$A$3,"State","MS","Category",2,"Category2","Four-Year")</f>
        <v>72128.171328155833</v>
      </c>
      <c r="E170" s="130">
        <f t="shared" si="16"/>
        <v>8</v>
      </c>
      <c r="F170" s="62">
        <f>+GETPIVOTDATA(" New Ast. avg",'Averages Pivot Table'!$A$3,"State","MS","Category",2,"Category2","Four-Year")</f>
        <v>60303.25787369733</v>
      </c>
      <c r="G170" s="130">
        <f t="shared" si="12"/>
        <v>8</v>
      </c>
      <c r="H170" s="62">
        <f>+GETPIVOTDATA(" New Inst. avg",'Averages Pivot Table'!$A$3,"State","MS","Category",2,"Category2","Four-Year")</f>
        <v>38917.857848182743</v>
      </c>
      <c r="I170" s="201">
        <f t="shared" si="13"/>
        <v>8</v>
      </c>
      <c r="J170" s="62">
        <f>+GETPIVOTDATA(" New Undesg. avg",'Averages Pivot Table'!$A$3,"State","MS","Category",2,"Category2","Four-Year")</f>
        <v>42167.246821052628</v>
      </c>
      <c r="K170" s="130">
        <f t="shared" si="14"/>
        <v>7</v>
      </c>
      <c r="L170" s="62">
        <f>+GETPIVOTDATA(" New All Ranks avg",'Averages Pivot Table'!$A$3,"State","MS","Category",2,"Category2","Four-Year")</f>
        <v>67040.908248304622</v>
      </c>
      <c r="M170" s="201">
        <f t="shared" si="15"/>
        <v>9</v>
      </c>
      <c r="N170" s="62"/>
      <c r="O170" s="212"/>
    </row>
    <row r="171" spans="1:15" ht="12.95" customHeight="1">
      <c r="A171" s="12" t="s">
        <v>447</v>
      </c>
      <c r="B171" s="62">
        <f>+GETPIVOTDATA(" New Prof avg",'Averages Pivot Table'!$A$3,"State","NC","Category",2,"Category2","Four-Year")</f>
        <v>111110.28066532665</v>
      </c>
      <c r="C171" s="130">
        <f t="shared" si="16"/>
        <v>3</v>
      </c>
      <c r="D171" s="62">
        <f>+GETPIVOTDATA(" New Asc. avg",'Averages Pivot Table'!$A$3,"State","NC","Category",2,"Category2","Four-Year")</f>
        <v>79408.148843122675</v>
      </c>
      <c r="E171" s="130">
        <f t="shared" si="16"/>
        <v>3</v>
      </c>
      <c r="F171" s="62">
        <f>+GETPIVOTDATA(" New Ast. avg",'Averages Pivot Table'!$A$3,"State","NC","Category",2,"Category2","Four-Year")</f>
        <v>67186.259048167543</v>
      </c>
      <c r="G171" s="130">
        <f t="shared" si="12"/>
        <v>2</v>
      </c>
      <c r="H171" s="62">
        <f>+GETPIVOTDATA(" New Inst. avg",'Averages Pivot Table'!$A$3,"State","NC","Category",2,"Category2","Four-Year")</f>
        <v>56581.365650000007</v>
      </c>
      <c r="I171" s="201">
        <f t="shared" si="13"/>
        <v>1</v>
      </c>
      <c r="J171" s="62">
        <f>+GETPIVOTDATA(" New Undesg. avg",'Averages Pivot Table'!$A$3,"State","NC","Category",2,"Category2","Four-Year")</f>
        <v>47490.785929268292</v>
      </c>
      <c r="K171" s="130">
        <f t="shared" si="14"/>
        <v>5</v>
      </c>
      <c r="L171" s="62">
        <f>+GETPIVOTDATA(" New All Ranks avg",'Averages Pivot Table'!$A$3,"State","NC","Category",2,"Category2","Four-Year")</f>
        <v>75768.865161521258</v>
      </c>
      <c r="M171" s="201">
        <f t="shared" si="15"/>
        <v>5</v>
      </c>
      <c r="N171" s="62"/>
      <c r="O171" s="212"/>
    </row>
    <row r="172" spans="1:15" ht="12.95" customHeight="1">
      <c r="A172" s="12" t="s">
        <v>448</v>
      </c>
      <c r="B172" s="62">
        <f>+GETPIVOTDATA(" New Prof avg",'Averages Pivot Table'!$A$3,"State","OK","Category",2,"Category2","Four-Year")</f>
        <v>0</v>
      </c>
      <c r="C172" s="130">
        <f t="shared" si="16"/>
        <v>0</v>
      </c>
      <c r="D172" s="62">
        <f>+GETPIVOTDATA(" New Asc. avg",'Averages Pivot Table'!$A$3,"State","OK","Category",2,"Category2","Four-Year")</f>
        <v>0</v>
      </c>
      <c r="E172" s="130">
        <f t="shared" si="16"/>
        <v>0</v>
      </c>
      <c r="F172" s="62">
        <f>+GETPIVOTDATA(" New Ast. avg",'Averages Pivot Table'!$A$3,"State","OK","Category",2,"Category2","Four-Year")</f>
        <v>0</v>
      </c>
      <c r="G172" s="130">
        <f t="shared" si="12"/>
        <v>0</v>
      </c>
      <c r="H172" s="62">
        <f>+GETPIVOTDATA(" New Inst. avg",'Averages Pivot Table'!$A$3,"State","OK","Category",2,"Category2","Four-Year")</f>
        <v>0</v>
      </c>
      <c r="I172" s="201">
        <f t="shared" si="13"/>
        <v>0</v>
      </c>
      <c r="J172" s="62">
        <f>+GETPIVOTDATA(" New Undesg. avg",'Averages Pivot Table'!$A$3,"State","OK","Category",2,"Category2","Four-Year")</f>
        <v>0</v>
      </c>
      <c r="K172" s="130">
        <f t="shared" si="14"/>
        <v>0</v>
      </c>
      <c r="L172" s="62">
        <f>+GETPIVOTDATA(" New All Ranks avg",'Averages Pivot Table'!$A$3,"State","OK","Category",2,"Category2","Four-Year")</f>
        <v>0</v>
      </c>
      <c r="M172" s="201">
        <f t="shared" si="15"/>
        <v>0</v>
      </c>
      <c r="N172" s="62"/>
      <c r="O172" s="212"/>
    </row>
    <row r="173" spans="1:15" ht="12.95" customHeight="1">
      <c r="A173" s="12" t="s">
        <v>449</v>
      </c>
      <c r="B173" s="62">
        <f>+GETPIVOTDATA(" New Prof avg",'Averages Pivot Table'!$A$3,"State","SC","Category",2,"Category2","Four-Year")</f>
        <v>0</v>
      </c>
      <c r="C173" s="130">
        <f t="shared" si="16"/>
        <v>0</v>
      </c>
      <c r="D173" s="62">
        <f>+GETPIVOTDATA(" New Asc. avg",'Averages Pivot Table'!$A$3,"State","SC","Category",2,"Category2","Four-Year")</f>
        <v>0</v>
      </c>
      <c r="E173" s="130">
        <f t="shared" si="16"/>
        <v>0</v>
      </c>
      <c r="F173" s="62">
        <f>+GETPIVOTDATA(" New Ast. avg",'Averages Pivot Table'!$A$3,"State","SC","Category",2,"Category2","Four-Year")</f>
        <v>0</v>
      </c>
      <c r="G173" s="130">
        <f t="shared" si="12"/>
        <v>0</v>
      </c>
      <c r="H173" s="62">
        <f>+GETPIVOTDATA(" New Inst. avg",'Averages Pivot Table'!$A$3,"State","SC","Category",2,"Category2","Four-Year")</f>
        <v>0</v>
      </c>
      <c r="I173" s="201">
        <f t="shared" si="13"/>
        <v>0</v>
      </c>
      <c r="J173" s="62">
        <f>+GETPIVOTDATA(" New Undesg. avg",'Averages Pivot Table'!$A$3,"State","SC","Category",2,"Category2","Four-Year")</f>
        <v>0</v>
      </c>
      <c r="K173" s="130">
        <f t="shared" si="14"/>
        <v>0</v>
      </c>
      <c r="L173" s="62">
        <f>+GETPIVOTDATA(" New All Ranks avg",'Averages Pivot Table'!$A$3,"State","SC","Category",2,"Category2","Four-Year")</f>
        <v>0</v>
      </c>
      <c r="M173" s="201">
        <f t="shared" si="15"/>
        <v>0</v>
      </c>
      <c r="N173" s="62"/>
      <c r="O173" s="212"/>
    </row>
    <row r="174" spans="1:15" ht="12.95" customHeight="1">
      <c r="A174" s="12"/>
      <c r="B174" s="62"/>
      <c r="C174" s="130">
        <f t="shared" si="16"/>
        <v>0</v>
      </c>
      <c r="D174" s="62"/>
      <c r="E174" s="130">
        <f t="shared" si="16"/>
        <v>0</v>
      </c>
      <c r="F174" s="62"/>
      <c r="G174" s="130">
        <f t="shared" si="12"/>
        <v>0</v>
      </c>
      <c r="H174" s="62"/>
      <c r="I174" s="201">
        <f t="shared" si="13"/>
        <v>0</v>
      </c>
      <c r="J174" s="62"/>
      <c r="K174" s="130">
        <f t="shared" si="14"/>
        <v>0</v>
      </c>
      <c r="L174" s="62"/>
      <c r="M174" s="201">
        <f t="shared" si="15"/>
        <v>0</v>
      </c>
      <c r="N174" s="62"/>
      <c r="O174" s="212"/>
    </row>
    <row r="175" spans="1:15" ht="12.95" customHeight="1">
      <c r="A175" s="12" t="s">
        <v>450</v>
      </c>
      <c r="B175" s="129">
        <f>+GETPIVOTDATA(" New Prof avg",'Averages Pivot Table'!$A$3,"State","TN","Category",2,"Category2","Four-Year")</f>
        <v>0</v>
      </c>
      <c r="C175" s="130">
        <f t="shared" si="16"/>
        <v>0</v>
      </c>
      <c r="D175" s="129">
        <f>+GETPIVOTDATA(" New Asc. avg",'Averages Pivot Table'!$A$3,"State","TN","Category",2,"Category2","Four-Year")</f>
        <v>0</v>
      </c>
      <c r="E175" s="130">
        <f t="shared" si="16"/>
        <v>0</v>
      </c>
      <c r="F175" s="129">
        <f>+GETPIVOTDATA(" New Ast. avg",'Averages Pivot Table'!$A$3,"State","TN","Category",2,"Category2","Four-Year")</f>
        <v>0</v>
      </c>
      <c r="G175" s="130">
        <f t="shared" si="12"/>
        <v>0</v>
      </c>
      <c r="H175" s="129">
        <f>+GETPIVOTDATA(" New Inst. avg",'Averages Pivot Table'!$A$3,"State","TN","Category",2,"Category2","Four-Year")</f>
        <v>0</v>
      </c>
      <c r="I175" s="201">
        <f t="shared" si="13"/>
        <v>0</v>
      </c>
      <c r="J175" s="129">
        <f>+GETPIVOTDATA(" New Undesg. avg",'Averages Pivot Table'!$A$3,"State","TN","Category",2,"Category2","Four-Year")</f>
        <v>0</v>
      </c>
      <c r="K175" s="130">
        <f t="shared" si="14"/>
        <v>0</v>
      </c>
      <c r="L175" s="129">
        <f>+GETPIVOTDATA(" New All Ranks avg",'Averages Pivot Table'!$A$3,"State","TN","Category",2,"Category2","Four-Year")</f>
        <v>0</v>
      </c>
      <c r="M175" s="201">
        <f t="shared" si="15"/>
        <v>0</v>
      </c>
      <c r="N175" s="62"/>
      <c r="O175" s="212"/>
    </row>
    <row r="176" spans="1:15" ht="12.95" customHeight="1">
      <c r="A176" s="12" t="s">
        <v>451</v>
      </c>
      <c r="B176" s="129">
        <f>+GETPIVOTDATA(" New Prof avg",'Averages Pivot Table'!$A$3,"State","TX","Category",2,"Category2","Four-Year")</f>
        <v>105760.78974358975</v>
      </c>
      <c r="C176" s="130">
        <f t="shared" si="16"/>
        <v>6</v>
      </c>
      <c r="D176" s="129">
        <f>+GETPIVOTDATA(" New Asc. avg",'Averages Pivot Table'!$A$3,"State","TX","Category",2,"Category2","Four-Year")</f>
        <v>77300.310272536692</v>
      </c>
      <c r="E176" s="130">
        <f t="shared" si="16"/>
        <v>6</v>
      </c>
      <c r="F176" s="129">
        <f>+GETPIVOTDATA(" New Ast. avg",'Averages Pivot Table'!$A$3,"State","TX","Category",2,"Category2","Four-Year")</f>
        <v>66734.97630331754</v>
      </c>
      <c r="G176" s="130">
        <f t="shared" si="12"/>
        <v>3</v>
      </c>
      <c r="H176" s="129">
        <f>+GETPIVOTDATA(" New Inst. avg",'Averages Pivot Table'!$A$3,"State","TX","Category",2,"Category2","Four-Year")</f>
        <v>52735.63636363636</v>
      </c>
      <c r="I176" s="201">
        <f t="shared" si="13"/>
        <v>2</v>
      </c>
      <c r="J176" s="129">
        <f>+GETPIVOTDATA(" New Undesg. avg",'Averages Pivot Table'!$A$3,"State","TX","Category",2,"Category2","Four-Year")</f>
        <v>39784.028985507248</v>
      </c>
      <c r="K176" s="130">
        <f t="shared" si="14"/>
        <v>8</v>
      </c>
      <c r="L176" s="129">
        <f>+GETPIVOTDATA(" New All Ranks avg",'Averages Pivot Table'!$A$3,"State","TX","Category",2,"Category2","Four-Year")</f>
        <v>69731.238782877772</v>
      </c>
      <c r="M176" s="201">
        <f t="shared" si="15"/>
        <v>7</v>
      </c>
      <c r="N176" s="62"/>
      <c r="O176" s="212"/>
    </row>
    <row r="177" spans="1:19" ht="12.95" customHeight="1">
      <c r="A177" s="12" t="s">
        <v>452</v>
      </c>
      <c r="B177" s="129">
        <f>+GETPIVOTDATA(" New Prof avg",'Averages Pivot Table'!$A$3,"State","VA","Category",2,"Category2","Four-Year")</f>
        <v>110920.92847844037</v>
      </c>
      <c r="C177" s="130">
        <f t="shared" si="16"/>
        <v>4</v>
      </c>
      <c r="D177" s="129">
        <f>+GETPIVOTDATA(" New Asc. avg",'Averages Pivot Table'!$A$3,"State","VA","Category",2,"Category2","Four-Year")</f>
        <v>79487.967066122452</v>
      </c>
      <c r="E177" s="130">
        <f t="shared" si="16"/>
        <v>2</v>
      </c>
      <c r="F177" s="129">
        <f>+GETPIVOTDATA(" New Ast. avg",'Averages Pivot Table'!$A$3,"State","VA","Category",2,"Category2","Four-Year")</f>
        <v>63569.842314677102</v>
      </c>
      <c r="G177" s="130">
        <f t="shared" si="12"/>
        <v>7</v>
      </c>
      <c r="H177" s="129">
        <f>+GETPIVOTDATA(" New Inst. avg",'Averages Pivot Table'!$A$3,"State","VA","Category",2,"Category2","Four-Year")</f>
        <v>46906.614709489048</v>
      </c>
      <c r="I177" s="201">
        <f t="shared" si="13"/>
        <v>6</v>
      </c>
      <c r="J177" s="129">
        <f>+GETPIVOTDATA(" New Undesg. avg",'Averages Pivot Table'!$A$3,"State","VA","Category",2,"Category2","Four-Year")</f>
        <v>61880.444444444445</v>
      </c>
      <c r="K177" s="130">
        <f t="shared" si="14"/>
        <v>3</v>
      </c>
      <c r="L177" s="129">
        <f>+GETPIVOTDATA(" New All Ranks avg",'Averages Pivot Table'!$A$3,"State","VA","Category",2,"Category2","Four-Year")</f>
        <v>77444.275890813951</v>
      </c>
      <c r="M177" s="201">
        <f t="shared" si="15"/>
        <v>3</v>
      </c>
      <c r="N177" s="62"/>
      <c r="O177" s="212"/>
    </row>
    <row r="178" spans="1:19" ht="12.95" customHeight="1">
      <c r="A178" s="11" t="s">
        <v>453</v>
      </c>
      <c r="B178" s="64">
        <f>+GETPIVOTDATA(" New Prof avg",'Averages Pivot Table'!$A$3,"State","WV","Category",2,"Category2","Four-Year")</f>
        <v>0</v>
      </c>
      <c r="C178" s="65">
        <f t="shared" si="16"/>
        <v>0</v>
      </c>
      <c r="D178" s="64">
        <f>+GETPIVOTDATA(" New Asc. avg",'Averages Pivot Table'!$A$3,"State","WV","Category",2,"Category2","Four-Year")</f>
        <v>0</v>
      </c>
      <c r="E178" s="65">
        <f t="shared" si="16"/>
        <v>0</v>
      </c>
      <c r="F178" s="64">
        <f>+GETPIVOTDATA(" New Ast. avg",'Averages Pivot Table'!$A$3,"State","WV","Category",2,"Category2","Four-Year")</f>
        <v>0</v>
      </c>
      <c r="G178" s="65">
        <f t="shared" si="12"/>
        <v>0</v>
      </c>
      <c r="H178" s="64">
        <f>+GETPIVOTDATA(" New Inst. avg",'Averages Pivot Table'!$A$3,"State","WV","Category",2,"Category2","Four-Year")</f>
        <v>0</v>
      </c>
      <c r="I178" s="202">
        <f t="shared" si="13"/>
        <v>0</v>
      </c>
      <c r="J178" s="64">
        <f>+GETPIVOTDATA(" New Undesg. avg",'Averages Pivot Table'!$A$3,"State","WV","Category",2,"Category2","Four-Year")</f>
        <v>0</v>
      </c>
      <c r="K178" s="65">
        <f t="shared" si="14"/>
        <v>0</v>
      </c>
      <c r="L178" s="64">
        <f>+GETPIVOTDATA(" New All Ranks avg",'Averages Pivot Table'!$A$3,"State","WV","Category",2,"Category2","Four-Year")</f>
        <v>0</v>
      </c>
      <c r="M178" s="202">
        <f t="shared" si="15"/>
        <v>0</v>
      </c>
      <c r="N178" s="62"/>
      <c r="O178" s="209"/>
    </row>
    <row r="179" spans="1:19" ht="30" customHeight="1">
      <c r="A179" s="622" t="s">
        <v>323</v>
      </c>
      <c r="B179" s="623"/>
      <c r="C179" s="623"/>
      <c r="D179" s="623"/>
      <c r="E179" s="623"/>
      <c r="F179" s="623"/>
      <c r="G179" s="623"/>
      <c r="H179" s="623"/>
      <c r="I179" s="623"/>
      <c r="J179" s="623"/>
      <c r="K179" s="623"/>
      <c r="L179" s="623"/>
      <c r="M179" s="623"/>
      <c r="N179" s="12"/>
      <c r="O179" s="215"/>
    </row>
    <row r="180" spans="1:19">
      <c r="M180" s="244" t="s">
        <v>1166</v>
      </c>
      <c r="O180" s="214"/>
    </row>
    <row r="181" spans="1:19" ht="18">
      <c r="A181" s="618" t="s">
        <v>782</v>
      </c>
      <c r="B181" s="618"/>
      <c r="C181" s="618"/>
      <c r="D181" s="618"/>
      <c r="E181" s="618"/>
      <c r="F181" s="618"/>
      <c r="G181" s="618"/>
      <c r="H181" s="618"/>
      <c r="I181" s="618"/>
      <c r="J181" s="618"/>
      <c r="K181" s="618"/>
      <c r="L181" s="618"/>
      <c r="M181" s="618"/>
      <c r="N181" s="167"/>
      <c r="O181" s="166"/>
    </row>
    <row r="182" spans="1:19">
      <c r="A182" s="12"/>
      <c r="B182" s="5"/>
      <c r="C182" s="5"/>
      <c r="D182" s="5"/>
      <c r="E182" s="5"/>
      <c r="F182" s="5"/>
      <c r="G182" s="5"/>
      <c r="H182" s="5"/>
      <c r="I182" s="159"/>
      <c r="J182" s="5"/>
      <c r="K182" s="5"/>
      <c r="L182" s="5"/>
      <c r="M182" s="159"/>
      <c r="N182" s="5"/>
      <c r="O182" s="159"/>
    </row>
    <row r="183" spans="1:19">
      <c r="A183" s="619" t="s">
        <v>454</v>
      </c>
      <c r="B183" s="619"/>
      <c r="C183" s="619"/>
      <c r="D183" s="619"/>
      <c r="E183" s="619"/>
      <c r="F183" s="619"/>
      <c r="G183" s="619"/>
      <c r="H183" s="619"/>
      <c r="I183" s="619"/>
      <c r="J183" s="619"/>
      <c r="K183" s="619"/>
      <c r="L183" s="619"/>
      <c r="M183" s="619"/>
      <c r="N183" s="177"/>
      <c r="O183" s="211"/>
    </row>
    <row r="184" spans="1:19">
      <c r="A184" s="619" t="s">
        <v>1157</v>
      </c>
      <c r="B184" s="619"/>
      <c r="C184" s="619"/>
      <c r="D184" s="619"/>
      <c r="E184" s="619"/>
      <c r="F184" s="619"/>
      <c r="G184" s="619"/>
      <c r="H184" s="619"/>
      <c r="I184" s="619"/>
      <c r="J184" s="619"/>
      <c r="K184" s="619"/>
      <c r="L184" s="619"/>
      <c r="M184" s="619"/>
      <c r="N184" s="177"/>
      <c r="O184" s="211"/>
    </row>
    <row r="185" spans="1:19">
      <c r="A185" s="5"/>
      <c r="B185" s="5"/>
      <c r="C185" s="5"/>
      <c r="D185" s="5"/>
      <c r="E185" s="5"/>
      <c r="F185" s="5"/>
      <c r="G185" s="5"/>
      <c r="H185" s="5"/>
      <c r="I185" s="159"/>
      <c r="J185" s="5"/>
      <c r="K185" s="5"/>
      <c r="L185" s="5"/>
      <c r="M185" s="159"/>
      <c r="N185" s="143"/>
      <c r="O185" s="219"/>
    </row>
    <row r="186" spans="1:19" ht="31.5" customHeight="1">
      <c r="A186" s="15"/>
      <c r="B186" s="21" t="s">
        <v>332</v>
      </c>
      <c r="C186" s="22"/>
      <c r="D186" s="141" t="s">
        <v>333</v>
      </c>
      <c r="E186" s="142"/>
      <c r="F186" s="141" t="s">
        <v>334</v>
      </c>
      <c r="G186" s="142"/>
      <c r="H186" s="21" t="s">
        <v>335</v>
      </c>
      <c r="I186" s="225"/>
      <c r="J186" s="141" t="s">
        <v>461</v>
      </c>
      <c r="K186" s="142"/>
      <c r="L186" s="22" t="s">
        <v>316</v>
      </c>
      <c r="M186" s="225"/>
      <c r="N186" s="63" t="s">
        <v>457</v>
      </c>
      <c r="O186" s="212"/>
    </row>
    <row r="187" spans="1:19">
      <c r="A187" s="16"/>
      <c r="B187" s="19" t="s">
        <v>336</v>
      </c>
      <c r="C187" s="18" t="s">
        <v>427</v>
      </c>
      <c r="D187" s="19" t="s">
        <v>336</v>
      </c>
      <c r="E187" s="18" t="s">
        <v>427</v>
      </c>
      <c r="F187" s="19" t="s">
        <v>336</v>
      </c>
      <c r="G187" s="18" t="s">
        <v>427</v>
      </c>
      <c r="H187" s="19" t="s">
        <v>336</v>
      </c>
      <c r="I187" s="226" t="s">
        <v>427</v>
      </c>
      <c r="J187" s="19" t="s">
        <v>336</v>
      </c>
      <c r="K187" s="18" t="s">
        <v>427</v>
      </c>
      <c r="L187" s="19" t="s">
        <v>336</v>
      </c>
      <c r="M187" s="226" t="s">
        <v>427</v>
      </c>
      <c r="N187" s="132" t="s">
        <v>457</v>
      </c>
      <c r="O187" s="220"/>
    </row>
    <row r="188" spans="1:19" s="156" customFormat="1" ht="18" customHeight="1">
      <c r="A188" s="168" t="s">
        <v>456</v>
      </c>
      <c r="B188" s="172">
        <f>+GETPIVOTDATA(" New Prof avg",'Averages Pivot Table'!$A$3,"Category",3,"Category2","Four-Year")</f>
        <v>83348.281568398976</v>
      </c>
      <c r="C188" s="172"/>
      <c r="D188" s="172">
        <f>+GETPIVOTDATA(" New Asc. avg",'Averages Pivot Table'!$A$3,"Category",3,"Category2","Four-Year")</f>
        <v>67540.451726907631</v>
      </c>
      <c r="E188" s="172"/>
      <c r="F188" s="172">
        <f>+GETPIVOTDATA(" New Ast. avg",'Averages Pivot Table'!$A$3,"Category",3,"Category2","Four-Year")</f>
        <v>57528.879977825083</v>
      </c>
      <c r="G188" s="172"/>
      <c r="H188" s="172">
        <f>+GETPIVOTDATA(" New Inst. avg",'Averages Pivot Table'!$A$3,"Category",3,"Category2","Four-Year")</f>
        <v>43204.425828846805</v>
      </c>
      <c r="I188" s="229"/>
      <c r="J188" s="172">
        <f>+GETPIVOTDATA(" New Undesg. avg",'Averages Pivot Table'!$A$3,"Category",3,"Category2","Four-Year")</f>
        <v>46688.635641272303</v>
      </c>
      <c r="K188" s="172"/>
      <c r="L188" s="172">
        <f>+GETPIVOTDATA(" New All Ranks avg",'Averages Pivot Table'!$A$3,"Category",3,"Category2","Four-Year")</f>
        <v>63725.108062828323</v>
      </c>
      <c r="M188" s="232"/>
      <c r="N188" s="169"/>
      <c r="O188" s="221"/>
      <c r="Q188" s="193"/>
      <c r="R188" s="193"/>
      <c r="S188" s="193"/>
    </row>
    <row r="189" spans="1:19" ht="12.95" customHeight="1">
      <c r="A189" s="12"/>
      <c r="B189" s="9"/>
      <c r="C189" s="17"/>
      <c r="D189" s="9"/>
      <c r="E189" s="17"/>
      <c r="F189" s="9"/>
      <c r="G189" s="17"/>
      <c r="H189" s="9"/>
      <c r="I189" s="233"/>
      <c r="J189" s="9"/>
      <c r="K189" s="17"/>
      <c r="L189" s="9"/>
      <c r="M189" s="233"/>
      <c r="N189" s="139"/>
      <c r="O189" s="222"/>
    </row>
    <row r="190" spans="1:19" ht="12.95" customHeight="1">
      <c r="A190" s="12" t="s">
        <v>439</v>
      </c>
      <c r="B190" s="62">
        <f>+GETPIVOTDATA(" New Prof avg",'Averages Pivot Table'!$A$3,"State","AL","Category",3,"Category2","Four-Year")</f>
        <v>81287.027660176987</v>
      </c>
      <c r="C190" s="130">
        <f t="shared" ref="C190:C208" si="17">IF(B190&gt;0,(RANK(B190,B$190:B$208)),0)</f>
        <v>6</v>
      </c>
      <c r="D190" s="62">
        <f>+GETPIVOTDATA(" New Asc. avg",'Averages Pivot Table'!$A$3,"State","AL","Category",3,"Category2","Four-Year")</f>
        <v>66116.241596022723</v>
      </c>
      <c r="E190" s="130">
        <f>IF(D190&gt;0,(RANK(D190,D$190:D$208)),0)</f>
        <v>6</v>
      </c>
      <c r="F190" s="62">
        <f>+GETPIVOTDATA(" New Ast. avg",'Averages Pivot Table'!$A$3,"State","AL","Category",3,"Category2","Four-Year")</f>
        <v>55074.335812890626</v>
      </c>
      <c r="G190" s="130">
        <f>IF(F190&gt;0,(RANK(F190,F$190:F$208)),0)</f>
        <v>8</v>
      </c>
      <c r="H190" s="62">
        <f>+GETPIVOTDATA(" New Inst. avg",'Averages Pivot Table'!$A$3,"State","AL","Category",3,"Category2","Four-Year")</f>
        <v>45653.412176811595</v>
      </c>
      <c r="I190" s="201">
        <f t="shared" ref="I190:I208" si="18">IF(H190&gt;0,(RANK(H190,H$190:H$208)),0)</f>
        <v>7</v>
      </c>
      <c r="J190" s="62">
        <f>+GETPIVOTDATA(" New Undesg. avg",'Averages Pivot Table'!$A$3,"State","AL","Category",3,"Category2","Four-Year")</f>
        <v>40948.13279428571</v>
      </c>
      <c r="K190" s="130">
        <f t="shared" ref="K190:K208" si="19">IF(J190&gt;0,(RANK(J190,J$190:J$208)),0)</f>
        <v>7</v>
      </c>
      <c r="L190" s="62">
        <f>+GETPIVOTDATA(" New All Ranks avg",'Averages Pivot Table'!$A$3,"State","AL","Category",3,"Category2","Four-Year")</f>
        <v>61003.22169864428</v>
      </c>
      <c r="M190" s="201">
        <f t="shared" ref="M190:M208" si="20">IF(L190&gt;0,(RANK(L190,L$190:L$208)),0)</f>
        <v>8</v>
      </c>
      <c r="N190" s="129"/>
      <c r="O190" s="201"/>
    </row>
    <row r="191" spans="1:19" ht="12.95" customHeight="1">
      <c r="A191" s="12" t="s">
        <v>440</v>
      </c>
      <c r="B191" s="62">
        <f>+GETPIVOTDATA(" New Prof avg",'Averages Pivot Table'!$A$3,"State","AR","Category",3,"Category2","Four-Year")</f>
        <v>77161.982151884062</v>
      </c>
      <c r="C191" s="130">
        <f t="shared" si="17"/>
        <v>11</v>
      </c>
      <c r="D191" s="62">
        <f>+GETPIVOTDATA(" New Asc. avg",'Averages Pivot Table'!$A$3,"State","AR","Category",3,"Category2","Four-Year")</f>
        <v>62347.008006521741</v>
      </c>
      <c r="E191" s="130">
        <f t="shared" ref="E191:G208" si="21">IF(D191&gt;0,(RANK(D191,D$190:D$208)),0)</f>
        <v>11</v>
      </c>
      <c r="F191" s="62">
        <f>+GETPIVOTDATA(" New Ast. avg",'Averages Pivot Table'!$A$3,"State","AR","Category",3,"Category2","Four-Year")</f>
        <v>54823.894230769234</v>
      </c>
      <c r="G191" s="130">
        <f t="shared" si="21"/>
        <v>11</v>
      </c>
      <c r="H191" s="62">
        <f>+GETPIVOTDATA(" New Inst. avg",'Averages Pivot Table'!$A$3,"State","AR","Category",3,"Category2","Four-Year")</f>
        <v>37737.194078378379</v>
      </c>
      <c r="I191" s="201">
        <f t="shared" si="18"/>
        <v>13</v>
      </c>
      <c r="J191" s="62">
        <f>+GETPIVOTDATA(" New Undesg. avg",'Averages Pivot Table'!$A$3,"State","AR","Category",3,"Category2","Four-Year")</f>
        <v>39766.503624242425</v>
      </c>
      <c r="K191" s="130">
        <f t="shared" si="19"/>
        <v>8</v>
      </c>
      <c r="L191" s="62">
        <f>+GETPIVOTDATA(" New All Ranks avg",'Averages Pivot Table'!$A$3,"State","AR","Category",3,"Category2","Four-Year")</f>
        <v>57765.180917686172</v>
      </c>
      <c r="M191" s="201">
        <f t="shared" si="20"/>
        <v>14</v>
      </c>
      <c r="N191" s="129"/>
      <c r="O191" s="201"/>
    </row>
    <row r="192" spans="1:19" ht="12.95" customHeight="1">
      <c r="A192" s="12" t="s">
        <v>455</v>
      </c>
      <c r="B192" s="62">
        <f>+GETPIVOTDATA(" New Prof avg",'Averages Pivot Table'!$A$3,"State","DE","Category",3,"Category2","Four-Year")</f>
        <v>0</v>
      </c>
      <c r="C192" s="130">
        <f t="shared" si="17"/>
        <v>0</v>
      </c>
      <c r="D192" s="62">
        <f>+GETPIVOTDATA(" New Asc. avg",'Averages Pivot Table'!$A$3,"State","DE","Category",3,"Category2","Four-Year")</f>
        <v>0</v>
      </c>
      <c r="E192" s="130">
        <f t="shared" si="21"/>
        <v>0</v>
      </c>
      <c r="F192" s="62">
        <f>+GETPIVOTDATA(" New Ast. avg",'Averages Pivot Table'!$A$3,"State","DE","Category",3,"Category2","Four-Year")</f>
        <v>0</v>
      </c>
      <c r="G192" s="130">
        <f t="shared" si="21"/>
        <v>0</v>
      </c>
      <c r="H192" s="62">
        <f>+GETPIVOTDATA(" New Inst. avg",'Averages Pivot Table'!$A$3,"State","DE","Category",3,"Category2","Four-Year")</f>
        <v>0</v>
      </c>
      <c r="I192" s="201">
        <f t="shared" si="18"/>
        <v>0</v>
      </c>
      <c r="J192" s="62">
        <f>+GETPIVOTDATA(" New Undesg. avg",'Averages Pivot Table'!$A$3,"State","DE","Category",3,"Category2","Four-Year")</f>
        <v>0</v>
      </c>
      <c r="K192" s="130">
        <f t="shared" si="19"/>
        <v>0</v>
      </c>
      <c r="L192" s="62">
        <f>+GETPIVOTDATA(" New All Ranks avg",'Averages Pivot Table'!$A$3,"State","DE","Category",3,"Category2","Four-Year")</f>
        <v>0</v>
      </c>
      <c r="M192" s="201">
        <f t="shared" si="20"/>
        <v>0</v>
      </c>
      <c r="N192" s="129"/>
      <c r="O192" s="201"/>
    </row>
    <row r="193" spans="1:15" ht="12.95" customHeight="1">
      <c r="A193" s="12" t="s">
        <v>441</v>
      </c>
      <c r="B193" s="62">
        <f>+GETPIVOTDATA(" New Prof avg",'Averages Pivot Table'!$A$3,"State","FL","Category",3,"Category2","Four-Year")</f>
        <v>88980.04168618421</v>
      </c>
      <c r="C193" s="130">
        <f t="shared" si="17"/>
        <v>3</v>
      </c>
      <c r="D193" s="62">
        <f>+GETPIVOTDATA(" New Asc. avg",'Averages Pivot Table'!$A$3,"State","FL","Category",3,"Category2","Four-Year")</f>
        <v>69937.35787394541</v>
      </c>
      <c r="E193" s="130">
        <f t="shared" si="21"/>
        <v>3</v>
      </c>
      <c r="F193" s="62">
        <f>+GETPIVOTDATA(" New Ast. avg",'Averages Pivot Table'!$A$3,"State","FL","Category",3,"Category2","Four-Year")</f>
        <v>58545.062373195884</v>
      </c>
      <c r="G193" s="130">
        <f t="shared" si="21"/>
        <v>4</v>
      </c>
      <c r="H193" s="62">
        <f>+GETPIVOTDATA(" New Inst. avg",'Averages Pivot Table'!$A$3,"State","FL","Category",3,"Category2","Four-Year")</f>
        <v>46776.353515053772</v>
      </c>
      <c r="I193" s="201">
        <f t="shared" si="18"/>
        <v>5</v>
      </c>
      <c r="J193" s="62">
        <f>+GETPIVOTDATA(" New Undesg. avg",'Averages Pivot Table'!$A$3,"State","FL","Category",3,"Category2","Four-Year")</f>
        <v>46160.887551111111</v>
      </c>
      <c r="K193" s="130">
        <f t="shared" si="19"/>
        <v>4</v>
      </c>
      <c r="L193" s="62">
        <f>+GETPIVOTDATA(" New All Ranks avg",'Averages Pivot Table'!$A$3,"State","FL","Category",3,"Category2","Four-Year")</f>
        <v>66913.886719607835</v>
      </c>
      <c r="M193" s="201">
        <f t="shared" si="20"/>
        <v>4</v>
      </c>
      <c r="N193" s="129"/>
      <c r="O193" s="201"/>
    </row>
    <row r="194" spans="1:15" ht="12.95" customHeight="1">
      <c r="A194" s="12"/>
      <c r="B194" s="62"/>
      <c r="C194" s="130">
        <f t="shared" si="17"/>
        <v>0</v>
      </c>
      <c r="D194" s="62"/>
      <c r="E194" s="130">
        <f t="shared" si="21"/>
        <v>0</v>
      </c>
      <c r="F194" s="62"/>
      <c r="G194" s="130">
        <f t="shared" si="21"/>
        <v>0</v>
      </c>
      <c r="H194" s="62"/>
      <c r="I194" s="201">
        <f t="shared" si="18"/>
        <v>0</v>
      </c>
      <c r="J194" s="62"/>
      <c r="K194" s="130">
        <f t="shared" si="19"/>
        <v>0</v>
      </c>
      <c r="L194" s="62"/>
      <c r="M194" s="201">
        <f t="shared" si="20"/>
        <v>0</v>
      </c>
      <c r="N194" s="129"/>
      <c r="O194" s="201"/>
    </row>
    <row r="195" spans="1:15" ht="12.95" customHeight="1">
      <c r="A195" s="12" t="s">
        <v>442</v>
      </c>
      <c r="B195" s="62">
        <f>+GETPIVOTDATA(" New Prof avg",'Averages Pivot Table'!$A$3,"State","GA","Category",3,"Category2","Four-Year")</f>
        <v>79855.477259649124</v>
      </c>
      <c r="C195" s="130">
        <f t="shared" si="17"/>
        <v>8</v>
      </c>
      <c r="D195" s="62">
        <f>+GETPIVOTDATA(" New Asc. avg",'Averages Pivot Table'!$A$3,"State","GA","Category",3,"Category2","Four-Year")</f>
        <v>64300.30805295</v>
      </c>
      <c r="E195" s="130">
        <f t="shared" si="21"/>
        <v>9</v>
      </c>
      <c r="F195" s="62">
        <f>+GETPIVOTDATA(" New Ast. avg",'Averages Pivot Table'!$A$3,"State","GA","Category",3,"Category2","Four-Year")</f>
        <v>55042.177326992751</v>
      </c>
      <c r="G195" s="130">
        <f t="shared" si="21"/>
        <v>9</v>
      </c>
      <c r="H195" s="62">
        <f>+GETPIVOTDATA(" New Inst. avg",'Averages Pivot Table'!$A$3,"State","GA","Category",3,"Category2","Four-Year")</f>
        <v>39102.52634343892</v>
      </c>
      <c r="I195" s="201">
        <f t="shared" si="18"/>
        <v>11</v>
      </c>
      <c r="J195" s="62">
        <f>+GETPIVOTDATA(" New Undesg. avg",'Averages Pivot Table'!$A$3,"State","GA","Category",3,"Category2","Four-Year")</f>
        <v>43699.473141538459</v>
      </c>
      <c r="K195" s="130">
        <f t="shared" si="19"/>
        <v>6</v>
      </c>
      <c r="L195" s="62">
        <f>+GETPIVOTDATA(" New All Ranks avg",'Averages Pivot Table'!$A$3,"State","GA","Category",3,"Category2","Four-Year")</f>
        <v>60750.07001122785</v>
      </c>
      <c r="M195" s="201">
        <f t="shared" si="20"/>
        <v>9</v>
      </c>
      <c r="N195" s="129"/>
      <c r="O195" s="201"/>
    </row>
    <row r="196" spans="1:15" ht="12.95" customHeight="1">
      <c r="A196" s="12" t="s">
        <v>443</v>
      </c>
      <c r="B196" s="62">
        <f>+GETPIVOTDATA(" New Prof avg",'Averages Pivot Table'!$A$3,"State","KY","Category",3,"Category2","Four-Year")</f>
        <v>80386.085236321829</v>
      </c>
      <c r="C196" s="130">
        <f t="shared" si="17"/>
        <v>7</v>
      </c>
      <c r="D196" s="62">
        <f>+GETPIVOTDATA(" New Asc. avg",'Averages Pivot Table'!$A$3,"State","KY","Category",3,"Category2","Four-Year")</f>
        <v>63652.113879715303</v>
      </c>
      <c r="E196" s="130">
        <f t="shared" si="21"/>
        <v>10</v>
      </c>
      <c r="F196" s="62">
        <f>+GETPIVOTDATA(" New Ast. avg",'Averages Pivot Table'!$A$3,"State","KY","Category",3,"Category2","Four-Year")</f>
        <v>53997.603959869499</v>
      </c>
      <c r="G196" s="130">
        <f t="shared" si="21"/>
        <v>12</v>
      </c>
      <c r="H196" s="62">
        <f>+GETPIVOTDATA(" New Inst. avg",'Averages Pivot Table'!$A$3,"State","KY","Category",3,"Category2","Four-Year")</f>
        <v>42277.778252434458</v>
      </c>
      <c r="I196" s="201">
        <f t="shared" si="18"/>
        <v>9</v>
      </c>
      <c r="J196" s="62">
        <f>+GETPIVOTDATA(" New Undesg. avg",'Averages Pivot Table'!$A$3,"State","KY","Category",3,"Category2","Four-Year")</f>
        <v>48461.324489361708</v>
      </c>
      <c r="K196" s="130">
        <f t="shared" si="19"/>
        <v>3</v>
      </c>
      <c r="L196" s="62">
        <f>+GETPIVOTDATA(" New All Ranks avg",'Averages Pivot Table'!$A$3,"State","KY","Category",3,"Category2","Four-Year")</f>
        <v>59655.037797591489</v>
      </c>
      <c r="M196" s="201">
        <f t="shared" si="20"/>
        <v>11</v>
      </c>
      <c r="N196" s="129"/>
      <c r="O196" s="201"/>
    </row>
    <row r="197" spans="1:15" ht="12.95" customHeight="1">
      <c r="A197" s="12" t="s">
        <v>444</v>
      </c>
      <c r="B197" s="62">
        <f>+GETPIVOTDATA(" New Prof avg",'Averages Pivot Table'!$A$3,"State","LA","Category",3,"Category2","Four-Year")</f>
        <v>77867.110492203399</v>
      </c>
      <c r="C197" s="130">
        <f t="shared" si="17"/>
        <v>10</v>
      </c>
      <c r="D197" s="62">
        <f>+GETPIVOTDATA(" New Asc. avg",'Averages Pivot Table'!$A$3,"State","LA","Category",3,"Category2","Four-Year")</f>
        <v>65813.779988811191</v>
      </c>
      <c r="E197" s="130">
        <f t="shared" si="21"/>
        <v>7</v>
      </c>
      <c r="F197" s="62">
        <f>+GETPIVOTDATA(" New Ast. avg",'Averages Pivot Table'!$A$3,"State","LA","Category",3,"Category2","Four-Year")</f>
        <v>56650.663425519291</v>
      </c>
      <c r="G197" s="130">
        <f t="shared" si="21"/>
        <v>7</v>
      </c>
      <c r="H197" s="62">
        <f>+GETPIVOTDATA(" New Inst. avg",'Averages Pivot Table'!$A$3,"State","LA","Category",3,"Category2","Four-Year")</f>
        <v>42393.650379870131</v>
      </c>
      <c r="I197" s="201">
        <f t="shared" si="18"/>
        <v>8</v>
      </c>
      <c r="J197" s="62">
        <f>+GETPIVOTDATA(" New Undesg. avg",'Averages Pivot Table'!$A$3,"State","LA","Category",3,"Category2","Four-Year")</f>
        <v>65725.600000000006</v>
      </c>
      <c r="K197" s="130">
        <f t="shared" si="19"/>
        <v>1</v>
      </c>
      <c r="L197" s="62">
        <f>+GETPIVOTDATA(" New All Ranks avg",'Averages Pivot Table'!$A$3,"State","LA","Category",3,"Category2","Four-Year")</f>
        <v>60355.430876537219</v>
      </c>
      <c r="M197" s="201">
        <f t="shared" si="20"/>
        <v>10</v>
      </c>
      <c r="N197" s="129"/>
      <c r="O197" s="201"/>
    </row>
    <row r="198" spans="1:15" ht="12.95" customHeight="1">
      <c r="A198" s="12" t="s">
        <v>445</v>
      </c>
      <c r="B198" s="62">
        <f>+GETPIVOTDATA(" New Prof avg",'Averages Pivot Table'!$A$3,"State","MD","Category",3,"Category2","Four-Year")</f>
        <v>91242.337043776817</v>
      </c>
      <c r="C198" s="130">
        <f t="shared" si="17"/>
        <v>2</v>
      </c>
      <c r="D198" s="62">
        <f>+GETPIVOTDATA(" New Asc. avg",'Averages Pivot Table'!$A$3,"State","MD","Category",3,"Category2","Four-Year")</f>
        <v>75866.859704593633</v>
      </c>
      <c r="E198" s="130">
        <f t="shared" si="21"/>
        <v>1</v>
      </c>
      <c r="F198" s="62">
        <f>+GETPIVOTDATA(" New Ast. avg",'Averages Pivot Table'!$A$3,"State","MD","Category",3,"Category2","Four-Year")</f>
        <v>62861.84539345088</v>
      </c>
      <c r="G198" s="130">
        <f t="shared" si="21"/>
        <v>2</v>
      </c>
      <c r="H198" s="62">
        <f>+GETPIVOTDATA(" New Inst. avg",'Averages Pivot Table'!$A$3,"State","MD","Category",3,"Category2","Four-Year")</f>
        <v>49480.959999999999</v>
      </c>
      <c r="I198" s="201">
        <f t="shared" si="18"/>
        <v>3</v>
      </c>
      <c r="J198" s="62">
        <f>+GETPIVOTDATA(" New Undesg. avg",'Averages Pivot Table'!$A$3,"State","MD","Category",3,"Category2","Four-Year")</f>
        <v>0</v>
      </c>
      <c r="K198" s="130">
        <f t="shared" si="19"/>
        <v>0</v>
      </c>
      <c r="L198" s="62">
        <f>+GETPIVOTDATA(" New All Ranks avg",'Averages Pivot Table'!$A$3,"State","MD","Category",3,"Category2","Four-Year")</f>
        <v>73478.638005117275</v>
      </c>
      <c r="M198" s="201">
        <f t="shared" si="20"/>
        <v>1</v>
      </c>
      <c r="N198" s="129"/>
      <c r="O198" s="201"/>
    </row>
    <row r="199" spans="1:15" ht="12.95" customHeight="1">
      <c r="A199" s="12"/>
      <c r="B199" s="62"/>
      <c r="C199" s="130">
        <f t="shared" si="17"/>
        <v>0</v>
      </c>
      <c r="D199" s="62"/>
      <c r="E199" s="130">
        <f t="shared" si="21"/>
        <v>0</v>
      </c>
      <c r="F199" s="62"/>
      <c r="G199" s="130">
        <f t="shared" si="21"/>
        <v>0</v>
      </c>
      <c r="H199" s="62"/>
      <c r="I199" s="201">
        <f t="shared" si="18"/>
        <v>0</v>
      </c>
      <c r="J199" s="62"/>
      <c r="K199" s="130">
        <f t="shared" si="19"/>
        <v>0</v>
      </c>
      <c r="L199" s="62"/>
      <c r="M199" s="201">
        <f t="shared" si="20"/>
        <v>0</v>
      </c>
      <c r="N199" s="129"/>
      <c r="O199" s="201"/>
    </row>
    <row r="200" spans="1:15" ht="12.95" customHeight="1">
      <c r="A200" s="12" t="s">
        <v>446</v>
      </c>
      <c r="B200" s="62">
        <f>+GETPIVOTDATA(" New Prof avg",'Averages Pivot Table'!$A$3,"State","MS","Category",3,"Category2","Four-Year")</f>
        <v>0</v>
      </c>
      <c r="C200" s="130">
        <f t="shared" si="17"/>
        <v>0</v>
      </c>
      <c r="D200" s="62">
        <f>+GETPIVOTDATA(" New Asc. avg",'Averages Pivot Table'!$A$3,"State","MS","Category",3,"Category2","Four-Year")</f>
        <v>0</v>
      </c>
      <c r="E200" s="130">
        <f t="shared" si="21"/>
        <v>0</v>
      </c>
      <c r="F200" s="62">
        <f>+GETPIVOTDATA(" New Ast. avg",'Averages Pivot Table'!$A$3,"State","MS","Category",3,"Category2","Four-Year")</f>
        <v>0</v>
      </c>
      <c r="G200" s="130">
        <f t="shared" si="21"/>
        <v>0</v>
      </c>
      <c r="H200" s="62">
        <f>+GETPIVOTDATA(" New Inst. avg",'Averages Pivot Table'!$A$3,"State","MS","Category",3,"Category2","Four-Year")</f>
        <v>0</v>
      </c>
      <c r="I200" s="201">
        <f t="shared" si="18"/>
        <v>0</v>
      </c>
      <c r="J200" s="62">
        <f>+GETPIVOTDATA(" New Undesg. avg",'Averages Pivot Table'!$A$3,"State","MS","Category",3,"Category2","Four-Year")</f>
        <v>0</v>
      </c>
      <c r="K200" s="130">
        <f t="shared" si="19"/>
        <v>0</v>
      </c>
      <c r="L200" s="62">
        <f>+GETPIVOTDATA(" New All Ranks avg",'Averages Pivot Table'!$A$3,"State","MS","Category",3,"Category2","Four-Year")</f>
        <v>0</v>
      </c>
      <c r="M200" s="201">
        <f t="shared" si="20"/>
        <v>0</v>
      </c>
      <c r="N200" s="129"/>
      <c r="O200" s="201"/>
    </row>
    <row r="201" spans="1:15" ht="12.95" customHeight="1">
      <c r="A201" s="12" t="s">
        <v>447</v>
      </c>
      <c r="B201" s="62">
        <f>+GETPIVOTDATA(" New Prof avg",'Averages Pivot Table'!$A$3,"State","NC","Category",3,"Category2","Four-Year")</f>
        <v>93017.673420960695</v>
      </c>
      <c r="C201" s="130">
        <f t="shared" si="17"/>
        <v>1</v>
      </c>
      <c r="D201" s="62">
        <f>+GETPIVOTDATA(" New Asc. avg",'Averages Pivot Table'!$A$3,"State","NC","Category",3,"Category2","Four-Year")</f>
        <v>74687.49534227504</v>
      </c>
      <c r="E201" s="130">
        <f t="shared" si="21"/>
        <v>2</v>
      </c>
      <c r="F201" s="62">
        <f>+GETPIVOTDATA(" New Ast. avg",'Averages Pivot Table'!$A$3,"State","NC","Category",3,"Category2","Four-Year")</f>
        <v>63435.06095222749</v>
      </c>
      <c r="G201" s="130">
        <f t="shared" si="21"/>
        <v>1</v>
      </c>
      <c r="H201" s="62">
        <f>+GETPIVOTDATA(" New Inst. avg",'Averages Pivot Table'!$A$3,"State","NC","Category",3,"Category2","Four-Year")</f>
        <v>50955.73541714286</v>
      </c>
      <c r="I201" s="201">
        <f t="shared" si="18"/>
        <v>1</v>
      </c>
      <c r="J201" s="62">
        <f>+GETPIVOTDATA(" New Undesg. avg",'Averages Pivot Table'!$A$3,"State","NC","Category",3,"Category2","Four-Year")</f>
        <v>50961.047092091008</v>
      </c>
      <c r="K201" s="130">
        <f t="shared" si="19"/>
        <v>2</v>
      </c>
      <c r="L201" s="62">
        <f>+GETPIVOTDATA(" New All Ranks avg",'Averages Pivot Table'!$A$3,"State","NC","Category",3,"Category2","Four-Year")</f>
        <v>70350.753561480407</v>
      </c>
      <c r="M201" s="201">
        <f t="shared" si="20"/>
        <v>2</v>
      </c>
      <c r="N201" s="129"/>
      <c r="O201" s="201"/>
    </row>
    <row r="202" spans="1:15" ht="12.95" customHeight="1">
      <c r="A202" s="12" t="s">
        <v>448</v>
      </c>
      <c r="B202" s="62">
        <f>+GETPIVOTDATA(" New Prof avg",'Averages Pivot Table'!$A$3,"State","OK","Category",3,"Category2","Four-Year")</f>
        <v>76151.420939655174</v>
      </c>
      <c r="C202" s="130">
        <f t="shared" si="17"/>
        <v>13</v>
      </c>
      <c r="D202" s="62">
        <f>+GETPIVOTDATA(" New Asc. avg",'Averages Pivot Table'!$A$3,"State","OK","Category",3,"Category2","Four-Year")</f>
        <v>60071.427863157893</v>
      </c>
      <c r="E202" s="130">
        <f t="shared" si="21"/>
        <v>14</v>
      </c>
      <c r="F202" s="62">
        <f>+GETPIVOTDATA(" New Ast. avg",'Averages Pivot Table'!$A$3,"State","OK","Category",3,"Category2","Four-Year")</f>
        <v>54919.360304186041</v>
      </c>
      <c r="G202" s="130">
        <f t="shared" si="21"/>
        <v>10</v>
      </c>
      <c r="H202" s="62">
        <f>+GETPIVOTDATA(" New Inst. avg",'Averages Pivot Table'!$A$3,"State","OK","Category",3,"Category2","Four-Year")</f>
        <v>39607.286725274724</v>
      </c>
      <c r="I202" s="201">
        <f t="shared" si="18"/>
        <v>10</v>
      </c>
      <c r="J202" s="62">
        <f>+GETPIVOTDATA(" New Undesg. avg",'Averages Pivot Table'!$A$3,"State","OK","Category",3,"Category2","Four-Year")</f>
        <v>0</v>
      </c>
      <c r="K202" s="130">
        <f t="shared" si="19"/>
        <v>0</v>
      </c>
      <c r="L202" s="62">
        <f>+GETPIVOTDATA(" New All Ranks avg",'Averages Pivot Table'!$A$3,"State","OK","Category",3,"Category2","Four-Year")</f>
        <v>58660.915931626121</v>
      </c>
      <c r="M202" s="201">
        <f t="shared" si="20"/>
        <v>13</v>
      </c>
      <c r="N202" s="129"/>
      <c r="O202" s="201"/>
    </row>
    <row r="203" spans="1:15" ht="12.95" customHeight="1">
      <c r="A203" s="12" t="s">
        <v>449</v>
      </c>
      <c r="B203" s="62">
        <f>+GETPIVOTDATA(" New Prof avg",'Averages Pivot Table'!$A$3,"State","SC","Category",3,"Category2","Four-Year")</f>
        <v>78957.172727272729</v>
      </c>
      <c r="C203" s="130">
        <f t="shared" si="17"/>
        <v>9</v>
      </c>
      <c r="D203" s="62">
        <f>+GETPIVOTDATA(" New Asc. avg",'Averages Pivot Table'!$A$3,"State","SC","Category",3,"Category2","Four-Year")</f>
        <v>64499.710843373497</v>
      </c>
      <c r="E203" s="130">
        <f t="shared" si="21"/>
        <v>8</v>
      </c>
      <c r="F203" s="62">
        <f>+GETPIVOTDATA(" New Ast. avg",'Averages Pivot Table'!$A$3,"State","SC","Category",3,"Category2","Four-Year")</f>
        <v>57627.502686821703</v>
      </c>
      <c r="G203" s="130">
        <f t="shared" si="21"/>
        <v>6</v>
      </c>
      <c r="H203" s="62">
        <f>+GETPIVOTDATA(" New Inst. avg",'Averages Pivot Table'!$A$3,"State","SC","Category",3,"Category2","Four-Year")</f>
        <v>46462.125358241756</v>
      </c>
      <c r="I203" s="201">
        <f t="shared" si="18"/>
        <v>6</v>
      </c>
      <c r="J203" s="62">
        <f>+GETPIVOTDATA(" New Undesg. avg",'Averages Pivot Table'!$A$3,"State","SC","Category",3,"Category2","Four-Year")</f>
        <v>0</v>
      </c>
      <c r="K203" s="130">
        <f t="shared" si="19"/>
        <v>0</v>
      </c>
      <c r="L203" s="62">
        <f>+GETPIVOTDATA(" New All Ranks avg",'Averages Pivot Table'!$A$3,"State","SC","Category",3,"Category2","Four-Year")</f>
        <v>63806.403644221107</v>
      </c>
      <c r="M203" s="201">
        <f t="shared" si="20"/>
        <v>6</v>
      </c>
      <c r="N203" s="129"/>
      <c r="O203" s="201"/>
    </row>
    <row r="204" spans="1:15" ht="12.95" customHeight="1">
      <c r="A204" s="12"/>
      <c r="B204" s="62"/>
      <c r="C204" s="130">
        <f t="shared" si="17"/>
        <v>0</v>
      </c>
      <c r="D204" s="62"/>
      <c r="E204" s="130">
        <f t="shared" si="21"/>
        <v>0</v>
      </c>
      <c r="F204" s="62"/>
      <c r="G204" s="130">
        <f t="shared" si="21"/>
        <v>0</v>
      </c>
      <c r="H204" s="62"/>
      <c r="I204" s="201">
        <f t="shared" si="18"/>
        <v>0</v>
      </c>
      <c r="J204" s="62"/>
      <c r="K204" s="130">
        <f t="shared" si="19"/>
        <v>0</v>
      </c>
      <c r="L204" s="62"/>
      <c r="M204" s="201">
        <f t="shared" si="20"/>
        <v>0</v>
      </c>
      <c r="N204" s="129"/>
      <c r="O204" s="201"/>
    </row>
    <row r="205" spans="1:15" ht="12.95" customHeight="1">
      <c r="A205" s="12" t="s">
        <v>450</v>
      </c>
      <c r="B205" s="129">
        <f>+GETPIVOTDATA(" New Prof avg",'Averages Pivot Table'!$A$3,"State","TN","Category",3,"Category2","Four-Year")</f>
        <v>76729.83982815432</v>
      </c>
      <c r="C205" s="130">
        <f t="shared" si="17"/>
        <v>12</v>
      </c>
      <c r="D205" s="129">
        <f>+GETPIVOTDATA(" New Asc. avg",'Averages Pivot Table'!$A$3,"State","TN","Category",3,"Category2","Four-Year")</f>
        <v>60411.941900777201</v>
      </c>
      <c r="E205" s="130">
        <f t="shared" si="21"/>
        <v>12</v>
      </c>
      <c r="F205" s="129">
        <f>+GETPIVOTDATA(" New Ast. avg",'Averages Pivot Table'!$A$3,"State","TN","Category",3,"Category2","Four-Year")</f>
        <v>50509.832690643983</v>
      </c>
      <c r="G205" s="130">
        <f t="shared" si="21"/>
        <v>14</v>
      </c>
      <c r="H205" s="129">
        <f>+GETPIVOTDATA(" New Inst. avg",'Averages Pivot Table'!$A$3,"State","TN","Category",3,"Category2","Four-Year")</f>
        <v>37862.285668864468</v>
      </c>
      <c r="I205" s="201">
        <f t="shared" si="18"/>
        <v>12</v>
      </c>
      <c r="J205" s="129">
        <f>+GETPIVOTDATA(" New Undesg. avg",'Averages Pivot Table'!$A$3,"State","TN","Category",3,"Category2","Four-Year")</f>
        <v>33874.367970270265</v>
      </c>
      <c r="K205" s="130">
        <f t="shared" si="19"/>
        <v>9</v>
      </c>
      <c r="L205" s="129">
        <f>+GETPIVOTDATA(" New All Ranks avg",'Averages Pivot Table'!$A$3,"State","TN","Category",3,"Category2","Four-Year")</f>
        <v>59543.306989647062</v>
      </c>
      <c r="M205" s="201">
        <f t="shared" si="20"/>
        <v>12</v>
      </c>
      <c r="N205" s="129"/>
      <c r="O205" s="201"/>
    </row>
    <row r="206" spans="1:15" ht="12.95" customHeight="1">
      <c r="A206" s="12" t="s">
        <v>451</v>
      </c>
      <c r="B206" s="129">
        <f>+GETPIVOTDATA(" New Prof avg",'Averages Pivot Table'!$A$3,"State","TX","Category",3,"Category2","Four-Year")</f>
        <v>86561.161590521326</v>
      </c>
      <c r="C206" s="130">
        <f t="shared" si="17"/>
        <v>4</v>
      </c>
      <c r="D206" s="129">
        <f>+GETPIVOTDATA(" New Asc. avg",'Averages Pivot Table'!$A$3,"State","TX","Category",3,"Category2","Four-Year")</f>
        <v>69373.533546063234</v>
      </c>
      <c r="E206" s="130">
        <f t="shared" si="21"/>
        <v>4</v>
      </c>
      <c r="F206" s="129">
        <f>+GETPIVOTDATA(" New Ast. avg",'Averages Pivot Table'!$A$3,"State","TX","Category",3,"Category2","Four-Year")</f>
        <v>59552.726228333333</v>
      </c>
      <c r="G206" s="130">
        <f t="shared" si="21"/>
        <v>3</v>
      </c>
      <c r="H206" s="129">
        <f>+GETPIVOTDATA(" New Inst. avg",'Averages Pivot Table'!$A$3,"State","TX","Category",3,"Category2","Four-Year")</f>
        <v>47014.362912758617</v>
      </c>
      <c r="I206" s="201">
        <f t="shared" si="18"/>
        <v>4</v>
      </c>
      <c r="J206" s="129">
        <f>+GETPIVOTDATA(" New Undesg. avg",'Averages Pivot Table'!$A$3,"State","TX","Category",3,"Category2","Four-Year")</f>
        <v>44975.062975025801</v>
      </c>
      <c r="K206" s="130">
        <f t="shared" si="19"/>
        <v>5</v>
      </c>
      <c r="L206" s="129">
        <f>+GETPIVOTDATA(" New All Ranks avg",'Averages Pivot Table'!$A$3,"State","TX","Category",3,"Category2","Four-Year")</f>
        <v>64249.899436168693</v>
      </c>
      <c r="M206" s="201">
        <f t="shared" si="20"/>
        <v>5</v>
      </c>
      <c r="N206" s="129"/>
      <c r="O206" s="201"/>
    </row>
    <row r="207" spans="1:15" ht="12.95" customHeight="1">
      <c r="A207" s="12" t="s">
        <v>452</v>
      </c>
      <c r="B207" s="129">
        <f>+GETPIVOTDATA(" New Prof avg",'Averages Pivot Table'!$A$3,"State","VA","Category",3,"Category2","Four-Year")</f>
        <v>85482.336975722545</v>
      </c>
      <c r="C207" s="130">
        <f t="shared" si="17"/>
        <v>5</v>
      </c>
      <c r="D207" s="129">
        <f>+GETPIVOTDATA(" New Asc. avg",'Averages Pivot Table'!$A$3,"State","VA","Category",3,"Category2","Four-Year")</f>
        <v>67418.976030240548</v>
      </c>
      <c r="E207" s="130">
        <f t="shared" si="21"/>
        <v>5</v>
      </c>
      <c r="F207" s="129">
        <f>+GETPIVOTDATA(" New Ast. avg",'Averages Pivot Table'!$A$3,"State","VA","Category",3,"Category2","Four-Year")</f>
        <v>57954.094877134987</v>
      </c>
      <c r="G207" s="130">
        <f t="shared" si="21"/>
        <v>5</v>
      </c>
      <c r="H207" s="129">
        <f>+GETPIVOTDATA(" New Inst. avg",'Averages Pivot Table'!$A$3,"State","VA","Category",3,"Category2","Four-Year")</f>
        <v>50141.416991999999</v>
      </c>
      <c r="I207" s="201">
        <f t="shared" si="18"/>
        <v>2</v>
      </c>
      <c r="J207" s="129">
        <f>+GETPIVOTDATA(" New Undesg. avg",'Averages Pivot Table'!$A$3,"State","VA","Category",3,"Category2","Four-Year")</f>
        <v>0</v>
      </c>
      <c r="K207" s="130">
        <f t="shared" si="19"/>
        <v>0</v>
      </c>
      <c r="L207" s="129">
        <f>+GETPIVOTDATA(" New All Ranks avg",'Averages Pivot Table'!$A$3,"State","VA","Category",3,"Category2","Four-Year")</f>
        <v>67240.761729702135</v>
      </c>
      <c r="M207" s="201">
        <f t="shared" si="20"/>
        <v>3</v>
      </c>
      <c r="N207" s="129"/>
      <c r="O207" s="201"/>
    </row>
    <row r="208" spans="1:15" ht="12.95" customHeight="1">
      <c r="A208" s="11" t="s">
        <v>453</v>
      </c>
      <c r="B208" s="64">
        <f>+GETPIVOTDATA(" New Prof avg",'Averages Pivot Table'!$A$3,"State","WV","Category",3,"Category2","Four-Year")</f>
        <v>73931.322311557786</v>
      </c>
      <c r="C208" s="65">
        <f t="shared" si="17"/>
        <v>14</v>
      </c>
      <c r="D208" s="64">
        <f>+GETPIVOTDATA(" New Asc. avg",'Averages Pivot Table'!$A$3,"State","WV","Category",3,"Category2","Four-Year")</f>
        <v>60085.62837627119</v>
      </c>
      <c r="E208" s="65">
        <f t="shared" si="21"/>
        <v>13</v>
      </c>
      <c r="F208" s="64">
        <f>+GETPIVOTDATA(" New Ast. avg",'Averages Pivot Table'!$A$3,"State","WV","Category",3,"Category2","Four-Year")</f>
        <v>51599.35602521008</v>
      </c>
      <c r="G208" s="65">
        <f t="shared" si="21"/>
        <v>13</v>
      </c>
      <c r="H208" s="64">
        <f>+GETPIVOTDATA(" New Inst. avg",'Averages Pivot Table'!$A$3,"State","WV","Category",3,"Category2","Four-Year")</f>
        <v>34784</v>
      </c>
      <c r="I208" s="202">
        <f t="shared" si="18"/>
        <v>14</v>
      </c>
      <c r="J208" s="64">
        <f>+GETPIVOTDATA(" New Undesg. avg",'Averages Pivot Table'!$A$3,"State","WV","Category",3,"Category2","Four-Year")</f>
        <v>0</v>
      </c>
      <c r="K208" s="65">
        <f t="shared" si="19"/>
        <v>0</v>
      </c>
      <c r="L208" s="64">
        <f>+GETPIVOTDATA(" New All Ranks avg",'Averages Pivot Table'!$A$3,"State","WV","Category",3,"Category2","Four-Year")</f>
        <v>61513.993002928873</v>
      </c>
      <c r="M208" s="202">
        <f t="shared" si="20"/>
        <v>7</v>
      </c>
      <c r="N208" s="129"/>
      <c r="O208" s="201"/>
    </row>
    <row r="209" spans="1:19" ht="30" customHeight="1">
      <c r="A209" s="622" t="s">
        <v>323</v>
      </c>
      <c r="B209" s="623"/>
      <c r="C209" s="623"/>
      <c r="D209" s="623"/>
      <c r="E209" s="623"/>
      <c r="F209" s="623"/>
      <c r="G209" s="623"/>
      <c r="H209" s="623"/>
      <c r="I209" s="623"/>
      <c r="J209" s="623"/>
      <c r="K209" s="623"/>
      <c r="L209" s="623"/>
      <c r="M209" s="623"/>
      <c r="N209" s="12"/>
      <c r="O209" s="215"/>
    </row>
    <row r="210" spans="1:19">
      <c r="M210" s="244" t="s">
        <v>1166</v>
      </c>
      <c r="O210" s="214"/>
    </row>
    <row r="211" spans="1:19" ht="18">
      <c r="A211" s="618" t="s">
        <v>783</v>
      </c>
      <c r="B211" s="618"/>
      <c r="C211" s="618"/>
      <c r="D211" s="618"/>
      <c r="E211" s="618"/>
      <c r="F211" s="618"/>
      <c r="G211" s="618"/>
      <c r="H211" s="618"/>
      <c r="I211" s="618"/>
      <c r="J211" s="618"/>
      <c r="K211" s="618"/>
      <c r="L211" s="618"/>
      <c r="M211" s="618"/>
      <c r="N211" s="167"/>
      <c r="O211" s="166"/>
    </row>
    <row r="212" spans="1:19">
      <c r="A212" s="12"/>
      <c r="B212" s="5"/>
      <c r="C212" s="5"/>
      <c r="D212" s="5"/>
      <c r="E212" s="5"/>
      <c r="F212" s="5"/>
      <c r="G212" s="5"/>
      <c r="H212" s="5"/>
      <c r="I212" s="159"/>
      <c r="J212" s="5"/>
      <c r="K212" s="5"/>
      <c r="L212" s="5"/>
      <c r="M212" s="159"/>
      <c r="N212" s="5"/>
      <c r="O212" s="159"/>
    </row>
    <row r="213" spans="1:19">
      <c r="A213" s="619" t="s">
        <v>454</v>
      </c>
      <c r="B213" s="619"/>
      <c r="C213" s="619"/>
      <c r="D213" s="619"/>
      <c r="E213" s="619"/>
      <c r="F213" s="619"/>
      <c r="G213" s="619"/>
      <c r="H213" s="619"/>
      <c r="I213" s="619"/>
      <c r="J213" s="619"/>
      <c r="K213" s="619"/>
      <c r="L213" s="619"/>
      <c r="M213" s="619"/>
      <c r="N213" s="177"/>
      <c r="O213" s="211"/>
    </row>
    <row r="214" spans="1:19">
      <c r="A214" s="619" t="s">
        <v>1156</v>
      </c>
      <c r="B214" s="619"/>
      <c r="C214" s="619"/>
      <c r="D214" s="619"/>
      <c r="E214" s="619"/>
      <c r="F214" s="619"/>
      <c r="G214" s="619"/>
      <c r="H214" s="619"/>
      <c r="I214" s="619"/>
      <c r="J214" s="619"/>
      <c r="K214" s="619"/>
      <c r="L214" s="619"/>
      <c r="M214" s="619"/>
      <c r="N214" s="177"/>
      <c r="O214" s="211"/>
    </row>
    <row r="215" spans="1:19">
      <c r="A215" s="5"/>
      <c r="B215" s="5"/>
      <c r="C215" s="5"/>
      <c r="D215" s="5"/>
      <c r="E215" s="5"/>
      <c r="F215" s="5"/>
      <c r="G215" s="5"/>
      <c r="H215" s="5"/>
      <c r="I215" s="159"/>
      <c r="J215" s="5"/>
      <c r="K215" s="5"/>
      <c r="L215" s="5"/>
      <c r="M215" s="159"/>
      <c r="N215" s="62"/>
      <c r="O215" s="209"/>
    </row>
    <row r="216" spans="1:19" ht="31.5" customHeight="1">
      <c r="A216" s="15"/>
      <c r="B216" s="21" t="s">
        <v>332</v>
      </c>
      <c r="C216" s="22"/>
      <c r="D216" s="141" t="s">
        <v>333</v>
      </c>
      <c r="E216" s="142"/>
      <c r="F216" s="141" t="s">
        <v>334</v>
      </c>
      <c r="G216" s="142"/>
      <c r="H216" s="21" t="s">
        <v>335</v>
      </c>
      <c r="I216" s="225"/>
      <c r="J216" s="141" t="s">
        <v>461</v>
      </c>
      <c r="K216" s="142"/>
      <c r="L216" s="22" t="s">
        <v>316</v>
      </c>
      <c r="M216" s="225"/>
      <c r="N216" s="63" t="s">
        <v>457</v>
      </c>
      <c r="O216" s="212"/>
    </row>
    <row r="217" spans="1:19">
      <c r="A217" s="16"/>
      <c r="B217" s="19" t="s">
        <v>336</v>
      </c>
      <c r="C217" s="18" t="s">
        <v>427</v>
      </c>
      <c r="D217" s="19" t="s">
        <v>336</v>
      </c>
      <c r="E217" s="18" t="s">
        <v>427</v>
      </c>
      <c r="F217" s="19" t="s">
        <v>336</v>
      </c>
      <c r="G217" s="18" t="s">
        <v>427</v>
      </c>
      <c r="H217" s="19" t="s">
        <v>336</v>
      </c>
      <c r="I217" s="226" t="s">
        <v>427</v>
      </c>
      <c r="J217" s="19" t="s">
        <v>336</v>
      </c>
      <c r="K217" s="18" t="s">
        <v>427</v>
      </c>
      <c r="L217" s="19" t="s">
        <v>336</v>
      </c>
      <c r="M217" s="226" t="s">
        <v>427</v>
      </c>
      <c r="N217" s="62" t="s">
        <v>457</v>
      </c>
      <c r="O217" s="209"/>
    </row>
    <row r="218" spans="1:19" s="156" customFormat="1" ht="18" customHeight="1">
      <c r="A218" s="168" t="s">
        <v>456</v>
      </c>
      <c r="B218" s="172">
        <f>+GETPIVOTDATA(" New Prof avg",'Averages Pivot Table'!$A$3,"Category",4,"Category2","Four-Year")</f>
        <v>80292.974757357413</v>
      </c>
      <c r="C218" s="172"/>
      <c r="D218" s="172">
        <f>+GETPIVOTDATA(" New Asc. avg",'Averages Pivot Table'!$A$3,"Category",4,"Category2","Four-Year")</f>
        <v>65620.11907238909</v>
      </c>
      <c r="E218" s="172"/>
      <c r="F218" s="172">
        <f>+GETPIVOTDATA(" New Ast. avg",'Averages Pivot Table'!$A$3,"Category",4,"Category2","Four-Year")</f>
        <v>56350.431820000653</v>
      </c>
      <c r="G218" s="172"/>
      <c r="H218" s="172">
        <f>+GETPIVOTDATA(" New Inst. avg",'Averages Pivot Table'!$A$3,"Category",4,"Category2","Four-Year")</f>
        <v>43857.669274432672</v>
      </c>
      <c r="I218" s="229"/>
      <c r="J218" s="172">
        <f>+GETPIVOTDATA(" New Undesg. avg",'Averages Pivot Table'!$A$3,"Category",4,"Category2","Four-Year")</f>
        <v>45528.999442803826</v>
      </c>
      <c r="K218" s="172"/>
      <c r="L218" s="172">
        <f>+GETPIVOTDATA(" New All Ranks avg",'Averages Pivot Table'!$A$3,"Category",4,"Category2","Four-Year")</f>
        <v>62091.455053801983</v>
      </c>
      <c r="M218" s="232"/>
      <c r="N218" s="175"/>
      <c r="O218" s="223"/>
      <c r="Q218" s="193"/>
      <c r="R218" s="193"/>
      <c r="S218" s="193"/>
    </row>
    <row r="219" spans="1:19" ht="12.95" customHeight="1">
      <c r="A219" s="12"/>
      <c r="B219" s="9"/>
      <c r="C219" s="17"/>
      <c r="D219" s="9"/>
      <c r="E219" s="17"/>
      <c r="F219" s="9"/>
      <c r="G219" s="17"/>
      <c r="H219" s="9"/>
      <c r="I219" s="233"/>
      <c r="J219" s="9"/>
      <c r="K219" s="17"/>
      <c r="L219" s="9"/>
      <c r="M219" s="233"/>
      <c r="N219" s="62"/>
      <c r="O219" s="209"/>
    </row>
    <row r="220" spans="1:19" ht="12.95" customHeight="1">
      <c r="A220" s="12" t="s">
        <v>439</v>
      </c>
      <c r="B220" s="62">
        <f>+GETPIVOTDATA(" New Prof avg",'Averages Pivot Table'!$A$3,"State","AL","Category",4,"Category2","Four-Year")</f>
        <v>80497.263359999997</v>
      </c>
      <c r="C220" s="130">
        <f>IF(B220&gt;0,(RANK(B220,B$220:B$238)),0)</f>
        <v>7</v>
      </c>
      <c r="D220" s="62">
        <f>+GETPIVOTDATA(" New Asc. avg",'Averages Pivot Table'!$A$3,"State","AL","Category",4,"Category2","Four-Year")</f>
        <v>66453.898009356722</v>
      </c>
      <c r="E220" s="130">
        <f>IF(D220&gt;0,(RANK(D220,D$220:D$238)),0)</f>
        <v>7</v>
      </c>
      <c r="F220" s="62">
        <f>+GETPIVOTDATA(" New Ast. avg",'Averages Pivot Table'!$A$3,"State","AL","Category",4,"Category2","Four-Year")</f>
        <v>54654.428063963969</v>
      </c>
      <c r="G220" s="130">
        <f t="shared" ref="G220:G238" si="22">IF(F220&gt;0,(RANK(F220,F$220:F$238)),0)</f>
        <v>9</v>
      </c>
      <c r="H220" s="62">
        <f>+GETPIVOTDATA(" New Inst. avg",'Averages Pivot Table'!$A$3,"State","AL","Category",4,"Category2","Four-Year")</f>
        <v>45549.651090109888</v>
      </c>
      <c r="I220" s="201">
        <f t="shared" ref="I220:I238" si="23">IF(H220&gt;0,(RANK(H220,H$220:H$238)),0)</f>
        <v>7</v>
      </c>
      <c r="J220" s="62">
        <f>+GETPIVOTDATA(" New Undesg. avg",'Averages Pivot Table'!$A$3,"State","AL","Category",4,"Category2","Four-Year")</f>
        <v>74178.012000000002</v>
      </c>
      <c r="K220" s="130">
        <f t="shared" ref="K220:K238" si="24">IF(J220&gt;0,(RANK(J220,J$220:J$238)),0)</f>
        <v>1</v>
      </c>
      <c r="L220" s="62">
        <f>+GETPIVOTDATA(" New All Ranks avg",'Averages Pivot Table'!$A$3,"State","AL","Category",4,"Category2","Four-Year")</f>
        <v>63609.936787779436</v>
      </c>
      <c r="M220" s="201">
        <f t="shared" ref="M220:M238" si="25">IF(L220&gt;0,(RANK(L220,L$220:L$238)),0)</f>
        <v>7</v>
      </c>
      <c r="N220" s="62"/>
      <c r="O220" s="209"/>
    </row>
    <row r="221" spans="1:19" ht="12.95" customHeight="1">
      <c r="A221" s="12" t="s">
        <v>440</v>
      </c>
      <c r="B221" s="62">
        <f>+GETPIVOTDATA(" New Prof avg",'Averages Pivot Table'!$A$3,"State","AR","Category",4,"Category2","Four-Year")</f>
        <v>66546.571921818177</v>
      </c>
      <c r="C221" s="130">
        <f t="shared" ref="C221:E238" si="26">IF(B221&gt;0,(RANK(B221,B$220:B$238)),0)</f>
        <v>12</v>
      </c>
      <c r="D221" s="62">
        <f>+GETPIVOTDATA(" New Asc. avg",'Averages Pivot Table'!$A$3,"State","AR","Category",4,"Category2","Four-Year")</f>
        <v>57532.257976576577</v>
      </c>
      <c r="E221" s="130">
        <f t="shared" si="26"/>
        <v>13</v>
      </c>
      <c r="F221" s="62">
        <f>+GETPIVOTDATA(" New Ast. avg",'Averages Pivot Table'!$A$3,"State","AR","Category",4,"Category2","Four-Year")</f>
        <v>48596.535106206895</v>
      </c>
      <c r="G221" s="130">
        <f t="shared" si="22"/>
        <v>13</v>
      </c>
      <c r="H221" s="62">
        <f>+GETPIVOTDATA(" New Inst. avg",'Averages Pivot Table'!$A$3,"State","AR","Category",4,"Category2","Four-Year")</f>
        <v>38117.291109090911</v>
      </c>
      <c r="I221" s="201">
        <f t="shared" si="23"/>
        <v>13</v>
      </c>
      <c r="J221" s="62">
        <f>+GETPIVOTDATA(" New Undesg. avg",'Averages Pivot Table'!$A$3,"State","AR","Category",4,"Category2","Four-Year")</f>
        <v>36957.885714285716</v>
      </c>
      <c r="K221" s="130">
        <f t="shared" si="24"/>
        <v>9</v>
      </c>
      <c r="L221" s="62">
        <f>+GETPIVOTDATA(" New All Ranks avg",'Averages Pivot Table'!$A$3,"State","AR","Category",4,"Category2","Four-Year")</f>
        <v>52944.469623245619</v>
      </c>
      <c r="M221" s="201">
        <f t="shared" si="25"/>
        <v>13</v>
      </c>
      <c r="N221" s="62"/>
      <c r="O221" s="209"/>
    </row>
    <row r="222" spans="1:19" ht="12.95" customHeight="1">
      <c r="A222" s="12" t="s">
        <v>455</v>
      </c>
      <c r="B222" s="62">
        <f>+GETPIVOTDATA(" New Prof avg",'Averages Pivot Table'!$A$3,"State","DE","Category",4,"Category2","Four-Year")</f>
        <v>79203.881600000008</v>
      </c>
      <c r="C222" s="130">
        <f t="shared" si="26"/>
        <v>8</v>
      </c>
      <c r="D222" s="62">
        <f>+GETPIVOTDATA(" New Asc. avg",'Averages Pivot Table'!$A$3,"State","DE","Category",4,"Category2","Four-Year")</f>
        <v>64594.062697674417</v>
      </c>
      <c r="E222" s="130">
        <f t="shared" si="26"/>
        <v>9</v>
      </c>
      <c r="F222" s="62">
        <f>+GETPIVOTDATA(" New Ast. avg",'Averages Pivot Table'!$A$3,"State","DE","Category",4,"Category2","Four-Year")</f>
        <v>59798.311460317462</v>
      </c>
      <c r="G222" s="130">
        <f t="shared" si="22"/>
        <v>5</v>
      </c>
      <c r="H222" s="62">
        <f>+GETPIVOTDATA(" New Inst. avg",'Averages Pivot Table'!$A$3,"State","DE","Category",4,"Category2","Four-Year")</f>
        <v>56856</v>
      </c>
      <c r="I222" s="201">
        <f t="shared" si="23"/>
        <v>2</v>
      </c>
      <c r="J222" s="62">
        <f>+GETPIVOTDATA(" New Undesg. avg",'Averages Pivot Table'!$A$3,"State","DE","Category",4,"Category2","Four-Year")</f>
        <v>41893</v>
      </c>
      <c r="K222" s="130">
        <f t="shared" si="24"/>
        <v>7</v>
      </c>
      <c r="L222" s="62">
        <f>+GETPIVOTDATA(" New All Ranks avg",'Averages Pivot Table'!$A$3,"State","DE","Category",4,"Category2","Four-Year")</f>
        <v>65065.276523232322</v>
      </c>
      <c r="M222" s="201">
        <f t="shared" si="25"/>
        <v>5</v>
      </c>
      <c r="N222" s="62"/>
      <c r="O222" s="209"/>
    </row>
    <row r="223" spans="1:19" ht="12.95" customHeight="1">
      <c r="A223" s="12" t="s">
        <v>441</v>
      </c>
      <c r="B223" s="62">
        <f>+GETPIVOTDATA(" New Prof avg",'Averages Pivot Table'!$A$3,"State","FL","Category",4,"Category2","Four-Year")</f>
        <v>88769.625456250011</v>
      </c>
      <c r="C223" s="130">
        <f t="shared" si="26"/>
        <v>3</v>
      </c>
      <c r="D223" s="62">
        <f>+GETPIVOTDATA(" New Asc. avg",'Averages Pivot Table'!$A$3,"State","FL","Category",4,"Category2","Four-Year")</f>
        <v>71373.302698947373</v>
      </c>
      <c r="E223" s="130">
        <f t="shared" si="26"/>
        <v>3</v>
      </c>
      <c r="F223" s="62">
        <f>+GETPIVOTDATA(" New Ast. avg",'Averages Pivot Table'!$A$3,"State","FL","Category",4,"Category2","Four-Year")</f>
        <v>56233.136203225804</v>
      </c>
      <c r="G223" s="130">
        <f t="shared" si="22"/>
        <v>7</v>
      </c>
      <c r="H223" s="62">
        <f>+GETPIVOTDATA(" New Inst. avg",'Averages Pivot Table'!$A$3,"State","FL","Category",4,"Category2","Four-Year")</f>
        <v>44103.214886666668</v>
      </c>
      <c r="I223" s="201">
        <f t="shared" si="23"/>
        <v>8</v>
      </c>
      <c r="J223" s="62">
        <f>+GETPIVOTDATA(" New Undesg. avg",'Averages Pivot Table'!$A$3,"State","FL","Category",4,"Category2","Four-Year")</f>
        <v>0</v>
      </c>
      <c r="K223" s="130">
        <f t="shared" si="24"/>
        <v>0</v>
      </c>
      <c r="L223" s="62">
        <f>+GETPIVOTDATA(" New All Ranks avg",'Averages Pivot Table'!$A$3,"State","FL","Category",4,"Category2","Four-Year")</f>
        <v>62745.088510991962</v>
      </c>
      <c r="M223" s="201">
        <f t="shared" si="25"/>
        <v>9</v>
      </c>
      <c r="N223" s="62"/>
      <c r="O223" s="209"/>
    </row>
    <row r="224" spans="1:19" ht="12.95" customHeight="1">
      <c r="A224" s="12"/>
      <c r="B224" s="62"/>
      <c r="C224" s="130">
        <f t="shared" si="26"/>
        <v>0</v>
      </c>
      <c r="D224" s="62"/>
      <c r="E224" s="130">
        <f t="shared" si="26"/>
        <v>0</v>
      </c>
      <c r="F224" s="62"/>
      <c r="G224" s="130">
        <f t="shared" si="22"/>
        <v>0</v>
      </c>
      <c r="H224" s="62"/>
      <c r="I224" s="201">
        <f t="shared" si="23"/>
        <v>0</v>
      </c>
      <c r="J224" s="62"/>
      <c r="K224" s="130">
        <f t="shared" si="24"/>
        <v>0</v>
      </c>
      <c r="L224" s="62"/>
      <c r="M224" s="201">
        <f t="shared" si="25"/>
        <v>0</v>
      </c>
      <c r="N224" s="62"/>
      <c r="O224" s="209"/>
    </row>
    <row r="225" spans="1:15" ht="12.95" customHeight="1">
      <c r="A225" s="12" t="s">
        <v>442</v>
      </c>
      <c r="B225" s="62">
        <f>+GETPIVOTDATA(" New Prof avg",'Averages Pivot Table'!$A$3,"State","GA","Category",4,"Category2","Four-Year")</f>
        <v>77533.850428937149</v>
      </c>
      <c r="C225" s="130">
        <f t="shared" si="26"/>
        <v>9</v>
      </c>
      <c r="D225" s="62">
        <f>+GETPIVOTDATA(" New Asc. avg",'Averages Pivot Table'!$A$3,"State","GA","Category",4,"Category2","Four-Year")</f>
        <v>63595.956791295277</v>
      </c>
      <c r="E225" s="130">
        <f t="shared" si="26"/>
        <v>10</v>
      </c>
      <c r="F225" s="62">
        <f>+GETPIVOTDATA(" New Ast. avg",'Averages Pivot Table'!$A$3,"State","GA","Category",4,"Category2","Four-Year")</f>
        <v>53814.067719978782</v>
      </c>
      <c r="G225" s="130">
        <f t="shared" si="22"/>
        <v>10</v>
      </c>
      <c r="H225" s="62">
        <f>+GETPIVOTDATA(" New Inst. avg",'Averages Pivot Table'!$A$3,"State","GA","Category",4,"Category2","Four-Year")</f>
        <v>43186.014888607599</v>
      </c>
      <c r="I225" s="201">
        <f t="shared" si="23"/>
        <v>10</v>
      </c>
      <c r="J225" s="62">
        <f>+GETPIVOTDATA(" New Undesg. avg",'Averages Pivot Table'!$A$3,"State","GA","Category",4,"Category2","Four-Year")</f>
        <v>47609.981512709222</v>
      </c>
      <c r="K225" s="130">
        <f t="shared" si="24"/>
        <v>4</v>
      </c>
      <c r="L225" s="62">
        <f>+GETPIVOTDATA(" New All Ranks avg",'Averages Pivot Table'!$A$3,"State","GA","Category",4,"Category2","Four-Year")</f>
        <v>59474.124227744156</v>
      </c>
      <c r="M225" s="201">
        <f t="shared" si="25"/>
        <v>10</v>
      </c>
      <c r="N225" s="62"/>
      <c r="O225" s="209"/>
    </row>
    <row r="226" spans="1:15" ht="12.95" customHeight="1">
      <c r="A226" s="12" t="s">
        <v>443</v>
      </c>
      <c r="B226" s="62">
        <f>+GETPIVOTDATA(" New Prof avg",'Averages Pivot Table'!$A$3,"State","KY","Category",4,"Category2","Four-Year")</f>
        <v>89722.689160360358</v>
      </c>
      <c r="C226" s="130">
        <f t="shared" si="26"/>
        <v>2</v>
      </c>
      <c r="D226" s="62">
        <f>+GETPIVOTDATA(" New Asc. avg",'Averages Pivot Table'!$A$3,"State","KY","Category",4,"Category2","Four-Year")</f>
        <v>66698.789339583323</v>
      </c>
      <c r="E226" s="130">
        <f t="shared" si="26"/>
        <v>6</v>
      </c>
      <c r="F226" s="62">
        <f>+GETPIVOTDATA(" New Ast. avg",'Averages Pivot Table'!$A$3,"State","KY","Category",4,"Category2","Four-Year")</f>
        <v>58875.751162105262</v>
      </c>
      <c r="G226" s="130">
        <f t="shared" si="22"/>
        <v>6</v>
      </c>
      <c r="H226" s="62">
        <f>+GETPIVOTDATA(" New Inst. avg",'Averages Pivot Table'!$A$3,"State","KY","Category",4,"Category2","Four-Year")</f>
        <v>43837.6633</v>
      </c>
      <c r="I226" s="201">
        <f t="shared" si="23"/>
        <v>9</v>
      </c>
      <c r="J226" s="62">
        <f>+GETPIVOTDATA(" New Undesg. avg",'Averages Pivot Table'!$A$3,"State","KY","Category",4,"Category2","Four-Year")</f>
        <v>44473.221907692307</v>
      </c>
      <c r="K226" s="130">
        <f t="shared" si="24"/>
        <v>5</v>
      </c>
      <c r="L226" s="62">
        <f>+GETPIVOTDATA(" New All Ranks avg",'Averages Pivot Table'!$A$3,"State","KY","Category",4,"Category2","Four-Year")</f>
        <v>62844.843185015285</v>
      </c>
      <c r="M226" s="201">
        <f t="shared" si="25"/>
        <v>8</v>
      </c>
      <c r="N226" s="62"/>
      <c r="O226" s="209"/>
    </row>
    <row r="227" spans="1:15" ht="12.95" customHeight="1">
      <c r="A227" s="12" t="s">
        <v>444</v>
      </c>
      <c r="B227" s="62">
        <f>+GETPIVOTDATA(" New Prof avg",'Averages Pivot Table'!$A$3,"State","LA","Category",4,"Category2","Four-Year")</f>
        <v>72272.364383064516</v>
      </c>
      <c r="C227" s="130">
        <f t="shared" si="26"/>
        <v>11</v>
      </c>
      <c r="D227" s="62">
        <f>+GETPIVOTDATA(" New Asc. avg",'Averages Pivot Table'!$A$3,"State","LA","Category",4,"Category2","Four-Year")</f>
        <v>59278.728357491294</v>
      </c>
      <c r="E227" s="130">
        <f t="shared" si="26"/>
        <v>11</v>
      </c>
      <c r="F227" s="62">
        <f>+GETPIVOTDATA(" New Ast. avg",'Averages Pivot Table'!$A$3,"State","LA","Category",4,"Category2","Four-Year")</f>
        <v>51669.645381096409</v>
      </c>
      <c r="G227" s="130">
        <f t="shared" si="22"/>
        <v>11</v>
      </c>
      <c r="H227" s="62">
        <f>+GETPIVOTDATA(" New Inst. avg",'Averages Pivot Table'!$A$3,"State","LA","Category",4,"Category2","Four-Year")</f>
        <v>40891.092090178572</v>
      </c>
      <c r="I227" s="201">
        <f t="shared" si="23"/>
        <v>12</v>
      </c>
      <c r="J227" s="62">
        <f>+GETPIVOTDATA(" New Undesg. avg",'Averages Pivot Table'!$A$3,"State","LA","Category",4,"Category2","Four-Year")</f>
        <v>48575.090568421052</v>
      </c>
      <c r="K227" s="130">
        <f t="shared" si="24"/>
        <v>3</v>
      </c>
      <c r="L227" s="62">
        <f>+GETPIVOTDATA(" New All Ranks avg",'Averages Pivot Table'!$A$3,"State","LA","Category",4,"Category2","Four-Year")</f>
        <v>55296.592518022801</v>
      </c>
      <c r="M227" s="201">
        <f t="shared" si="25"/>
        <v>11</v>
      </c>
      <c r="N227" s="62"/>
      <c r="O227" s="209"/>
    </row>
    <row r="228" spans="1:15" ht="12.95" customHeight="1">
      <c r="A228" s="12" t="s">
        <v>445</v>
      </c>
      <c r="B228" s="62">
        <f>+GETPIVOTDATA(" New Prof avg",'Averages Pivot Table'!$A$3,"State","MD","Category",4,"Category2","Four-Year")</f>
        <v>91892.37147647058</v>
      </c>
      <c r="C228" s="130">
        <f t="shared" si="26"/>
        <v>1</v>
      </c>
      <c r="D228" s="62">
        <f>+GETPIVOTDATA(" New Asc. avg",'Averages Pivot Table'!$A$3,"State","MD","Category",4,"Category2","Four-Year")</f>
        <v>73598.272450303033</v>
      </c>
      <c r="E228" s="130">
        <f t="shared" si="26"/>
        <v>2</v>
      </c>
      <c r="F228" s="62">
        <f>+GETPIVOTDATA(" New Ast. avg",'Averages Pivot Table'!$A$3,"State","MD","Category",4,"Category2","Four-Year")</f>
        <v>64489.254883333335</v>
      </c>
      <c r="G228" s="130">
        <f t="shared" si="22"/>
        <v>1</v>
      </c>
      <c r="H228" s="62">
        <f>+GETPIVOTDATA(" New Inst. avg",'Averages Pivot Table'!$A$3,"State","MD","Category",4,"Category2","Four-Year")</f>
        <v>53496.894736842107</v>
      </c>
      <c r="I228" s="201">
        <f t="shared" si="23"/>
        <v>3</v>
      </c>
      <c r="J228" s="62">
        <f>+GETPIVOTDATA(" New Undesg. avg",'Averages Pivot Table'!$A$3,"State","MD","Category",4,"Category2","Four-Year")</f>
        <v>21481.022800000002</v>
      </c>
      <c r="K228" s="130">
        <f t="shared" si="24"/>
        <v>10</v>
      </c>
      <c r="L228" s="62">
        <f>+GETPIVOTDATA(" New All Ranks avg",'Averages Pivot Table'!$A$3,"State","MD","Category",4,"Category2","Four-Year")</f>
        <v>74060.830428596644</v>
      </c>
      <c r="M228" s="201">
        <f t="shared" si="25"/>
        <v>1</v>
      </c>
      <c r="N228" s="62"/>
      <c r="O228" s="209"/>
    </row>
    <row r="229" spans="1:15" ht="12.95" customHeight="1">
      <c r="A229" s="12"/>
      <c r="B229" s="62"/>
      <c r="C229" s="130">
        <f t="shared" si="26"/>
        <v>0</v>
      </c>
      <c r="D229" s="62"/>
      <c r="E229" s="130">
        <f t="shared" si="26"/>
        <v>0</v>
      </c>
      <c r="F229" s="62"/>
      <c r="G229" s="130">
        <f t="shared" si="22"/>
        <v>0</v>
      </c>
      <c r="H229" s="62"/>
      <c r="I229" s="201">
        <f t="shared" si="23"/>
        <v>0</v>
      </c>
      <c r="J229" s="62"/>
      <c r="K229" s="130">
        <f t="shared" si="24"/>
        <v>0</v>
      </c>
      <c r="L229" s="62"/>
      <c r="M229" s="201">
        <f t="shared" si="25"/>
        <v>0</v>
      </c>
      <c r="N229" s="62"/>
      <c r="O229" s="209"/>
    </row>
    <row r="230" spans="1:15" ht="12.95" customHeight="1">
      <c r="A230" s="12" t="s">
        <v>446</v>
      </c>
      <c r="B230" s="62">
        <f>+GETPIVOTDATA(" New Prof avg",'Averages Pivot Table'!$A$3,"State","MS","Category",4,"Category2","Four-Year")</f>
        <v>66235.84277517072</v>
      </c>
      <c r="C230" s="130">
        <f t="shared" si="26"/>
        <v>13</v>
      </c>
      <c r="D230" s="62">
        <f>+GETPIVOTDATA(" New Asc. avg",'Averages Pivot Table'!$A$3,"State","MS","Category",4,"Category2","Four-Year")</f>
        <v>58236.514973368423</v>
      </c>
      <c r="E230" s="130">
        <f t="shared" si="26"/>
        <v>12</v>
      </c>
      <c r="F230" s="62">
        <f>+GETPIVOTDATA(" New Ast. avg",'Averages Pivot Table'!$A$3,"State","MS","Category",4,"Category2","Four-Year")</f>
        <v>50802.034439736533</v>
      </c>
      <c r="G230" s="130">
        <f t="shared" si="22"/>
        <v>12</v>
      </c>
      <c r="H230" s="62">
        <f>+GETPIVOTDATA(" New Inst. avg",'Averages Pivot Table'!$A$3,"State","MS","Category",4,"Category2","Four-Year")</f>
        <v>42602.040884412701</v>
      </c>
      <c r="I230" s="201">
        <f t="shared" si="23"/>
        <v>11</v>
      </c>
      <c r="J230" s="62">
        <f>+GETPIVOTDATA(" New Undesg. avg",'Averages Pivot Table'!$A$3,"State","MS","Category",4,"Category2","Four-Year")</f>
        <v>0</v>
      </c>
      <c r="K230" s="130">
        <f t="shared" si="24"/>
        <v>0</v>
      </c>
      <c r="L230" s="62">
        <f>+GETPIVOTDATA(" New All Ranks avg",'Averages Pivot Table'!$A$3,"State","MS","Category",4,"Category2","Four-Year")</f>
        <v>53010.426824948867</v>
      </c>
      <c r="M230" s="201">
        <f t="shared" si="25"/>
        <v>12</v>
      </c>
      <c r="N230" s="62"/>
      <c r="O230" s="209"/>
    </row>
    <row r="231" spans="1:15" ht="12.95" customHeight="1">
      <c r="A231" s="12" t="s">
        <v>447</v>
      </c>
      <c r="B231" s="62">
        <f>+GETPIVOTDATA(" New Prof avg",'Averages Pivot Table'!$A$3,"State","NC","Category",4,"Category2","Four-Year")</f>
        <v>85931.190300000002</v>
      </c>
      <c r="C231" s="130">
        <f t="shared" si="26"/>
        <v>5</v>
      </c>
      <c r="D231" s="62">
        <f>+GETPIVOTDATA(" New Asc. avg",'Averages Pivot Table'!$A$3,"State","NC","Category",4,"Category2","Four-Year")</f>
        <v>73744.370292682928</v>
      </c>
      <c r="E231" s="130">
        <f t="shared" si="26"/>
        <v>1</v>
      </c>
      <c r="F231" s="62">
        <f>+GETPIVOTDATA(" New Ast. avg",'Averages Pivot Table'!$A$3,"State","NC","Category",4,"Category2","Four-Year")</f>
        <v>63419.665517431196</v>
      </c>
      <c r="G231" s="130">
        <f t="shared" si="22"/>
        <v>3</v>
      </c>
      <c r="H231" s="62">
        <f>+GETPIVOTDATA(" New Inst. avg",'Averages Pivot Table'!$A$3,"State","NC","Category",4,"Category2","Four-Year")</f>
        <v>58771</v>
      </c>
      <c r="I231" s="201">
        <f t="shared" si="23"/>
        <v>1</v>
      </c>
      <c r="J231" s="62">
        <f>+GETPIVOTDATA(" New Undesg. avg",'Averages Pivot Table'!$A$3,"State","NC","Category",4,"Category2","Four-Year")</f>
        <v>53427</v>
      </c>
      <c r="K231" s="130">
        <f t="shared" si="24"/>
        <v>2</v>
      </c>
      <c r="L231" s="62">
        <f>+GETPIVOTDATA(" New All Ranks avg",'Averages Pivot Table'!$A$3,"State","NC","Category",4,"Category2","Four-Year")</f>
        <v>68710.412558122742</v>
      </c>
      <c r="M231" s="201">
        <f t="shared" si="25"/>
        <v>2</v>
      </c>
      <c r="N231" s="62"/>
      <c r="O231" s="209"/>
    </row>
    <row r="232" spans="1:15" ht="12.95" customHeight="1">
      <c r="A232" s="12" t="s">
        <v>448</v>
      </c>
      <c r="B232" s="62">
        <f>+GETPIVOTDATA(" New Prof avg",'Averages Pivot Table'!$A$3,"State","OK","Category",4,"Category2","Four-Year")</f>
        <v>0</v>
      </c>
      <c r="C232" s="130">
        <f t="shared" si="26"/>
        <v>0</v>
      </c>
      <c r="D232" s="62">
        <f>+GETPIVOTDATA(" New Asc. avg",'Averages Pivot Table'!$A$3,"State","OK","Category",4,"Category2","Four-Year")</f>
        <v>0</v>
      </c>
      <c r="E232" s="130">
        <f t="shared" si="26"/>
        <v>0</v>
      </c>
      <c r="F232" s="62">
        <f>+GETPIVOTDATA(" New Ast. avg",'Averages Pivot Table'!$A$3,"State","OK","Category",4,"Category2","Four-Year")</f>
        <v>0</v>
      </c>
      <c r="G232" s="130">
        <f t="shared" si="22"/>
        <v>0</v>
      </c>
      <c r="H232" s="62">
        <f>+GETPIVOTDATA(" New Inst. avg",'Averages Pivot Table'!$A$3,"State","OK","Category",4,"Category2","Four-Year")</f>
        <v>0</v>
      </c>
      <c r="I232" s="201">
        <f t="shared" si="23"/>
        <v>0</v>
      </c>
      <c r="J232" s="62">
        <f>+GETPIVOTDATA(" New Undesg. avg",'Averages Pivot Table'!$A$3,"State","OK","Category",4,"Category2","Four-Year")</f>
        <v>0</v>
      </c>
      <c r="K232" s="130">
        <f t="shared" si="24"/>
        <v>0</v>
      </c>
      <c r="L232" s="62">
        <f>+GETPIVOTDATA(" New All Ranks avg",'Averages Pivot Table'!$A$3,"State","OK","Category",4,"Category2","Four-Year")</f>
        <v>0</v>
      </c>
      <c r="M232" s="201">
        <f t="shared" si="25"/>
        <v>0</v>
      </c>
      <c r="N232" s="62"/>
      <c r="O232" s="209"/>
    </row>
    <row r="233" spans="1:15" ht="12.95" customHeight="1">
      <c r="A233" s="12" t="s">
        <v>449</v>
      </c>
      <c r="B233" s="62">
        <f>+GETPIVOTDATA(" New Prof avg",'Averages Pivot Table'!$A$3,"State","SC","Category",4,"Category2","Four-Year")</f>
        <v>84252.528301886792</v>
      </c>
      <c r="C233" s="130">
        <f t="shared" si="26"/>
        <v>6</v>
      </c>
      <c r="D233" s="62">
        <f>+GETPIVOTDATA(" New Asc. avg",'Averages Pivot Table'!$A$3,"State","SC","Category",4,"Category2","Four-Year")</f>
        <v>67878.850980392148</v>
      </c>
      <c r="E233" s="130">
        <f t="shared" si="26"/>
        <v>5</v>
      </c>
      <c r="F233" s="62">
        <f>+GETPIVOTDATA(" New Ast. avg",'Averages Pivot Table'!$A$3,"State","SC","Category",4,"Category2","Four-Year")</f>
        <v>56117.015625</v>
      </c>
      <c r="G233" s="130">
        <f t="shared" si="22"/>
        <v>8</v>
      </c>
      <c r="H233" s="62">
        <f>+GETPIVOTDATA(" New Inst. avg",'Averages Pivot Table'!$A$3,"State","SC","Category",4,"Category2","Four-Year")</f>
        <v>49000</v>
      </c>
      <c r="I233" s="201">
        <f t="shared" si="23"/>
        <v>5</v>
      </c>
      <c r="J233" s="62">
        <f>+GETPIVOTDATA(" New Undesg. avg",'Averages Pivot Table'!$A$3,"State","SC","Category",4,"Category2","Four-Year")</f>
        <v>0</v>
      </c>
      <c r="K233" s="130">
        <f t="shared" si="24"/>
        <v>0</v>
      </c>
      <c r="L233" s="62">
        <f>+GETPIVOTDATA(" New All Ranks avg",'Averages Pivot Table'!$A$3,"State","SC","Category",4,"Category2","Four-Year")</f>
        <v>68333.49647058823</v>
      </c>
      <c r="M233" s="201">
        <f t="shared" si="25"/>
        <v>3</v>
      </c>
      <c r="N233" s="62"/>
      <c r="O233" s="209"/>
    </row>
    <row r="234" spans="1:15" ht="12.95" customHeight="1">
      <c r="A234" s="12"/>
      <c r="B234" s="62"/>
      <c r="C234" s="130">
        <f t="shared" si="26"/>
        <v>0</v>
      </c>
      <c r="D234" s="62"/>
      <c r="E234" s="130">
        <f t="shared" si="26"/>
        <v>0</v>
      </c>
      <c r="F234" s="62"/>
      <c r="G234" s="130">
        <f t="shared" si="22"/>
        <v>0</v>
      </c>
      <c r="H234" s="62"/>
      <c r="I234" s="201">
        <f t="shared" si="23"/>
        <v>0</v>
      </c>
      <c r="J234" s="62"/>
      <c r="K234" s="130">
        <f t="shared" si="24"/>
        <v>0</v>
      </c>
      <c r="L234" s="62"/>
      <c r="M234" s="201">
        <f t="shared" si="25"/>
        <v>0</v>
      </c>
      <c r="N234" s="62"/>
      <c r="O234" s="209"/>
    </row>
    <row r="235" spans="1:15" ht="12.95" customHeight="1">
      <c r="A235" s="12" t="s">
        <v>450</v>
      </c>
      <c r="B235" s="129">
        <f>+GETPIVOTDATA(" New Prof avg",'Averages Pivot Table'!$A$3,"State","TN","Category",4,"Category2","Four-Year")</f>
        <v>0</v>
      </c>
      <c r="C235" s="130">
        <f t="shared" si="26"/>
        <v>0</v>
      </c>
      <c r="D235" s="129">
        <f>+GETPIVOTDATA(" New Asc. avg",'Averages Pivot Table'!$A$3,"State","TN","Category",4,"Category2","Four-Year")</f>
        <v>0</v>
      </c>
      <c r="E235" s="130">
        <f t="shared" si="26"/>
        <v>0</v>
      </c>
      <c r="F235" s="129">
        <f>+GETPIVOTDATA(" New Ast. avg",'Averages Pivot Table'!$A$3,"State","TN","Category",4,"Category2","Four-Year")</f>
        <v>0</v>
      </c>
      <c r="G235" s="130">
        <f t="shared" si="22"/>
        <v>0</v>
      </c>
      <c r="H235" s="129">
        <f>+GETPIVOTDATA(" New Inst. avg",'Averages Pivot Table'!$A$3,"State","TN","Category",4,"Category2","Four-Year")</f>
        <v>0</v>
      </c>
      <c r="I235" s="201">
        <f t="shared" si="23"/>
        <v>0</v>
      </c>
      <c r="J235" s="129">
        <f>+GETPIVOTDATA(" New Undesg. avg",'Averages Pivot Table'!$A$3,"State","TN","Category",4,"Category2","Four-Year")</f>
        <v>0</v>
      </c>
      <c r="K235" s="130">
        <f t="shared" si="24"/>
        <v>0</v>
      </c>
      <c r="L235" s="129">
        <f>+GETPIVOTDATA(" New All Ranks avg",'Averages Pivot Table'!$A$3,"State","TN","Category",4,"Category2","Four-Year")</f>
        <v>0</v>
      </c>
      <c r="M235" s="201">
        <f t="shared" si="25"/>
        <v>0</v>
      </c>
      <c r="N235" s="62"/>
      <c r="O235" s="209"/>
    </row>
    <row r="236" spans="1:15" ht="12.95" customHeight="1">
      <c r="A236" s="12" t="s">
        <v>451</v>
      </c>
      <c r="B236" s="129">
        <f>+GETPIVOTDATA(" New Prof avg",'Averages Pivot Table'!$A$3,"State","TX","Category",4,"Category2","Four-Year")</f>
        <v>87821.092956756751</v>
      </c>
      <c r="C236" s="130">
        <f t="shared" si="26"/>
        <v>4</v>
      </c>
      <c r="D236" s="129">
        <f>+GETPIVOTDATA(" New Asc. avg",'Averages Pivot Table'!$A$3,"State","TX","Category",4,"Category2","Four-Year")</f>
        <v>69209.608695652176</v>
      </c>
      <c r="E236" s="130">
        <f t="shared" si="26"/>
        <v>4</v>
      </c>
      <c r="F236" s="129">
        <f>+GETPIVOTDATA(" New Ast. avg",'Averages Pivot Table'!$A$3,"State","TX","Category",4,"Category2","Four-Year")</f>
        <v>63977.860465116282</v>
      </c>
      <c r="G236" s="130">
        <f t="shared" si="22"/>
        <v>2</v>
      </c>
      <c r="H236" s="129">
        <f>+GETPIVOTDATA(" New Inst. avg",'Averages Pivot Table'!$A$3,"State","TX","Category",4,"Category2","Four-Year")</f>
        <v>45691.972727272725</v>
      </c>
      <c r="I236" s="201">
        <f t="shared" si="23"/>
        <v>6</v>
      </c>
      <c r="J236" s="129">
        <f>+GETPIVOTDATA(" New Undesg. avg",'Averages Pivot Table'!$A$3,"State","TX","Category",4,"Category2","Four-Year")</f>
        <v>42076.205128205125</v>
      </c>
      <c r="K236" s="130">
        <f t="shared" si="24"/>
        <v>6</v>
      </c>
      <c r="L236" s="129">
        <f>+GETPIVOTDATA(" New All Ranks avg",'Averages Pivot Table'!$A$3,"State","TX","Category",4,"Category2","Four-Year")</f>
        <v>67554.481202539682</v>
      </c>
      <c r="M236" s="201">
        <f t="shared" si="25"/>
        <v>4</v>
      </c>
      <c r="N236" s="62"/>
      <c r="O236" s="209"/>
    </row>
    <row r="237" spans="1:15" ht="12.95" customHeight="1">
      <c r="A237" s="12" t="s">
        <v>452</v>
      </c>
      <c r="B237" s="129">
        <f>+GETPIVOTDATA(" New Prof avg",'Averages Pivot Table'!$A$3,"State","VA","Category",4,"Category2","Four-Year")</f>
        <v>77045.231320731706</v>
      </c>
      <c r="C237" s="130">
        <f t="shared" si="26"/>
        <v>10</v>
      </c>
      <c r="D237" s="129">
        <f>+GETPIVOTDATA(" New Asc. avg",'Averages Pivot Table'!$A$3,"State","VA","Category",4,"Category2","Four-Year")</f>
        <v>64667.430417204305</v>
      </c>
      <c r="E237" s="130">
        <f t="shared" si="26"/>
        <v>8</v>
      </c>
      <c r="F237" s="129">
        <f>+GETPIVOTDATA(" New Ast. avg",'Averages Pivot Table'!$A$3,"State","VA","Category",4,"Category2","Four-Year")</f>
        <v>59925.404501851852</v>
      </c>
      <c r="G237" s="130">
        <f t="shared" si="22"/>
        <v>4</v>
      </c>
      <c r="H237" s="129">
        <f>+GETPIVOTDATA(" New Inst. avg",'Averages Pivot Table'!$A$3,"State","VA","Category",4,"Category2","Four-Year")</f>
        <v>49267.273852054794</v>
      </c>
      <c r="I237" s="201">
        <f t="shared" si="23"/>
        <v>4</v>
      </c>
      <c r="J237" s="129">
        <f>+GETPIVOTDATA(" New Undesg. avg",'Averages Pivot Table'!$A$3,"State","VA","Category",4,"Category2","Four-Year")</f>
        <v>41342.827799999999</v>
      </c>
      <c r="K237" s="130">
        <f t="shared" si="24"/>
        <v>8</v>
      </c>
      <c r="L237" s="129">
        <f>+GETPIVOTDATA(" New All Ranks avg",'Averages Pivot Table'!$A$3,"State","VA","Category",4,"Category2","Four-Year")</f>
        <v>64445.783102499998</v>
      </c>
      <c r="M237" s="201">
        <f t="shared" si="25"/>
        <v>6</v>
      </c>
      <c r="N237" s="62"/>
      <c r="O237" s="209"/>
    </row>
    <row r="238" spans="1:15" ht="12.95" customHeight="1">
      <c r="A238" s="11" t="s">
        <v>453</v>
      </c>
      <c r="B238" s="64">
        <f>+GETPIVOTDATA(" New Prof avg",'Averages Pivot Table'!$A$3,"State","WV","Category",4,"Category2","Four-Year")</f>
        <v>0</v>
      </c>
      <c r="C238" s="65">
        <f t="shared" si="26"/>
        <v>0</v>
      </c>
      <c r="D238" s="64">
        <f>+GETPIVOTDATA(" New Asc. avg",'Averages Pivot Table'!$A$3,"State","WV","Category",4,"Category2","Four-Year")</f>
        <v>0</v>
      </c>
      <c r="E238" s="65">
        <f t="shared" si="26"/>
        <v>0</v>
      </c>
      <c r="F238" s="64">
        <f>+GETPIVOTDATA(" New Ast. avg",'Averages Pivot Table'!$A$3,"State","WV","Category",4,"Category2","Four-Year")</f>
        <v>0</v>
      </c>
      <c r="G238" s="65">
        <f t="shared" si="22"/>
        <v>0</v>
      </c>
      <c r="H238" s="64">
        <f>+GETPIVOTDATA(" New Inst. avg",'Averages Pivot Table'!$A$3,"State","WV","Category",4,"Category2","Four-Year")</f>
        <v>0</v>
      </c>
      <c r="I238" s="202">
        <f t="shared" si="23"/>
        <v>0</v>
      </c>
      <c r="J238" s="64">
        <f>+GETPIVOTDATA(" New Undesg. avg",'Averages Pivot Table'!$A$3,"State","WV","Category",4,"Category2","Four-Year")</f>
        <v>0</v>
      </c>
      <c r="K238" s="65">
        <f t="shared" si="24"/>
        <v>0</v>
      </c>
      <c r="L238" s="64">
        <f>+GETPIVOTDATA(" New All Ranks avg",'Averages Pivot Table'!$A$3,"State","WV","Category",4,"Category2","Four-Year")</f>
        <v>0</v>
      </c>
      <c r="M238" s="202">
        <f t="shared" si="25"/>
        <v>0</v>
      </c>
      <c r="N238" s="62"/>
      <c r="O238" s="209"/>
    </row>
    <row r="239" spans="1:15" ht="30" customHeight="1">
      <c r="A239" s="622" t="s">
        <v>323</v>
      </c>
      <c r="B239" s="623"/>
      <c r="C239" s="623"/>
      <c r="D239" s="623"/>
      <c r="E239" s="623"/>
      <c r="F239" s="623"/>
      <c r="G239" s="623"/>
      <c r="H239" s="623"/>
      <c r="I239" s="623"/>
      <c r="J239" s="623"/>
      <c r="K239" s="623"/>
      <c r="L239" s="623"/>
      <c r="M239" s="623"/>
      <c r="N239" s="12"/>
      <c r="O239" s="215"/>
    </row>
    <row r="240" spans="1:15">
      <c r="M240" s="244" t="s">
        <v>1166</v>
      </c>
      <c r="O240" s="214"/>
    </row>
    <row r="241" spans="1:19" ht="18">
      <c r="A241" s="618" t="s">
        <v>784</v>
      </c>
      <c r="B241" s="618"/>
      <c r="C241" s="618"/>
      <c r="D241" s="618"/>
      <c r="E241" s="618"/>
      <c r="F241" s="618"/>
      <c r="G241" s="618"/>
      <c r="H241" s="618"/>
      <c r="I241" s="618"/>
      <c r="J241" s="618"/>
      <c r="K241" s="618"/>
      <c r="L241" s="618"/>
      <c r="M241" s="618"/>
      <c r="N241" s="167"/>
      <c r="O241" s="166"/>
    </row>
    <row r="242" spans="1:19">
      <c r="A242" s="23"/>
      <c r="B242" s="5"/>
      <c r="C242" s="5"/>
      <c r="D242" s="5"/>
      <c r="E242" s="5"/>
      <c r="F242" s="5"/>
      <c r="G242" s="5"/>
      <c r="H242" s="5"/>
      <c r="I242" s="159"/>
      <c r="J242" s="5"/>
      <c r="K242" s="5"/>
      <c r="L242" s="5"/>
      <c r="M242" s="159"/>
      <c r="N242" s="5"/>
      <c r="O242" s="159"/>
    </row>
    <row r="243" spans="1:19">
      <c r="A243" s="619" t="s">
        <v>454</v>
      </c>
      <c r="B243" s="619"/>
      <c r="C243" s="619"/>
      <c r="D243" s="619"/>
      <c r="E243" s="619"/>
      <c r="F243" s="619"/>
      <c r="G243" s="619"/>
      <c r="H243" s="619"/>
      <c r="I243" s="619"/>
      <c r="J243" s="619"/>
      <c r="K243" s="619"/>
      <c r="L243" s="619"/>
      <c r="M243" s="619"/>
      <c r="N243" s="177"/>
      <c r="O243" s="211"/>
    </row>
    <row r="244" spans="1:19">
      <c r="A244" s="619" t="s">
        <v>1155</v>
      </c>
      <c r="B244" s="619"/>
      <c r="C244" s="619"/>
      <c r="D244" s="619"/>
      <c r="E244" s="619"/>
      <c r="F244" s="619"/>
      <c r="G244" s="619"/>
      <c r="H244" s="619"/>
      <c r="I244" s="619"/>
      <c r="J244" s="619"/>
      <c r="K244" s="619"/>
      <c r="L244" s="619"/>
      <c r="M244" s="619"/>
      <c r="N244" s="177"/>
      <c r="O244" s="211"/>
    </row>
    <row r="245" spans="1:19">
      <c r="A245" s="5"/>
      <c r="B245" s="5"/>
      <c r="C245" s="5"/>
      <c r="D245" s="5"/>
      <c r="E245" s="5"/>
      <c r="F245" s="5"/>
      <c r="G245" s="5"/>
      <c r="H245" s="5"/>
      <c r="I245" s="159"/>
      <c r="J245" s="5"/>
      <c r="K245" s="5"/>
      <c r="L245" s="5"/>
      <c r="M245" s="159"/>
      <c r="N245" s="63" t="s">
        <v>457</v>
      </c>
      <c r="O245" s="212"/>
    </row>
    <row r="246" spans="1:19" ht="31.5" customHeight="1">
      <c r="A246" s="15"/>
      <c r="B246" s="21" t="s">
        <v>332</v>
      </c>
      <c r="C246" s="22"/>
      <c r="D246" s="141" t="s">
        <v>333</v>
      </c>
      <c r="E246" s="142"/>
      <c r="F246" s="141" t="s">
        <v>334</v>
      </c>
      <c r="G246" s="142"/>
      <c r="H246" s="21" t="s">
        <v>335</v>
      </c>
      <c r="I246" s="225"/>
      <c r="J246" s="141" t="s">
        <v>461</v>
      </c>
      <c r="K246" s="142"/>
      <c r="L246" s="22" t="s">
        <v>316</v>
      </c>
      <c r="M246" s="225"/>
      <c r="N246" s="63" t="s">
        <v>457</v>
      </c>
      <c r="O246" s="212"/>
    </row>
    <row r="247" spans="1:19">
      <c r="A247" s="16"/>
      <c r="B247" s="19" t="s">
        <v>336</v>
      </c>
      <c r="C247" s="18" t="s">
        <v>427</v>
      </c>
      <c r="D247" s="19" t="s">
        <v>336</v>
      </c>
      <c r="E247" s="18" t="s">
        <v>427</v>
      </c>
      <c r="F247" s="19" t="s">
        <v>336</v>
      </c>
      <c r="G247" s="18" t="s">
        <v>427</v>
      </c>
      <c r="H247" s="19" t="s">
        <v>336</v>
      </c>
      <c r="I247" s="226" t="s">
        <v>427</v>
      </c>
      <c r="J247" s="19" t="s">
        <v>336</v>
      </c>
      <c r="K247" s="18" t="s">
        <v>427</v>
      </c>
      <c r="L247" s="19" t="s">
        <v>336</v>
      </c>
      <c r="M247" s="226" t="s">
        <v>427</v>
      </c>
      <c r="N247" s="63" t="s">
        <v>457</v>
      </c>
      <c r="O247" s="212"/>
    </row>
    <row r="248" spans="1:19" s="156" customFormat="1" ht="18" customHeight="1">
      <c r="A248" s="168" t="s">
        <v>456</v>
      </c>
      <c r="B248" s="172">
        <f>+GETPIVOTDATA(" New Prof avg",'Averages Pivot Table'!$A$3,"Category",5,"Category2","Four-Year")</f>
        <v>76109.332569749342</v>
      </c>
      <c r="C248" s="172"/>
      <c r="D248" s="172">
        <f>+GETPIVOTDATA(" New Asc. avg",'Averages Pivot Table'!$A$3,"Category",5,"Category2","Four-Year")</f>
        <v>63567.47224352332</v>
      </c>
      <c r="E248" s="172"/>
      <c r="F248" s="172">
        <f>+GETPIVOTDATA(" New Ast. avg",'Averages Pivot Table'!$A$3,"Category",5,"Category2","Four-Year")</f>
        <v>53958.495616539687</v>
      </c>
      <c r="G248" s="172"/>
      <c r="H248" s="172">
        <f>+GETPIVOTDATA(" New Inst. avg",'Averages Pivot Table'!$A$3,"Category",5,"Category2","Four-Year")</f>
        <v>44676.68949229701</v>
      </c>
      <c r="I248" s="229"/>
      <c r="J248" s="172">
        <f>+GETPIVOTDATA(" New Undesg. avg",'Averages Pivot Table'!$A$3,"Category",5,"Category2","Four-Year")</f>
        <v>44199.5726645631</v>
      </c>
      <c r="K248" s="172"/>
      <c r="L248" s="172">
        <f>+GETPIVOTDATA(" New All Ranks avg",'Averages Pivot Table'!$A$3,"Category",5,"Category2","Four-Year")</f>
        <v>59024.507887206564</v>
      </c>
      <c r="M248" s="232"/>
      <c r="N248" s="176"/>
      <c r="O248" s="224"/>
      <c r="Q248" s="193"/>
      <c r="R248" s="193"/>
      <c r="S248" s="193"/>
    </row>
    <row r="249" spans="1:19" ht="12.95" customHeight="1">
      <c r="A249" s="12"/>
      <c r="B249" s="9"/>
      <c r="C249" s="17"/>
      <c r="D249" s="9"/>
      <c r="E249" s="17"/>
      <c r="F249" s="9"/>
      <c r="G249" s="17"/>
      <c r="H249" s="9"/>
      <c r="I249" s="233"/>
      <c r="J249" s="9"/>
      <c r="K249" s="17"/>
      <c r="L249" s="9"/>
      <c r="M249" s="233"/>
      <c r="N249" s="9"/>
      <c r="O249" s="217"/>
    </row>
    <row r="250" spans="1:19" ht="12.95" customHeight="1">
      <c r="A250" s="12" t="s">
        <v>439</v>
      </c>
      <c r="B250" s="62">
        <f>+GETPIVOTDATA(" New Prof avg",'Averages Pivot Table'!$A$3,"State","AL","Category",5,"Category2","Four-Year")</f>
        <v>69562.213114754093</v>
      </c>
      <c r="C250" s="130">
        <f>IF(B250&gt;0,(RANK(B250,B$250:B$268)),0)</f>
        <v>8</v>
      </c>
      <c r="D250" s="62">
        <f>+GETPIVOTDATA(" New Asc. avg",'Averages Pivot Table'!$A$3,"State","AL","Category",5,"Category2","Four-Year")</f>
        <v>61738.878787878784</v>
      </c>
      <c r="E250" s="130">
        <f>IF(D250&gt;0,(RANK(D250,D$250:D$268)),0)</f>
        <v>5</v>
      </c>
      <c r="F250" s="62">
        <f>+GETPIVOTDATA(" New Ast. avg",'Averages Pivot Table'!$A$3,"State","AL","Category",5,"Category2","Four-Year")</f>
        <v>49430.659793814433</v>
      </c>
      <c r="G250" s="130">
        <f t="shared" ref="G250:G268" si="27">IF(F250&gt;0,(RANK(F250,F$250:F$268)),0)</f>
        <v>9</v>
      </c>
      <c r="H250" s="62">
        <f>+GETPIVOTDATA(" New Inst. avg",'Averages Pivot Table'!$A$3,"State","AL","Category",5,"Category2","Four-Year")</f>
        <v>41600.083333333336</v>
      </c>
      <c r="I250" s="201">
        <f t="shared" ref="I250:I268" si="28">IF(H250&gt;0,(RANK(H250,H$250:H$268)),0)</f>
        <v>9</v>
      </c>
      <c r="J250" s="62">
        <f>+GETPIVOTDATA(" New Undesg. avg",'Averages Pivot Table'!$A$3,"State","AL","Category",5,"Category2","Four-Year")</f>
        <v>29018.075000000001</v>
      </c>
      <c r="K250" s="130">
        <f t="shared" ref="K250:K268" si="29">IF(J250&gt;0,(RANK(J250,J$250:J$268)),0)</f>
        <v>9</v>
      </c>
      <c r="L250" s="62">
        <f>+GETPIVOTDATA(" New All Ranks avg",'Averages Pivot Table'!$A$3,"State","AL","Category",5,"Category2","Four-Year")</f>
        <v>56738.445081967213</v>
      </c>
      <c r="M250" s="201">
        <f t="shared" ref="M250:M268" si="30">IF(L250&gt;0,(RANK(L250,L$250:L$268)),0)</f>
        <v>8</v>
      </c>
      <c r="N250" s="62"/>
      <c r="O250" s="212"/>
    </row>
    <row r="251" spans="1:19" ht="12.95" customHeight="1">
      <c r="A251" s="12" t="s">
        <v>440</v>
      </c>
      <c r="B251" s="62">
        <f>+GETPIVOTDATA(" New Prof avg",'Averages Pivot Table'!$A$3,"State","AR","Category",5,"Category2","Four-Year")</f>
        <v>68170.621239024389</v>
      </c>
      <c r="C251" s="130">
        <f t="shared" ref="C251:E268" si="31">IF(B251&gt;0,(RANK(B251,B$250:B$268)),0)</f>
        <v>10</v>
      </c>
      <c r="D251" s="62">
        <f>+GETPIVOTDATA(" New Asc. avg",'Averages Pivot Table'!$A$3,"State","AR","Category",5,"Category2","Four-Year")</f>
        <v>57447.850941538461</v>
      </c>
      <c r="E251" s="130">
        <f t="shared" si="31"/>
        <v>10</v>
      </c>
      <c r="F251" s="62">
        <f>+GETPIVOTDATA(" New Ast. avg",'Averages Pivot Table'!$A$3,"State","AR","Category",5,"Category2","Four-Year")</f>
        <v>48479.764236363641</v>
      </c>
      <c r="G251" s="130">
        <f t="shared" si="27"/>
        <v>11</v>
      </c>
      <c r="H251" s="62">
        <f>+GETPIVOTDATA(" New Inst. avg",'Averages Pivot Table'!$A$3,"State","AR","Category",5,"Category2","Four-Year")</f>
        <v>40577.33016307692</v>
      </c>
      <c r="I251" s="201">
        <f t="shared" si="28"/>
        <v>10</v>
      </c>
      <c r="J251" s="62">
        <f>+GETPIVOTDATA(" New Undesg. avg",'Averages Pivot Table'!$A$3,"State","AR","Category",5,"Category2","Four-Year")</f>
        <v>36209.531219047625</v>
      </c>
      <c r="K251" s="130">
        <f t="shared" si="29"/>
        <v>8</v>
      </c>
      <c r="L251" s="62">
        <f>+GETPIVOTDATA(" New All Ranks avg",'Averages Pivot Table'!$A$3,"State","AR","Category",5,"Category2","Four-Year")</f>
        <v>49637.593632051277</v>
      </c>
      <c r="M251" s="201">
        <f t="shared" si="30"/>
        <v>10</v>
      </c>
      <c r="N251" s="62"/>
      <c r="O251" s="212"/>
    </row>
    <row r="252" spans="1:19" ht="12.95" customHeight="1">
      <c r="A252" s="12" t="s">
        <v>455</v>
      </c>
      <c r="B252" s="62">
        <f>+GETPIVOTDATA(" New Prof avg",'Averages Pivot Table'!$A$3,"State","DE","Category",5,"Category2","Four-Year")</f>
        <v>0</v>
      </c>
      <c r="C252" s="130">
        <f t="shared" si="31"/>
        <v>0</v>
      </c>
      <c r="D252" s="62">
        <f>+GETPIVOTDATA(" New Asc. avg",'Averages Pivot Table'!$A$3,"State","DE","Category",5,"Category2","Four-Year")</f>
        <v>0</v>
      </c>
      <c r="E252" s="130">
        <f t="shared" si="31"/>
        <v>0</v>
      </c>
      <c r="F252" s="62">
        <f>+GETPIVOTDATA(" New Ast. avg",'Averages Pivot Table'!$A$3,"State","DE","Category",5,"Category2","Four-Year")</f>
        <v>0</v>
      </c>
      <c r="G252" s="130">
        <f t="shared" si="27"/>
        <v>0</v>
      </c>
      <c r="H252" s="62">
        <f>+GETPIVOTDATA(" New Inst. avg",'Averages Pivot Table'!$A$3,"State","DE","Category",5,"Category2","Four-Year")</f>
        <v>0</v>
      </c>
      <c r="I252" s="201">
        <f t="shared" si="28"/>
        <v>0</v>
      </c>
      <c r="J252" s="62">
        <f>+GETPIVOTDATA(" New Undesg. avg",'Averages Pivot Table'!$A$3,"State","DE","Category",5,"Category2","Four-Year")</f>
        <v>0</v>
      </c>
      <c r="K252" s="130">
        <f t="shared" si="29"/>
        <v>0</v>
      </c>
      <c r="L252" s="62">
        <f>+GETPIVOTDATA(" New All Ranks avg",'Averages Pivot Table'!$A$3,"State","DE","Category",5,"Category2","Four-Year")</f>
        <v>0</v>
      </c>
      <c r="M252" s="201">
        <f t="shared" si="30"/>
        <v>0</v>
      </c>
      <c r="N252" s="62"/>
      <c r="O252" s="212"/>
    </row>
    <row r="253" spans="1:19" ht="12.95" customHeight="1">
      <c r="A253" s="12" t="s">
        <v>441</v>
      </c>
      <c r="B253" s="62">
        <f>+GETPIVOTDATA(" New Prof avg",'Averages Pivot Table'!$A$3,"State","FL","Category",5,"Category2","Four-Year")</f>
        <v>0</v>
      </c>
      <c r="C253" s="130">
        <f t="shared" si="31"/>
        <v>0</v>
      </c>
      <c r="D253" s="62">
        <f>+GETPIVOTDATA(" New Asc. avg",'Averages Pivot Table'!$A$3,"State","FL","Category",5,"Category2","Four-Year")</f>
        <v>0</v>
      </c>
      <c r="E253" s="130">
        <f t="shared" si="31"/>
        <v>0</v>
      </c>
      <c r="F253" s="62">
        <f>+GETPIVOTDATA(" New Ast. avg",'Averages Pivot Table'!$A$3,"State","FL","Category",5,"Category2","Four-Year")</f>
        <v>0</v>
      </c>
      <c r="G253" s="130">
        <f t="shared" si="27"/>
        <v>0</v>
      </c>
      <c r="H253" s="62">
        <f>+GETPIVOTDATA(" New Inst. avg",'Averages Pivot Table'!$A$3,"State","FL","Category",5,"Category2","Four-Year")</f>
        <v>0</v>
      </c>
      <c r="I253" s="201">
        <f t="shared" si="28"/>
        <v>0</v>
      </c>
      <c r="J253" s="62">
        <f>+GETPIVOTDATA(" New Undesg. avg",'Averages Pivot Table'!$A$3,"State","FL","Category",5,"Category2","Four-Year")</f>
        <v>0</v>
      </c>
      <c r="K253" s="130">
        <f t="shared" si="29"/>
        <v>0</v>
      </c>
      <c r="L253" s="62">
        <f>+GETPIVOTDATA(" New All Ranks avg",'Averages Pivot Table'!$A$3,"State","FL","Category",5,"Category2","Four-Year")</f>
        <v>0</v>
      </c>
      <c r="M253" s="201">
        <f t="shared" si="30"/>
        <v>0</v>
      </c>
      <c r="N253" s="62"/>
      <c r="O253" s="212"/>
    </row>
    <row r="254" spans="1:19" ht="12.95" customHeight="1">
      <c r="A254" s="12"/>
      <c r="B254" s="62"/>
      <c r="C254" s="130">
        <f t="shared" si="31"/>
        <v>0</v>
      </c>
      <c r="D254" s="62"/>
      <c r="E254" s="130">
        <f t="shared" si="31"/>
        <v>0</v>
      </c>
      <c r="F254" s="62"/>
      <c r="G254" s="130">
        <f t="shared" si="27"/>
        <v>0</v>
      </c>
      <c r="H254" s="62"/>
      <c r="I254" s="201">
        <f t="shared" si="28"/>
        <v>0</v>
      </c>
      <c r="J254" s="62"/>
      <c r="K254" s="130">
        <f t="shared" si="29"/>
        <v>0</v>
      </c>
      <c r="L254" s="62"/>
      <c r="M254" s="201">
        <f t="shared" si="30"/>
        <v>0</v>
      </c>
      <c r="N254" s="62"/>
      <c r="O254" s="212"/>
    </row>
    <row r="255" spans="1:19" ht="12.95" customHeight="1">
      <c r="A255" s="12" t="s">
        <v>442</v>
      </c>
      <c r="B255" s="62">
        <f>+GETPIVOTDATA(" New Prof avg",'Averages Pivot Table'!$A$3,"State","GA","Category",5,"Category2","Four-Year")</f>
        <v>74867.077662808064</v>
      </c>
      <c r="C255" s="130">
        <f t="shared" si="31"/>
        <v>5</v>
      </c>
      <c r="D255" s="62">
        <f>+GETPIVOTDATA(" New Asc. avg",'Averages Pivot Table'!$A$3,"State","GA","Category",5,"Category2","Four-Year")</f>
        <v>60205.362119402984</v>
      </c>
      <c r="E255" s="130">
        <f t="shared" si="31"/>
        <v>7</v>
      </c>
      <c r="F255" s="62">
        <f>+GETPIVOTDATA(" New Ast. avg",'Averages Pivot Table'!$A$3,"State","GA","Category",5,"Category2","Four-Year")</f>
        <v>52397.356902140666</v>
      </c>
      <c r="G255" s="130">
        <f t="shared" si="27"/>
        <v>6</v>
      </c>
      <c r="H255" s="62">
        <f>+GETPIVOTDATA(" New Inst. avg",'Averages Pivot Table'!$A$3,"State","GA","Category",5,"Category2","Four-Year")</f>
        <v>42350.0769</v>
      </c>
      <c r="I255" s="201">
        <f t="shared" si="28"/>
        <v>7</v>
      </c>
      <c r="J255" s="62">
        <f>+GETPIVOTDATA(" New Undesg. avg",'Averages Pivot Table'!$A$3,"State","GA","Category",5,"Category2","Four-Year")</f>
        <v>42471.754081632658</v>
      </c>
      <c r="K255" s="130">
        <f t="shared" si="29"/>
        <v>5</v>
      </c>
      <c r="L255" s="62">
        <f>+GETPIVOTDATA(" New All Ranks avg",'Averages Pivot Table'!$A$3,"State","GA","Category",5,"Category2","Four-Year")</f>
        <v>57331.743067307099</v>
      </c>
      <c r="M255" s="201">
        <f t="shared" si="30"/>
        <v>7</v>
      </c>
      <c r="N255" s="62"/>
      <c r="O255" s="212"/>
    </row>
    <row r="256" spans="1:19" ht="12.95" customHeight="1">
      <c r="A256" s="12" t="s">
        <v>443</v>
      </c>
      <c r="B256" s="62">
        <f>+GETPIVOTDATA(" New Prof avg",'Averages Pivot Table'!$A$3,"State","KY","Category",5,"Category2","Four-Year")</f>
        <v>0</v>
      </c>
      <c r="C256" s="130">
        <f t="shared" si="31"/>
        <v>0</v>
      </c>
      <c r="D256" s="62">
        <f>+GETPIVOTDATA(" New Asc. avg",'Averages Pivot Table'!$A$3,"State","KY","Category",5,"Category2","Four-Year")</f>
        <v>0</v>
      </c>
      <c r="E256" s="130">
        <f t="shared" si="31"/>
        <v>0</v>
      </c>
      <c r="F256" s="62">
        <f>+GETPIVOTDATA(" New Ast. avg",'Averages Pivot Table'!$A$3,"State","KY","Category",5,"Category2","Four-Year")</f>
        <v>0</v>
      </c>
      <c r="G256" s="130">
        <f t="shared" si="27"/>
        <v>0</v>
      </c>
      <c r="H256" s="62">
        <f>+GETPIVOTDATA(" New Inst. avg",'Averages Pivot Table'!$A$3,"State","KY","Category",5,"Category2","Four-Year")</f>
        <v>0</v>
      </c>
      <c r="I256" s="201">
        <f t="shared" si="28"/>
        <v>0</v>
      </c>
      <c r="J256" s="62">
        <f>+GETPIVOTDATA(" New Undesg. avg",'Averages Pivot Table'!$A$3,"State","KY","Category",5,"Category2","Four-Year")</f>
        <v>0</v>
      </c>
      <c r="K256" s="130">
        <f t="shared" si="29"/>
        <v>0</v>
      </c>
      <c r="L256" s="62">
        <f>+GETPIVOTDATA(" New All Ranks avg",'Averages Pivot Table'!$A$3,"State","KY","Category",5,"Category2","Four-Year")</f>
        <v>0</v>
      </c>
      <c r="M256" s="201">
        <f t="shared" si="30"/>
        <v>0</v>
      </c>
      <c r="N256" s="62"/>
      <c r="O256" s="212"/>
    </row>
    <row r="257" spans="1:15" ht="12.95" customHeight="1">
      <c r="A257" s="12" t="s">
        <v>444</v>
      </c>
      <c r="B257" s="62">
        <f>+GETPIVOTDATA(" New Prof avg",'Averages Pivot Table'!$A$3,"State","LA","Category",5,"Category2","Four-Year")</f>
        <v>0</v>
      </c>
      <c r="C257" s="130">
        <f t="shared" si="31"/>
        <v>0</v>
      </c>
      <c r="D257" s="62">
        <f>+GETPIVOTDATA(" New Asc. avg",'Averages Pivot Table'!$A$3,"State","LA","Category",5,"Category2","Four-Year")</f>
        <v>0</v>
      </c>
      <c r="E257" s="130">
        <f t="shared" si="31"/>
        <v>0</v>
      </c>
      <c r="F257" s="62">
        <f>+GETPIVOTDATA(" New Ast. avg",'Averages Pivot Table'!$A$3,"State","LA","Category",5,"Category2","Four-Year")</f>
        <v>0</v>
      </c>
      <c r="G257" s="130">
        <f t="shared" si="27"/>
        <v>0</v>
      </c>
      <c r="H257" s="62">
        <f>+GETPIVOTDATA(" New Inst. avg",'Averages Pivot Table'!$A$3,"State","LA","Category",5,"Category2","Four-Year")</f>
        <v>0</v>
      </c>
      <c r="I257" s="201">
        <f t="shared" si="28"/>
        <v>0</v>
      </c>
      <c r="J257" s="62">
        <f>+GETPIVOTDATA(" New Undesg. avg",'Averages Pivot Table'!$A$3,"State","LA","Category",5,"Category2","Four-Year")</f>
        <v>0</v>
      </c>
      <c r="K257" s="130">
        <f t="shared" si="29"/>
        <v>0</v>
      </c>
      <c r="L257" s="62">
        <f>+GETPIVOTDATA(" New All Ranks avg",'Averages Pivot Table'!$A$3,"State","LA","Category",5,"Category2","Four-Year")</f>
        <v>0</v>
      </c>
      <c r="M257" s="201">
        <f t="shared" si="30"/>
        <v>0</v>
      </c>
      <c r="N257" s="62"/>
      <c r="O257" s="212"/>
    </row>
    <row r="258" spans="1:15" ht="12.95" customHeight="1">
      <c r="A258" s="12" t="s">
        <v>445</v>
      </c>
      <c r="B258" s="62">
        <f>+GETPIVOTDATA(" New Prof avg",'Averages Pivot Table'!$A$3,"State","MD","Category",5,"Category2","Four-Year")</f>
        <v>0</v>
      </c>
      <c r="C258" s="130">
        <f t="shared" si="31"/>
        <v>0</v>
      </c>
      <c r="D258" s="62">
        <f>+GETPIVOTDATA(" New Asc. avg",'Averages Pivot Table'!$A$3,"State","MD","Category",5,"Category2","Four-Year")</f>
        <v>0</v>
      </c>
      <c r="E258" s="130">
        <f t="shared" si="31"/>
        <v>0</v>
      </c>
      <c r="F258" s="62">
        <f>+GETPIVOTDATA(" New Ast. avg",'Averages Pivot Table'!$A$3,"State","MD","Category",5,"Category2","Four-Year")</f>
        <v>0</v>
      </c>
      <c r="G258" s="130">
        <f t="shared" si="27"/>
        <v>0</v>
      </c>
      <c r="H258" s="62">
        <f>+GETPIVOTDATA(" New Inst. avg",'Averages Pivot Table'!$A$3,"State","MD","Category",5,"Category2","Four-Year")</f>
        <v>0</v>
      </c>
      <c r="I258" s="201">
        <f t="shared" si="28"/>
        <v>0</v>
      </c>
      <c r="J258" s="62">
        <f>+GETPIVOTDATA(" New Undesg. avg",'Averages Pivot Table'!$A$3,"State","MD","Category",5,"Category2","Four-Year")</f>
        <v>0</v>
      </c>
      <c r="K258" s="130">
        <f t="shared" si="29"/>
        <v>0</v>
      </c>
      <c r="L258" s="62">
        <f>+GETPIVOTDATA(" New All Ranks avg",'Averages Pivot Table'!$A$3,"State","MD","Category",5,"Category2","Four-Year")</f>
        <v>0</v>
      </c>
      <c r="M258" s="201">
        <f t="shared" si="30"/>
        <v>0</v>
      </c>
      <c r="N258" s="62"/>
      <c r="O258" s="212"/>
    </row>
    <row r="259" spans="1:15" ht="12.95" customHeight="1">
      <c r="A259" s="12"/>
      <c r="B259" s="62"/>
      <c r="C259" s="130">
        <f t="shared" si="31"/>
        <v>0</v>
      </c>
      <c r="D259" s="62"/>
      <c r="E259" s="130">
        <f t="shared" si="31"/>
        <v>0</v>
      </c>
      <c r="F259" s="62"/>
      <c r="G259" s="130">
        <f t="shared" si="27"/>
        <v>0</v>
      </c>
      <c r="H259" s="62"/>
      <c r="I259" s="201">
        <f t="shared" si="28"/>
        <v>0</v>
      </c>
      <c r="J259" s="62"/>
      <c r="K259" s="130">
        <f t="shared" si="29"/>
        <v>0</v>
      </c>
      <c r="L259" s="62"/>
      <c r="M259" s="201">
        <f t="shared" si="30"/>
        <v>0</v>
      </c>
      <c r="N259" s="62"/>
      <c r="O259" s="212"/>
    </row>
    <row r="260" spans="1:15" ht="12.95" customHeight="1">
      <c r="A260" s="12" t="s">
        <v>446</v>
      </c>
      <c r="B260" s="62">
        <f>+GETPIVOTDATA(" New Prof avg",'Averages Pivot Table'!$A$3,"State","MS","Category",5,"Category2","Four-Year")</f>
        <v>55384.145413481485</v>
      </c>
      <c r="C260" s="130">
        <f t="shared" si="31"/>
        <v>11</v>
      </c>
      <c r="D260" s="62">
        <f>+GETPIVOTDATA(" New Asc. avg",'Averages Pivot Table'!$A$3,"State","MS","Category",5,"Category2","Four-Year")</f>
        <v>47080.092409999997</v>
      </c>
      <c r="E260" s="130">
        <f t="shared" si="31"/>
        <v>11</v>
      </c>
      <c r="F260" s="62">
        <f>+GETPIVOTDATA(" New Ast. avg",'Averages Pivot Table'!$A$3,"State","MS","Category",5,"Category2","Four-Year")</f>
        <v>48784.310935823531</v>
      </c>
      <c r="G260" s="130">
        <f t="shared" si="27"/>
        <v>10</v>
      </c>
      <c r="H260" s="62">
        <f>+GETPIVOTDATA(" New Inst. avg",'Averages Pivot Table'!$A$3,"State","MS","Category",5,"Category2","Four-Year")</f>
        <v>47372.234872367349</v>
      </c>
      <c r="I260" s="201">
        <f t="shared" si="28"/>
        <v>4</v>
      </c>
      <c r="J260" s="62">
        <f>+GETPIVOTDATA(" New Undesg. avg",'Averages Pivot Table'!$A$3,"State","MS","Category",5,"Category2","Four-Year")</f>
        <v>0</v>
      </c>
      <c r="K260" s="130">
        <f t="shared" si="29"/>
        <v>0</v>
      </c>
      <c r="L260" s="62">
        <f>+GETPIVOTDATA(" New All Ranks avg",'Averages Pivot Table'!$A$3,"State","MS","Category",5,"Category2","Four-Year")</f>
        <v>49360.614268676931</v>
      </c>
      <c r="M260" s="201">
        <f t="shared" si="30"/>
        <v>11</v>
      </c>
      <c r="N260" s="62"/>
      <c r="O260" s="212"/>
    </row>
    <row r="261" spans="1:15" ht="12.95" customHeight="1">
      <c r="A261" s="12" t="s">
        <v>447</v>
      </c>
      <c r="B261" s="62">
        <f>+GETPIVOTDATA(" New Prof avg",'Averages Pivot Table'!$A$3,"State","NC","Category",5,"Category2","Four-Year")</f>
        <v>86738.679415999999</v>
      </c>
      <c r="C261" s="130">
        <f t="shared" si="31"/>
        <v>2</v>
      </c>
      <c r="D261" s="62">
        <f>+GETPIVOTDATA(" New Asc. avg",'Averages Pivot Table'!$A$3,"State","NC","Category",5,"Category2","Four-Year")</f>
        <v>71087.038529479774</v>
      </c>
      <c r="E261" s="130">
        <f t="shared" si="31"/>
        <v>1</v>
      </c>
      <c r="F261" s="62">
        <f>+GETPIVOTDATA(" New Ast. avg",'Averages Pivot Table'!$A$3,"State","NC","Category",5,"Category2","Four-Year")</f>
        <v>62524.84281788618</v>
      </c>
      <c r="G261" s="130">
        <f t="shared" si="27"/>
        <v>1</v>
      </c>
      <c r="H261" s="62">
        <f>+GETPIVOTDATA(" New Inst. avg",'Averages Pivot Table'!$A$3,"State","NC","Category",5,"Category2","Four-Year")</f>
        <v>56656.081041666672</v>
      </c>
      <c r="I261" s="201">
        <f t="shared" si="28"/>
        <v>2</v>
      </c>
      <c r="J261" s="62">
        <f>+GETPIVOTDATA(" New Undesg. avg",'Averages Pivot Table'!$A$3,"State","NC","Category",5,"Category2","Four-Year")</f>
        <v>49658.049455238099</v>
      </c>
      <c r="K261" s="130">
        <f t="shared" si="29"/>
        <v>1</v>
      </c>
      <c r="L261" s="62">
        <f>+GETPIVOTDATA(" New All Ranks avg",'Averages Pivot Table'!$A$3,"State","NC","Category",5,"Category2","Four-Year")</f>
        <v>65902.714320238098</v>
      </c>
      <c r="M261" s="201">
        <f t="shared" si="30"/>
        <v>2</v>
      </c>
      <c r="N261" s="62"/>
      <c r="O261" s="212"/>
    </row>
    <row r="262" spans="1:15" ht="12.95" customHeight="1">
      <c r="A262" s="12" t="s">
        <v>448</v>
      </c>
      <c r="B262" s="62">
        <f>+GETPIVOTDATA(" New Prof avg",'Averages Pivot Table'!$A$3,"State","OK","Category",5,"Category2","Four-Year")</f>
        <v>69194.258745177664</v>
      </c>
      <c r="C262" s="130">
        <f t="shared" si="31"/>
        <v>9</v>
      </c>
      <c r="D262" s="62">
        <f>+GETPIVOTDATA(" New Asc. avg",'Averages Pivot Table'!$A$3,"State","OK","Category",5,"Category2","Four-Year")</f>
        <v>59061.930140740733</v>
      </c>
      <c r="E262" s="130">
        <f t="shared" si="31"/>
        <v>8</v>
      </c>
      <c r="F262" s="62">
        <f>+GETPIVOTDATA(" New Ast. avg",'Averages Pivot Table'!$A$3,"State","OK","Category",5,"Category2","Four-Year")</f>
        <v>49900.183833333329</v>
      </c>
      <c r="G262" s="130">
        <f t="shared" si="27"/>
        <v>8</v>
      </c>
      <c r="H262" s="62">
        <f>+GETPIVOTDATA(" New Inst. avg",'Averages Pivot Table'!$A$3,"State","OK","Category",5,"Category2","Four-Year")</f>
        <v>42220.207280000002</v>
      </c>
      <c r="I262" s="201">
        <f t="shared" si="28"/>
        <v>8</v>
      </c>
      <c r="J262" s="62">
        <f>+GETPIVOTDATA(" New Undesg. avg",'Averages Pivot Table'!$A$3,"State","OK","Category",5,"Category2","Four-Year")</f>
        <v>0</v>
      </c>
      <c r="K262" s="130">
        <f t="shared" si="29"/>
        <v>0</v>
      </c>
      <c r="L262" s="62">
        <f>+GETPIVOTDATA(" New All Ranks avg",'Averages Pivot Table'!$A$3,"State","OK","Category",5,"Category2","Four-Year")</f>
        <v>53598.031679351348</v>
      </c>
      <c r="M262" s="201">
        <f t="shared" si="30"/>
        <v>9</v>
      </c>
      <c r="N262" s="62"/>
      <c r="O262" s="212"/>
    </row>
    <row r="263" spans="1:15" ht="12.95" customHeight="1">
      <c r="A263" s="12" t="s">
        <v>449</v>
      </c>
      <c r="B263" s="62">
        <f>+GETPIVOTDATA(" New Prof avg",'Averages Pivot Table'!$A$3,"State","SC","Category",5,"Category2","Four-Year")</f>
        <v>77252.415317575753</v>
      </c>
      <c r="C263" s="130">
        <f t="shared" si="31"/>
        <v>4</v>
      </c>
      <c r="D263" s="62">
        <f>+GETPIVOTDATA(" New Asc. avg",'Averages Pivot Table'!$A$3,"State","SC","Category",5,"Category2","Four-Year")</f>
        <v>64847.727862983425</v>
      </c>
      <c r="E263" s="130">
        <f t="shared" si="31"/>
        <v>4</v>
      </c>
      <c r="F263" s="62">
        <f>+GETPIVOTDATA(" New Ast. avg",'Averages Pivot Table'!$A$3,"State","SC","Category",5,"Category2","Four-Year")</f>
        <v>55813.019887632508</v>
      </c>
      <c r="G263" s="130">
        <f t="shared" si="27"/>
        <v>3</v>
      </c>
      <c r="H263" s="62">
        <f>+GETPIVOTDATA(" New Inst. avg",'Averages Pivot Table'!$A$3,"State","SC","Category",5,"Category2","Four-Year")</f>
        <v>45426.593761290322</v>
      </c>
      <c r="I263" s="201">
        <f t="shared" si="28"/>
        <v>5</v>
      </c>
      <c r="J263" s="62">
        <f>+GETPIVOTDATA(" New Undesg. avg",'Averages Pivot Table'!$A$3,"State","SC","Category",5,"Category2","Four-Year")</f>
        <v>40290.588926027398</v>
      </c>
      <c r="K263" s="130">
        <f t="shared" si="29"/>
        <v>7</v>
      </c>
      <c r="L263" s="62">
        <f>+GETPIVOTDATA(" New All Ranks avg",'Averages Pivot Table'!$A$3,"State","SC","Category",5,"Category2","Four-Year")</f>
        <v>60257.635737696328</v>
      </c>
      <c r="M263" s="201">
        <f t="shared" si="30"/>
        <v>4</v>
      </c>
      <c r="N263" s="62"/>
      <c r="O263" s="212"/>
    </row>
    <row r="264" spans="1:15" ht="12.95" customHeight="1">
      <c r="A264" s="12"/>
      <c r="B264" s="62"/>
      <c r="C264" s="130">
        <f t="shared" si="31"/>
        <v>0</v>
      </c>
      <c r="D264" s="62"/>
      <c r="E264" s="130">
        <f t="shared" si="31"/>
        <v>0</v>
      </c>
      <c r="F264" s="62"/>
      <c r="G264" s="130">
        <f t="shared" si="27"/>
        <v>0</v>
      </c>
      <c r="H264" s="62"/>
      <c r="I264" s="201">
        <f t="shared" si="28"/>
        <v>0</v>
      </c>
      <c r="J264" s="62"/>
      <c r="K264" s="130">
        <f t="shared" si="29"/>
        <v>0</v>
      </c>
      <c r="L264" s="62"/>
      <c r="M264" s="201">
        <f t="shared" si="30"/>
        <v>0</v>
      </c>
      <c r="N264" s="62"/>
      <c r="O264" s="212"/>
    </row>
    <row r="265" spans="1:15" ht="12.95" customHeight="1">
      <c r="A265" s="12" t="s">
        <v>450</v>
      </c>
      <c r="B265" s="129">
        <f>+GETPIVOTDATA(" New Prof avg",'Averages Pivot Table'!$A$3,"State","TN","Category",5,"Category2","Four-Year")</f>
        <v>73505.332748717949</v>
      </c>
      <c r="C265" s="130">
        <f t="shared" si="31"/>
        <v>7</v>
      </c>
      <c r="D265" s="129">
        <f>+GETPIVOTDATA(" New Asc. avg",'Averages Pivot Table'!$A$3,"State","TN","Category",5,"Category2","Four-Year")</f>
        <v>58922.013140350871</v>
      </c>
      <c r="E265" s="130">
        <f t="shared" si="31"/>
        <v>9</v>
      </c>
      <c r="F265" s="129">
        <f>+GETPIVOTDATA(" New Ast. avg",'Averages Pivot Table'!$A$3,"State","TN","Category",5,"Category2","Four-Year")</f>
        <v>52983.439246913578</v>
      </c>
      <c r="G265" s="130">
        <f t="shared" si="27"/>
        <v>5</v>
      </c>
      <c r="H265" s="129">
        <f>+GETPIVOTDATA(" New Inst. avg",'Averages Pivot Table'!$A$3,"State","TN","Category",5,"Category2","Four-Year")</f>
        <v>45031.194176470584</v>
      </c>
      <c r="I265" s="201">
        <f t="shared" si="28"/>
        <v>6</v>
      </c>
      <c r="J265" s="129">
        <f>+GETPIVOTDATA(" New Undesg. avg",'Averages Pivot Table'!$A$3,"State","TN","Category",5,"Category2","Four-Year")</f>
        <v>42352.555555555555</v>
      </c>
      <c r="K265" s="130">
        <f t="shared" si="29"/>
        <v>6</v>
      </c>
      <c r="L265" s="129">
        <f>+GETPIVOTDATA(" New All Ranks avg",'Averages Pivot Table'!$A$3,"State","TN","Category",5,"Category2","Four-Year")</f>
        <v>57751.886990647479</v>
      </c>
      <c r="M265" s="201">
        <f t="shared" si="30"/>
        <v>6</v>
      </c>
      <c r="N265" s="62"/>
      <c r="O265" s="212"/>
    </row>
    <row r="266" spans="1:15" ht="12.95" customHeight="1">
      <c r="A266" s="12" t="s">
        <v>451</v>
      </c>
      <c r="B266" s="129">
        <f>+GETPIVOTDATA(" New Prof avg",'Averages Pivot Table'!$A$3,"State","TX","Category",5,"Category2","Four-Year")</f>
        <v>89027.798342857146</v>
      </c>
      <c r="C266" s="130">
        <f t="shared" si="31"/>
        <v>1</v>
      </c>
      <c r="D266" s="129">
        <f>+GETPIVOTDATA(" New Asc. avg",'Averages Pivot Table'!$A$3,"State","TX","Category",5,"Category2","Four-Year")</f>
        <v>70642.922453191495</v>
      </c>
      <c r="E266" s="130">
        <f t="shared" si="31"/>
        <v>2</v>
      </c>
      <c r="F266" s="129">
        <f>+GETPIVOTDATA(" New Ast. avg",'Averages Pivot Table'!$A$3,"State","TX","Category",5,"Category2","Four-Year")</f>
        <v>57375.247422680412</v>
      </c>
      <c r="G266" s="130">
        <f t="shared" si="27"/>
        <v>2</v>
      </c>
      <c r="H266" s="129">
        <f>+GETPIVOTDATA(" New Inst. avg",'Averages Pivot Table'!$A$3,"State","TX","Category",5,"Category2","Four-Year")</f>
        <v>63118.142857142855</v>
      </c>
      <c r="I266" s="201">
        <f t="shared" si="28"/>
        <v>1</v>
      </c>
      <c r="J266" s="129">
        <f>+GETPIVOTDATA(" New Undesg. avg",'Averages Pivot Table'!$A$3,"State","TX","Category",5,"Category2","Four-Year")</f>
        <v>48038.978165714281</v>
      </c>
      <c r="K266" s="130">
        <f t="shared" si="29"/>
        <v>3</v>
      </c>
      <c r="L266" s="129">
        <f>+GETPIVOTDATA(" New All Ranks avg",'Averages Pivot Table'!$A$3,"State","TX","Category",5,"Category2","Four-Year")</f>
        <v>66023.013969759457</v>
      </c>
      <c r="M266" s="201">
        <f t="shared" si="30"/>
        <v>1</v>
      </c>
      <c r="N266" s="62"/>
      <c r="O266" s="212"/>
    </row>
    <row r="267" spans="1:15" ht="12.95" customHeight="1">
      <c r="A267" s="12" t="s">
        <v>452</v>
      </c>
      <c r="B267" s="129">
        <f>+GETPIVOTDATA(" New Prof avg",'Averages Pivot Table'!$A$3,"State","VA","Category",5,"Category2","Four-Year")</f>
        <v>84582.84585185186</v>
      </c>
      <c r="C267" s="130">
        <f t="shared" si="31"/>
        <v>3</v>
      </c>
      <c r="D267" s="129">
        <f>+GETPIVOTDATA(" New Asc. avg",'Averages Pivot Table'!$A$3,"State","VA","Category",5,"Category2","Four-Year")</f>
        <v>66362.585065789477</v>
      </c>
      <c r="E267" s="130">
        <f t="shared" si="31"/>
        <v>3</v>
      </c>
      <c r="F267" s="129">
        <f>+GETPIVOTDATA(" New Ast. avg",'Averages Pivot Table'!$A$3,"State","VA","Category",5,"Category2","Four-Year")</f>
        <v>54787.940816326533</v>
      </c>
      <c r="G267" s="130">
        <f t="shared" si="27"/>
        <v>4</v>
      </c>
      <c r="H267" s="129">
        <f>+GETPIVOTDATA(" New Inst. avg",'Averages Pivot Table'!$A$3,"State","VA","Category",5,"Category2","Four-Year")</f>
        <v>50665.326777142858</v>
      </c>
      <c r="I267" s="201">
        <f t="shared" si="28"/>
        <v>3</v>
      </c>
      <c r="J267" s="129">
        <f>+GETPIVOTDATA(" New Undesg. avg",'Averages Pivot Table'!$A$3,"State","VA","Category",5,"Category2","Four-Year")</f>
        <v>47820.756097560974</v>
      </c>
      <c r="K267" s="130">
        <f t="shared" si="29"/>
        <v>4</v>
      </c>
      <c r="L267" s="129">
        <f>+GETPIVOTDATA(" New All Ranks avg",'Averages Pivot Table'!$A$3,"State","VA","Category",5,"Category2","Four-Year")</f>
        <v>64675.395548637011</v>
      </c>
      <c r="M267" s="201">
        <f t="shared" si="30"/>
        <v>3</v>
      </c>
      <c r="N267" s="62"/>
      <c r="O267" s="209"/>
    </row>
    <row r="268" spans="1:15" ht="12.95" customHeight="1">
      <c r="A268" s="11" t="s">
        <v>453</v>
      </c>
      <c r="B268" s="64">
        <f>+GETPIVOTDATA(" New Prof avg",'Averages Pivot Table'!$A$3,"State","WV","Category",5,"Category2","Four-Year")</f>
        <v>74065.436278481007</v>
      </c>
      <c r="C268" s="65">
        <f t="shared" si="31"/>
        <v>6</v>
      </c>
      <c r="D268" s="64">
        <f>+GETPIVOTDATA(" New Asc. avg",'Averages Pivot Table'!$A$3,"State","WV","Category",5,"Category2","Four-Year")</f>
        <v>61039.467475324673</v>
      </c>
      <c r="E268" s="65">
        <f t="shared" si="31"/>
        <v>6</v>
      </c>
      <c r="F268" s="64">
        <f>+GETPIVOTDATA(" New Ast. avg",'Averages Pivot Table'!$A$3,"State","WV","Category",5,"Category2","Four-Year")</f>
        <v>50970.486221359221</v>
      </c>
      <c r="G268" s="65">
        <f t="shared" si="27"/>
        <v>7</v>
      </c>
      <c r="H268" s="64">
        <f>+GETPIVOTDATA(" New Inst. avg",'Averages Pivot Table'!$A$3,"State","WV","Category",5,"Category2","Four-Year")</f>
        <v>40425.764719999999</v>
      </c>
      <c r="I268" s="202">
        <f t="shared" si="28"/>
        <v>11</v>
      </c>
      <c r="J268" s="64">
        <f>+GETPIVOTDATA(" New Undesg. avg",'Averages Pivot Table'!$A$3,"State","WV","Category",5,"Category2","Four-Year")</f>
        <v>48069.618314285712</v>
      </c>
      <c r="K268" s="65">
        <f t="shared" si="29"/>
        <v>2</v>
      </c>
      <c r="L268" s="64">
        <f>+GETPIVOTDATA(" New All Ranks avg",'Averages Pivot Table'!$A$3,"State","WV","Category",5,"Category2","Four-Year")</f>
        <v>59307.394686111104</v>
      </c>
      <c r="M268" s="202">
        <f t="shared" si="30"/>
        <v>5</v>
      </c>
      <c r="N268" s="62"/>
      <c r="O268" s="209"/>
    </row>
    <row r="269" spans="1:15" ht="30" customHeight="1">
      <c r="A269" s="622" t="s">
        <v>323</v>
      </c>
      <c r="B269" s="623"/>
      <c r="C269" s="623"/>
      <c r="D269" s="623"/>
      <c r="E269" s="623"/>
      <c r="F269" s="623"/>
      <c r="G269" s="623"/>
      <c r="H269" s="623"/>
      <c r="I269" s="623"/>
      <c r="J269" s="623"/>
      <c r="K269" s="623"/>
      <c r="L269" s="623"/>
      <c r="M269" s="623"/>
      <c r="N269" s="12"/>
      <c r="O269" s="215"/>
    </row>
    <row r="270" spans="1:15">
      <c r="M270" s="244" t="s">
        <v>1166</v>
      </c>
      <c r="O270" s="214"/>
    </row>
    <row r="271" spans="1:15" ht="18">
      <c r="A271" s="618" t="s">
        <v>785</v>
      </c>
      <c r="B271" s="618"/>
      <c r="C271" s="618"/>
      <c r="D271" s="618"/>
      <c r="E271" s="618"/>
      <c r="F271" s="618"/>
      <c r="G271" s="618"/>
      <c r="H271" s="618"/>
      <c r="I271" s="618"/>
      <c r="J271" s="618"/>
      <c r="K271" s="618"/>
      <c r="L271" s="618"/>
      <c r="M271" s="618"/>
      <c r="N271" s="167"/>
      <c r="O271" s="166"/>
    </row>
    <row r="272" spans="1:15">
      <c r="A272" s="23"/>
      <c r="B272" s="5"/>
      <c r="C272" s="5"/>
      <c r="D272" s="5"/>
      <c r="E272" s="5"/>
      <c r="F272" s="5"/>
      <c r="G272" s="5"/>
      <c r="H272" s="5"/>
      <c r="I272" s="159"/>
      <c r="J272" s="5"/>
      <c r="K272" s="5"/>
      <c r="L272" s="5"/>
      <c r="M272" s="159"/>
      <c r="N272" s="5"/>
      <c r="O272" s="159"/>
    </row>
    <row r="273" spans="1:19">
      <c r="A273" s="619" t="s">
        <v>454</v>
      </c>
      <c r="B273" s="619"/>
      <c r="C273" s="619"/>
      <c r="D273" s="619"/>
      <c r="E273" s="619"/>
      <c r="F273" s="619"/>
      <c r="G273" s="619"/>
      <c r="H273" s="619"/>
      <c r="I273" s="619"/>
      <c r="J273" s="619"/>
      <c r="K273" s="619"/>
      <c r="L273" s="619"/>
      <c r="M273" s="619"/>
      <c r="N273" s="177"/>
      <c r="O273" s="211"/>
    </row>
    <row r="274" spans="1:19">
      <c r="A274" s="619" t="s">
        <v>1154</v>
      </c>
      <c r="B274" s="619"/>
      <c r="C274" s="619"/>
      <c r="D274" s="619"/>
      <c r="E274" s="619"/>
      <c r="F274" s="619"/>
      <c r="G274" s="619"/>
      <c r="H274" s="619"/>
      <c r="I274" s="619"/>
      <c r="J274" s="619"/>
      <c r="K274" s="619"/>
      <c r="L274" s="619"/>
      <c r="M274" s="619"/>
      <c r="N274" s="177"/>
      <c r="O274" s="211"/>
    </row>
    <row r="275" spans="1:19">
      <c r="A275" s="12"/>
      <c r="B275" s="12"/>
      <c r="C275" s="12"/>
      <c r="D275" s="12"/>
      <c r="E275" s="12"/>
      <c r="F275" s="12"/>
      <c r="G275" s="12"/>
      <c r="H275" s="12"/>
      <c r="I275" s="215"/>
      <c r="J275" s="12"/>
      <c r="K275" s="12"/>
      <c r="L275" s="12"/>
      <c r="M275" s="215"/>
      <c r="N275" s="12"/>
      <c r="O275" s="215"/>
    </row>
    <row r="276" spans="1:19" ht="36" customHeight="1">
      <c r="A276" s="15"/>
      <c r="B276" s="21" t="s">
        <v>332</v>
      </c>
      <c r="C276" s="22"/>
      <c r="D276" s="141" t="s">
        <v>333</v>
      </c>
      <c r="E276" s="142"/>
      <c r="F276" s="141" t="s">
        <v>334</v>
      </c>
      <c r="G276" s="142"/>
      <c r="H276" s="21" t="s">
        <v>335</v>
      </c>
      <c r="I276" s="225"/>
      <c r="J276" s="141" t="s">
        <v>461</v>
      </c>
      <c r="K276" s="142"/>
      <c r="L276" s="22" t="s">
        <v>316</v>
      </c>
      <c r="M276" s="225"/>
      <c r="N276" s="63" t="s">
        <v>457</v>
      </c>
      <c r="O276" s="212"/>
    </row>
    <row r="277" spans="1:19">
      <c r="A277" s="16"/>
      <c r="B277" s="19" t="s">
        <v>336</v>
      </c>
      <c r="C277" s="18" t="s">
        <v>427</v>
      </c>
      <c r="D277" s="19" t="s">
        <v>336</v>
      </c>
      <c r="E277" s="18" t="s">
        <v>427</v>
      </c>
      <c r="F277" s="19" t="s">
        <v>336</v>
      </c>
      <c r="G277" s="18" t="s">
        <v>427</v>
      </c>
      <c r="H277" s="19" t="s">
        <v>336</v>
      </c>
      <c r="I277" s="226" t="s">
        <v>427</v>
      </c>
      <c r="J277" s="19" t="s">
        <v>336</v>
      </c>
      <c r="K277" s="18" t="s">
        <v>427</v>
      </c>
      <c r="L277" s="19" t="s">
        <v>336</v>
      </c>
      <c r="M277" s="226" t="s">
        <v>427</v>
      </c>
      <c r="N277" s="63" t="s">
        <v>457</v>
      </c>
      <c r="O277" s="212"/>
    </row>
    <row r="278" spans="1:19" s="156" customFormat="1" ht="18" customHeight="1">
      <c r="A278" s="168" t="s">
        <v>456</v>
      </c>
      <c r="B278" s="172">
        <f>+GETPIVOTDATA(" New Prof avg",'Averages Pivot Table'!$A$3,"Category",6,"Category2","Four-Year")</f>
        <v>76381.745625174837</v>
      </c>
      <c r="C278" s="172"/>
      <c r="D278" s="172">
        <f>+GETPIVOTDATA(" New Asc. avg",'Averages Pivot Table'!$A$3,"Category",6,"Category2","Four-Year")</f>
        <v>61304.266855503978</v>
      </c>
      <c r="E278" s="172"/>
      <c r="F278" s="172">
        <f>+GETPIVOTDATA(" New Ast. avg",'Averages Pivot Table'!$A$3,"Category",6,"Category2","Four-Year")</f>
        <v>52229.091262563074</v>
      </c>
      <c r="G278" s="172"/>
      <c r="H278" s="172">
        <f>+GETPIVOTDATA(" New Inst. avg",'Averages Pivot Table'!$A$3,"Category",6,"Category2","Four-Year")</f>
        <v>41315.096178403757</v>
      </c>
      <c r="I278" s="229"/>
      <c r="J278" s="172">
        <f>+GETPIVOTDATA(" New Undesg. avg",'Averages Pivot Table'!$A$3,"Category",6,"Category2","Four-Year")</f>
        <v>49646.830909374992</v>
      </c>
      <c r="K278" s="172"/>
      <c r="L278" s="172">
        <f>+GETPIVOTDATA(" New All Ranks avg",'Averages Pivot Table'!$A$3,"Category",6,"Category2","Four-Year")</f>
        <v>57514.557974258933</v>
      </c>
      <c r="M278" s="232"/>
      <c r="N278" s="176"/>
      <c r="O278" s="224"/>
      <c r="Q278" s="193"/>
      <c r="R278" s="193"/>
      <c r="S278" s="193"/>
    </row>
    <row r="279" spans="1:19" ht="12.95" customHeight="1">
      <c r="A279" s="12"/>
      <c r="B279" s="9"/>
      <c r="C279" s="17"/>
      <c r="D279" s="9"/>
      <c r="E279" s="17"/>
      <c r="F279" s="9"/>
      <c r="G279" s="17"/>
      <c r="H279" s="9"/>
      <c r="I279" s="233"/>
      <c r="J279" s="9"/>
      <c r="K279" s="17"/>
      <c r="L279" s="9"/>
      <c r="M279" s="233"/>
      <c r="N279" s="9"/>
      <c r="O279" s="217"/>
    </row>
    <row r="280" spans="1:19" ht="12.95" customHeight="1">
      <c r="A280" s="12" t="s">
        <v>439</v>
      </c>
      <c r="B280" s="62">
        <f>+GETPIVOTDATA(" New Prof avg",'Averages Pivot Table'!$A$3,"State","AL","Category",6,"Category2","Four-Year")</f>
        <v>84518.760180952377</v>
      </c>
      <c r="C280" s="130">
        <f>IF(B280&gt;0,(RANK(B280,B$280:B$298)),0)</f>
        <v>3</v>
      </c>
      <c r="D280" s="62">
        <f>+GETPIVOTDATA(" New Asc. avg",'Averages Pivot Table'!$A$3,"State","AL","Category",6,"Category2","Four-Year")</f>
        <v>71280.042960000006</v>
      </c>
      <c r="E280" s="130">
        <f>IF(D280&gt;0,(RANK(D280,D$280:D$298)),0)</f>
        <v>1</v>
      </c>
      <c r="F280" s="62">
        <f>+GETPIVOTDATA(" New Ast. avg",'Averages Pivot Table'!$A$3,"State","AL","Category",6,"Category2","Four-Year")</f>
        <v>61092.721438095243</v>
      </c>
      <c r="G280" s="130">
        <f t="shared" ref="G280:G298" si="32">IF(F280&gt;0,(RANK(F280,F$280:F$298)),0)</f>
        <v>3</v>
      </c>
      <c r="H280" s="62">
        <f>+GETPIVOTDATA(" New Inst. avg",'Averages Pivot Table'!$A$3,"State","AL","Category",6,"Category2","Four-Year")</f>
        <v>48012.133333333331</v>
      </c>
      <c r="I280" s="201">
        <f t="shared" ref="I280:I298" si="33">IF(H280&gt;0,(RANK(H280,H$280:H$298)),0)</f>
        <v>3</v>
      </c>
      <c r="J280" s="62">
        <f>+GETPIVOTDATA(" New Undesg. avg",'Averages Pivot Table'!$A$3,"State","AL","Category",6,"Category2","Four-Year")</f>
        <v>0</v>
      </c>
      <c r="K280" s="130">
        <f t="shared" ref="K280:K298" si="34">IF(J280&gt;0,(RANK(J280,J$280:J$298)),0)</f>
        <v>0</v>
      </c>
      <c r="L280" s="62">
        <f>+GETPIVOTDATA(" New All Ranks avg",'Averages Pivot Table'!$A$3,"State","AL","Category",6,"Category2","Four-Year")</f>
        <v>68725.878179069769</v>
      </c>
      <c r="M280" s="201">
        <f t="shared" ref="M280:M298" si="35">IF(L280&gt;0,(RANK(L280,L$280:L$298)),0)</f>
        <v>1</v>
      </c>
      <c r="N280" s="62"/>
      <c r="O280" s="212"/>
    </row>
    <row r="281" spans="1:19" ht="12.95" customHeight="1">
      <c r="A281" s="12" t="s">
        <v>440</v>
      </c>
      <c r="B281" s="62">
        <f>+GETPIVOTDATA(" New Prof avg",'Averages Pivot Table'!$A$3,"State","AR","Category",6,"Category2","Four-Year")</f>
        <v>65428.845741463418</v>
      </c>
      <c r="C281" s="130">
        <f t="shared" ref="C281:E298" si="36">IF(B281&gt;0,(RANK(B281,B$280:B$298)),0)</f>
        <v>10</v>
      </c>
      <c r="D281" s="62">
        <f>+GETPIVOTDATA(" New Asc. avg",'Averages Pivot Table'!$A$3,"State","AR","Category",6,"Category2","Four-Year")</f>
        <v>62852.339460975607</v>
      </c>
      <c r="E281" s="130">
        <f t="shared" si="36"/>
        <v>6</v>
      </c>
      <c r="F281" s="62">
        <f>+GETPIVOTDATA(" New Ast. avg",'Averages Pivot Table'!$A$3,"State","AR","Category",6,"Category2","Four-Year")</f>
        <v>51253.953162913909</v>
      </c>
      <c r="G281" s="130">
        <f t="shared" si="32"/>
        <v>7</v>
      </c>
      <c r="H281" s="62">
        <f>+GETPIVOTDATA(" New Inst. avg",'Averages Pivot Table'!$A$3,"State","AR","Category",6,"Category2","Four-Year")</f>
        <v>41210.294220869568</v>
      </c>
      <c r="I281" s="201">
        <f t="shared" si="33"/>
        <v>7</v>
      </c>
      <c r="J281" s="62">
        <f>+GETPIVOTDATA(" New Undesg. avg",'Averages Pivot Table'!$A$3,"State","AR","Category",6,"Category2","Four-Year")</f>
        <v>40669</v>
      </c>
      <c r="K281" s="130">
        <f t="shared" si="34"/>
        <v>6</v>
      </c>
      <c r="L281" s="62">
        <f>+GETPIVOTDATA(" New All Ranks avg",'Averages Pivot Table'!$A$3,"State","AR","Category",6,"Category2","Four-Year")</f>
        <v>52019.414833838382</v>
      </c>
      <c r="M281" s="201">
        <f t="shared" si="35"/>
        <v>10</v>
      </c>
      <c r="N281" s="62"/>
      <c r="O281" s="212"/>
    </row>
    <row r="282" spans="1:19" ht="12.95" customHeight="1">
      <c r="A282" s="12" t="s">
        <v>455</v>
      </c>
      <c r="B282" s="62">
        <f>+GETPIVOTDATA(" New Prof avg",'Averages Pivot Table'!$A$3,"State","DE","Category",6,"Category2","Four-Year")</f>
        <v>0</v>
      </c>
      <c r="C282" s="130">
        <f t="shared" si="36"/>
        <v>0</v>
      </c>
      <c r="D282" s="62">
        <f>+GETPIVOTDATA(" New Asc. avg",'Averages Pivot Table'!$A$3,"State","DE","Category",6,"Category2","Four-Year")</f>
        <v>0</v>
      </c>
      <c r="E282" s="130">
        <f t="shared" si="36"/>
        <v>0</v>
      </c>
      <c r="F282" s="62">
        <f>+GETPIVOTDATA(" New Ast. avg",'Averages Pivot Table'!$A$3,"State","DE","Category",6,"Category2","Four-Year")</f>
        <v>0</v>
      </c>
      <c r="G282" s="130">
        <f t="shared" si="32"/>
        <v>0</v>
      </c>
      <c r="H282" s="62">
        <f>+GETPIVOTDATA(" New Inst. avg",'Averages Pivot Table'!$A$3,"State","DE","Category",6,"Category2","Four-Year")</f>
        <v>0</v>
      </c>
      <c r="I282" s="201">
        <f t="shared" si="33"/>
        <v>0</v>
      </c>
      <c r="J282" s="62">
        <f>+GETPIVOTDATA(" New Undesg. avg",'Averages Pivot Table'!$A$3,"State","DE","Category",6,"Category2","Four-Year")</f>
        <v>0</v>
      </c>
      <c r="K282" s="130">
        <f t="shared" si="34"/>
        <v>0</v>
      </c>
      <c r="L282" s="62">
        <f>+GETPIVOTDATA(" New All Ranks avg",'Averages Pivot Table'!$A$3,"State","DE","Category",6,"Category2","Four-Year")</f>
        <v>0</v>
      </c>
      <c r="M282" s="201">
        <f t="shared" si="35"/>
        <v>0</v>
      </c>
      <c r="N282" s="62"/>
      <c r="O282" s="212"/>
    </row>
    <row r="283" spans="1:19" ht="12.95" customHeight="1">
      <c r="A283" s="12" t="s">
        <v>441</v>
      </c>
      <c r="B283" s="62">
        <f>+GETPIVOTDATA(" New Prof avg",'Averages Pivot Table'!$A$3,"State","FL","Category",6,"Category2","Four-Year")</f>
        <v>82860.049583333326</v>
      </c>
      <c r="C283" s="130">
        <f t="shared" si="36"/>
        <v>4</v>
      </c>
      <c r="D283" s="62">
        <f>+GETPIVOTDATA(" New Asc. avg",'Averages Pivot Table'!$A$3,"State","FL","Category",6,"Category2","Four-Year")</f>
        <v>66594.874639999995</v>
      </c>
      <c r="E283" s="130">
        <f t="shared" si="36"/>
        <v>3</v>
      </c>
      <c r="F283" s="62">
        <f>+GETPIVOTDATA(" New Ast. avg",'Averages Pivot Table'!$A$3,"State","FL","Category",6,"Category2","Four-Year")</f>
        <v>55388.154999999999</v>
      </c>
      <c r="G283" s="130">
        <f t="shared" si="32"/>
        <v>5</v>
      </c>
      <c r="H283" s="62">
        <f>+GETPIVOTDATA(" New Inst. avg",'Averages Pivot Table'!$A$3,"State","FL","Category",6,"Category2","Four-Year")</f>
        <v>42020.78</v>
      </c>
      <c r="I283" s="201">
        <f t="shared" si="33"/>
        <v>6</v>
      </c>
      <c r="J283" s="62">
        <f>+GETPIVOTDATA(" New Undesg. avg",'Averages Pivot Table'!$A$3,"State","FL","Category",6,"Category2","Four-Year")</f>
        <v>0</v>
      </c>
      <c r="K283" s="130">
        <f t="shared" si="34"/>
        <v>0</v>
      </c>
      <c r="L283" s="62">
        <f>+GETPIVOTDATA(" New All Ranks avg",'Averages Pivot Table'!$A$3,"State","FL","Category",6,"Category2","Four-Year")</f>
        <v>68274.343258591558</v>
      </c>
      <c r="M283" s="201">
        <f t="shared" si="35"/>
        <v>2</v>
      </c>
      <c r="N283" s="62"/>
      <c r="O283" s="212"/>
    </row>
    <row r="284" spans="1:19" ht="12.95" customHeight="1">
      <c r="A284" s="12"/>
      <c r="B284" s="62"/>
      <c r="C284" s="130">
        <f t="shared" si="36"/>
        <v>0</v>
      </c>
      <c r="D284" s="62"/>
      <c r="E284" s="130">
        <f t="shared" si="36"/>
        <v>0</v>
      </c>
      <c r="F284" s="62"/>
      <c r="G284" s="130">
        <f t="shared" si="32"/>
        <v>0</v>
      </c>
      <c r="H284" s="62"/>
      <c r="I284" s="201">
        <f t="shared" si="33"/>
        <v>0</v>
      </c>
      <c r="J284" s="62"/>
      <c r="K284" s="130">
        <f t="shared" si="34"/>
        <v>0</v>
      </c>
      <c r="L284" s="62"/>
      <c r="M284" s="201">
        <f t="shared" si="35"/>
        <v>0</v>
      </c>
      <c r="N284" s="62"/>
      <c r="O284" s="212"/>
    </row>
    <row r="285" spans="1:19" ht="12.95" customHeight="1">
      <c r="A285" s="12" t="s">
        <v>442</v>
      </c>
      <c r="B285" s="62">
        <f>+GETPIVOTDATA(" New Prof avg",'Averages Pivot Table'!$A$3,"State","GA","Category",6,"Category2","Four-Year")</f>
        <v>80513.308803773587</v>
      </c>
      <c r="C285" s="130">
        <f t="shared" si="36"/>
        <v>6</v>
      </c>
      <c r="D285" s="62">
        <f>+GETPIVOTDATA(" New Asc. avg",'Averages Pivot Table'!$A$3,"State","GA","Category",6,"Category2","Four-Year")</f>
        <v>60617.42420395161</v>
      </c>
      <c r="E285" s="130">
        <f t="shared" si="36"/>
        <v>7</v>
      </c>
      <c r="F285" s="62">
        <f>+GETPIVOTDATA(" New Ast. avg",'Averages Pivot Table'!$A$3,"State","GA","Category",6,"Category2","Four-Year")</f>
        <v>50639.757871249996</v>
      </c>
      <c r="G285" s="130">
        <f t="shared" si="32"/>
        <v>9</v>
      </c>
      <c r="H285" s="62">
        <f>+GETPIVOTDATA(" New Inst. avg",'Averages Pivot Table'!$A$3,"State","GA","Category",6,"Category2","Four-Year")</f>
        <v>50128.29</v>
      </c>
      <c r="I285" s="201">
        <f t="shared" si="33"/>
        <v>2</v>
      </c>
      <c r="J285" s="62">
        <f>+GETPIVOTDATA(" New Undesg. avg",'Averages Pivot Table'!$A$3,"State","GA","Category",6,"Category2","Four-Year")</f>
        <v>47942.282972972964</v>
      </c>
      <c r="K285" s="130">
        <f t="shared" si="34"/>
        <v>3</v>
      </c>
      <c r="L285" s="62">
        <f>+GETPIVOTDATA(" New All Ranks avg",'Averages Pivot Table'!$A$3,"State","GA","Category",6,"Category2","Four-Year")</f>
        <v>57771.364113622047</v>
      </c>
      <c r="M285" s="201">
        <f t="shared" si="35"/>
        <v>6</v>
      </c>
      <c r="N285" s="62"/>
      <c r="O285" s="212"/>
    </row>
    <row r="286" spans="1:19" ht="12.95" customHeight="1">
      <c r="A286" s="12" t="s">
        <v>443</v>
      </c>
      <c r="B286" s="62">
        <f>+GETPIVOTDATA(" New Prof avg",'Averages Pivot Table'!$A$3,"State","KY","Category",6,"Category2","Four-Year")</f>
        <v>0</v>
      </c>
      <c r="C286" s="130">
        <f t="shared" si="36"/>
        <v>0</v>
      </c>
      <c r="D286" s="62">
        <f>+GETPIVOTDATA(" New Asc. avg",'Averages Pivot Table'!$A$3,"State","KY","Category",6,"Category2","Four-Year")</f>
        <v>0</v>
      </c>
      <c r="E286" s="130">
        <f t="shared" si="36"/>
        <v>0</v>
      </c>
      <c r="F286" s="62">
        <f>+GETPIVOTDATA(" New Ast. avg",'Averages Pivot Table'!$A$3,"State","KY","Category",6,"Category2","Four-Year")</f>
        <v>0</v>
      </c>
      <c r="G286" s="130">
        <f t="shared" si="32"/>
        <v>0</v>
      </c>
      <c r="H286" s="62">
        <f>+GETPIVOTDATA(" New Inst. avg",'Averages Pivot Table'!$A$3,"State","KY","Category",6,"Category2","Four-Year")</f>
        <v>0</v>
      </c>
      <c r="I286" s="201">
        <f t="shared" si="33"/>
        <v>0</v>
      </c>
      <c r="J286" s="62">
        <f>+GETPIVOTDATA(" New Undesg. avg",'Averages Pivot Table'!$A$3,"State","KY","Category",6,"Category2","Four-Year")</f>
        <v>0</v>
      </c>
      <c r="K286" s="130">
        <f t="shared" si="34"/>
        <v>0</v>
      </c>
      <c r="L286" s="62">
        <f>+GETPIVOTDATA(" New All Ranks avg",'Averages Pivot Table'!$A$3,"State","KY","Category",6,"Category2","Four-Year")</f>
        <v>0</v>
      </c>
      <c r="M286" s="201">
        <f t="shared" si="35"/>
        <v>0</v>
      </c>
      <c r="N286" s="62"/>
      <c r="O286" s="212"/>
    </row>
    <row r="287" spans="1:19" ht="12.95" customHeight="1">
      <c r="A287" s="12" t="s">
        <v>444</v>
      </c>
      <c r="B287" s="62">
        <f>+GETPIVOTDATA(" New Prof avg",'Averages Pivot Table'!$A$3,"State","LA","Category",6,"Category2","Four-Year")</f>
        <v>0</v>
      </c>
      <c r="C287" s="130">
        <f t="shared" si="36"/>
        <v>0</v>
      </c>
      <c r="D287" s="62">
        <f>+GETPIVOTDATA(" New Asc. avg",'Averages Pivot Table'!$A$3,"State","LA","Category",6,"Category2","Four-Year")</f>
        <v>0</v>
      </c>
      <c r="E287" s="130">
        <f t="shared" si="36"/>
        <v>0</v>
      </c>
      <c r="F287" s="62">
        <f>+GETPIVOTDATA(" New Ast. avg",'Averages Pivot Table'!$A$3,"State","LA","Category",6,"Category2","Four-Year")</f>
        <v>0</v>
      </c>
      <c r="G287" s="130">
        <f t="shared" si="32"/>
        <v>0</v>
      </c>
      <c r="H287" s="62">
        <f>+GETPIVOTDATA(" New Inst. avg",'Averages Pivot Table'!$A$3,"State","LA","Category",6,"Category2","Four-Year")</f>
        <v>0</v>
      </c>
      <c r="I287" s="201">
        <f t="shared" si="33"/>
        <v>0</v>
      </c>
      <c r="J287" s="62">
        <f>+GETPIVOTDATA(" New Undesg. avg",'Averages Pivot Table'!$A$3,"State","LA","Category",6,"Category2","Four-Year")</f>
        <v>0</v>
      </c>
      <c r="K287" s="130">
        <f t="shared" si="34"/>
        <v>0</v>
      </c>
      <c r="L287" s="62">
        <f>+GETPIVOTDATA(" New All Ranks avg",'Averages Pivot Table'!$A$3,"State","LA","Category",6,"Category2","Four-Year")</f>
        <v>0</v>
      </c>
      <c r="M287" s="201">
        <f t="shared" si="35"/>
        <v>0</v>
      </c>
      <c r="N287" s="62"/>
      <c r="O287" s="212"/>
    </row>
    <row r="288" spans="1:19" ht="12.95" customHeight="1">
      <c r="A288" s="12" t="s">
        <v>445</v>
      </c>
      <c r="B288" s="62">
        <f>+GETPIVOTDATA(" New Prof avg",'Averages Pivot Table'!$A$3,"State","MD","Category",6,"Category2","Four-Year")</f>
        <v>88734</v>
      </c>
      <c r="C288" s="130">
        <f t="shared" si="36"/>
        <v>2</v>
      </c>
      <c r="D288" s="62">
        <f>+GETPIVOTDATA(" New Asc. avg",'Averages Pivot Table'!$A$3,"State","MD","Category",6,"Category2","Four-Year")</f>
        <v>64696</v>
      </c>
      <c r="E288" s="130">
        <f t="shared" si="36"/>
        <v>5</v>
      </c>
      <c r="F288" s="62">
        <f>+GETPIVOTDATA(" New Ast. avg",'Averages Pivot Table'!$A$3,"State","MD","Category",6,"Category2","Four-Year")</f>
        <v>52941</v>
      </c>
      <c r="G288" s="130">
        <f t="shared" si="32"/>
        <v>6</v>
      </c>
      <c r="H288" s="62">
        <f>+GETPIVOTDATA(" New Inst. avg",'Averages Pivot Table'!$A$3,"State","MD","Category",6,"Category2","Four-Year")</f>
        <v>28833.333333333332</v>
      </c>
      <c r="I288" s="201">
        <f t="shared" si="33"/>
        <v>10</v>
      </c>
      <c r="J288" s="62">
        <f>+GETPIVOTDATA(" New Undesg. avg",'Averages Pivot Table'!$A$3,"State","MD","Category",6,"Category2","Four-Year")</f>
        <v>0</v>
      </c>
      <c r="K288" s="130">
        <f t="shared" si="34"/>
        <v>0</v>
      </c>
      <c r="L288" s="62">
        <f>+GETPIVOTDATA(" New All Ranks avg",'Averages Pivot Table'!$A$3,"State","MD","Category",6,"Category2","Four-Year")</f>
        <v>66948.006896551728</v>
      </c>
      <c r="M288" s="201">
        <f t="shared" si="35"/>
        <v>4</v>
      </c>
      <c r="N288" s="62"/>
      <c r="O288" s="212"/>
    </row>
    <row r="289" spans="1:15" ht="12.95" customHeight="1">
      <c r="A289" s="12"/>
      <c r="B289" s="62"/>
      <c r="C289" s="130">
        <f t="shared" si="36"/>
        <v>0</v>
      </c>
      <c r="D289" s="62"/>
      <c r="E289" s="130">
        <f t="shared" si="36"/>
        <v>0</v>
      </c>
      <c r="F289" s="62"/>
      <c r="G289" s="130">
        <f t="shared" si="32"/>
        <v>0</v>
      </c>
      <c r="H289" s="62"/>
      <c r="I289" s="201">
        <f t="shared" si="33"/>
        <v>0</v>
      </c>
      <c r="J289" s="62"/>
      <c r="K289" s="130">
        <f t="shared" si="34"/>
        <v>0</v>
      </c>
      <c r="L289" s="62"/>
      <c r="M289" s="201">
        <f t="shared" si="35"/>
        <v>0</v>
      </c>
      <c r="N289" s="62"/>
      <c r="O289" s="212"/>
    </row>
    <row r="290" spans="1:15" ht="12.95" customHeight="1">
      <c r="A290" s="12" t="s">
        <v>446</v>
      </c>
      <c r="B290" s="62">
        <f>+GETPIVOTDATA(" New Prof avg",'Averages Pivot Table'!$A$3,"State","MS","Category",6,"Category2","Four-Year")</f>
        <v>0</v>
      </c>
      <c r="C290" s="130">
        <f t="shared" si="36"/>
        <v>0</v>
      </c>
      <c r="D290" s="62">
        <f>+GETPIVOTDATA(" New Asc. avg",'Averages Pivot Table'!$A$3,"State","MS","Category",6,"Category2","Four-Year")</f>
        <v>0</v>
      </c>
      <c r="E290" s="130">
        <f t="shared" si="36"/>
        <v>0</v>
      </c>
      <c r="F290" s="62">
        <f>+GETPIVOTDATA(" New Ast. avg",'Averages Pivot Table'!$A$3,"State","MS","Category",6,"Category2","Four-Year")</f>
        <v>0</v>
      </c>
      <c r="G290" s="130">
        <f t="shared" si="32"/>
        <v>0</v>
      </c>
      <c r="H290" s="62">
        <f>+GETPIVOTDATA(" New Inst. avg",'Averages Pivot Table'!$A$3,"State","MS","Category",6,"Category2","Four-Year")</f>
        <v>0</v>
      </c>
      <c r="I290" s="201">
        <f t="shared" si="33"/>
        <v>0</v>
      </c>
      <c r="J290" s="62">
        <f>+GETPIVOTDATA(" New Undesg. avg",'Averages Pivot Table'!$A$3,"State","MS","Category",6,"Category2","Four-Year")</f>
        <v>0</v>
      </c>
      <c r="K290" s="130">
        <f t="shared" si="34"/>
        <v>0</v>
      </c>
      <c r="L290" s="62">
        <f>+GETPIVOTDATA(" New All Ranks avg",'Averages Pivot Table'!$A$3,"State","MS","Category",6,"Category2","Four-Year")</f>
        <v>0</v>
      </c>
      <c r="M290" s="201">
        <f t="shared" si="35"/>
        <v>0</v>
      </c>
      <c r="N290" s="62"/>
      <c r="O290" s="212"/>
    </row>
    <row r="291" spans="1:15" ht="12.95" customHeight="1">
      <c r="A291" s="12" t="s">
        <v>447</v>
      </c>
      <c r="B291" s="62">
        <f>+GETPIVOTDATA(" New Prof avg",'Averages Pivot Table'!$A$3,"State","NC","Category",6,"Category2","Four-Year")</f>
        <v>82031.37857391304</v>
      </c>
      <c r="C291" s="130">
        <f t="shared" si="36"/>
        <v>5</v>
      </c>
      <c r="D291" s="62">
        <f>+GETPIVOTDATA(" New Asc. avg",'Averages Pivot Table'!$A$3,"State","NC","Category",6,"Category2","Four-Year")</f>
        <v>68304.144</v>
      </c>
      <c r="E291" s="130">
        <f t="shared" si="36"/>
        <v>2</v>
      </c>
      <c r="F291" s="62">
        <f>+GETPIVOTDATA(" New Ast. avg",'Averages Pivot Table'!$A$3,"State","NC","Category",6,"Category2","Four-Year")</f>
        <v>62497.120002298849</v>
      </c>
      <c r="G291" s="130">
        <f t="shared" si="32"/>
        <v>2</v>
      </c>
      <c r="H291" s="62">
        <f>+GETPIVOTDATA(" New Inst. avg",'Averages Pivot Table'!$A$3,"State","NC","Category",6,"Category2","Four-Year")</f>
        <v>56294</v>
      </c>
      <c r="I291" s="201">
        <f t="shared" si="33"/>
        <v>1</v>
      </c>
      <c r="J291" s="62">
        <f>+GETPIVOTDATA(" New Undesg. avg",'Averages Pivot Table'!$A$3,"State","NC","Category",6,"Category2","Four-Year")</f>
        <v>53763.70620487805</v>
      </c>
      <c r="K291" s="130">
        <f t="shared" si="34"/>
        <v>1</v>
      </c>
      <c r="L291" s="62">
        <f>+GETPIVOTDATA(" New All Ranks avg",'Averages Pivot Table'!$A$3,"State","NC","Category",6,"Category2","Four-Year")</f>
        <v>67903.819857881128</v>
      </c>
      <c r="M291" s="201">
        <f t="shared" si="35"/>
        <v>3</v>
      </c>
      <c r="N291" s="62"/>
      <c r="O291" s="212"/>
    </row>
    <row r="292" spans="1:15" ht="12.95" customHeight="1">
      <c r="A292" s="12" t="s">
        <v>448</v>
      </c>
      <c r="B292" s="62">
        <f>+GETPIVOTDATA(" New Prof avg",'Averages Pivot Table'!$A$3,"State","OK","Category",6,"Category2","Four-Year")</f>
        <v>61870.840031250002</v>
      </c>
      <c r="C292" s="130">
        <f t="shared" si="36"/>
        <v>11</v>
      </c>
      <c r="D292" s="62">
        <f>+GETPIVOTDATA(" New Asc. avg",'Averages Pivot Table'!$A$3,"State","OK","Category",6,"Category2","Four-Year")</f>
        <v>54569.445878571431</v>
      </c>
      <c r="E292" s="130">
        <f t="shared" si="36"/>
        <v>11</v>
      </c>
      <c r="F292" s="62">
        <f>+GETPIVOTDATA(" New Ast. avg",'Averages Pivot Table'!$A$3,"State","OK","Category",6,"Category2","Four-Year")</f>
        <v>45565.789881818178</v>
      </c>
      <c r="G292" s="130">
        <f t="shared" si="32"/>
        <v>11</v>
      </c>
      <c r="H292" s="62">
        <f>+GETPIVOTDATA(" New Inst. avg",'Averages Pivot Table'!$A$3,"State","OK","Category",6,"Category2","Four-Year")</f>
        <v>35153.848803333334</v>
      </c>
      <c r="I292" s="201">
        <f t="shared" si="33"/>
        <v>9</v>
      </c>
      <c r="J292" s="62">
        <f>+GETPIVOTDATA(" New Undesg. avg",'Averages Pivot Table'!$A$3,"State","OK","Category",6,"Category2","Four-Year")</f>
        <v>0</v>
      </c>
      <c r="K292" s="130">
        <f t="shared" si="34"/>
        <v>0</v>
      </c>
      <c r="L292" s="62">
        <f>+GETPIVOTDATA(" New All Ranks avg",'Averages Pivot Table'!$A$3,"State","OK","Category",6,"Category2","Four-Year")</f>
        <v>47440.789301869176</v>
      </c>
      <c r="M292" s="201">
        <f t="shared" si="35"/>
        <v>11</v>
      </c>
      <c r="N292" s="62"/>
      <c r="O292" s="212"/>
    </row>
    <row r="293" spans="1:15" ht="12.95" customHeight="1">
      <c r="A293" s="12" t="s">
        <v>449</v>
      </c>
      <c r="B293" s="62">
        <f>+GETPIVOTDATA(" New Prof avg",'Averages Pivot Table'!$A$3,"State","SC","Category",6,"Category2","Four-Year")</f>
        <v>73147.210643243248</v>
      </c>
      <c r="C293" s="130">
        <f t="shared" si="36"/>
        <v>8</v>
      </c>
      <c r="D293" s="62">
        <f>+GETPIVOTDATA(" New Asc. avg",'Averages Pivot Table'!$A$3,"State","SC","Category",6,"Category2","Four-Year")</f>
        <v>58564.97431171171</v>
      </c>
      <c r="E293" s="130">
        <f t="shared" si="36"/>
        <v>9</v>
      </c>
      <c r="F293" s="62">
        <f>+GETPIVOTDATA(" New Ast. avg",'Averages Pivot Table'!$A$3,"State","SC","Category",6,"Category2","Four-Year")</f>
        <v>50853.564559006212</v>
      </c>
      <c r="G293" s="130">
        <f t="shared" si="32"/>
        <v>8</v>
      </c>
      <c r="H293" s="62">
        <f>+GETPIVOTDATA(" New Inst. avg",'Averages Pivot Table'!$A$3,"State","SC","Category",6,"Category2","Four-Year")</f>
        <v>43835.222578461537</v>
      </c>
      <c r="I293" s="201">
        <f t="shared" si="33"/>
        <v>4</v>
      </c>
      <c r="J293" s="62">
        <f>+GETPIVOTDATA(" New Undesg. avg",'Averages Pivot Table'!$A$3,"State","SC","Category",6,"Category2","Four-Year")</f>
        <v>34040.082399999999</v>
      </c>
      <c r="K293" s="130">
        <f t="shared" si="34"/>
        <v>7</v>
      </c>
      <c r="L293" s="62">
        <f>+GETPIVOTDATA(" New All Ranks avg",'Averages Pivot Table'!$A$3,"State","SC","Category",6,"Category2","Four-Year")</f>
        <v>53949.894314937759</v>
      </c>
      <c r="M293" s="201">
        <f t="shared" si="35"/>
        <v>9</v>
      </c>
      <c r="N293" s="62"/>
      <c r="O293" s="212"/>
    </row>
    <row r="294" spans="1:15" ht="12.95" customHeight="1">
      <c r="A294" s="12"/>
      <c r="B294" s="62"/>
      <c r="C294" s="130">
        <f t="shared" si="36"/>
        <v>0</v>
      </c>
      <c r="D294" s="62"/>
      <c r="E294" s="130">
        <f t="shared" si="36"/>
        <v>0</v>
      </c>
      <c r="F294" s="62"/>
      <c r="G294" s="130">
        <f t="shared" si="32"/>
        <v>0</v>
      </c>
      <c r="H294" s="62"/>
      <c r="I294" s="201">
        <f t="shared" si="33"/>
        <v>0</v>
      </c>
      <c r="J294" s="62"/>
      <c r="K294" s="130">
        <f t="shared" si="34"/>
        <v>0</v>
      </c>
      <c r="L294" s="62"/>
      <c r="M294" s="201">
        <f t="shared" si="35"/>
        <v>0</v>
      </c>
      <c r="N294" s="62"/>
      <c r="O294" s="212"/>
    </row>
    <row r="295" spans="1:15" ht="12.95" customHeight="1">
      <c r="A295" s="12" t="s">
        <v>450</v>
      </c>
      <c r="B295" s="129">
        <f>+GETPIVOTDATA(" New Prof avg",'Averages Pivot Table'!$A$3,"State","TN","Category",6,"Category2","Four-Year")</f>
        <v>0</v>
      </c>
      <c r="C295" s="130">
        <f t="shared" si="36"/>
        <v>0</v>
      </c>
      <c r="D295" s="129">
        <f>+GETPIVOTDATA(" New Asc. avg",'Averages Pivot Table'!$A$3,"State","TN","Category",6,"Category2","Four-Year")</f>
        <v>0</v>
      </c>
      <c r="E295" s="130">
        <f t="shared" si="36"/>
        <v>0</v>
      </c>
      <c r="F295" s="129">
        <f>+GETPIVOTDATA(" New Ast. avg",'Averages Pivot Table'!$A$3,"State","TN","Category",6,"Category2","Four-Year")</f>
        <v>0</v>
      </c>
      <c r="G295" s="130">
        <f t="shared" si="32"/>
        <v>0</v>
      </c>
      <c r="H295" s="129">
        <f>+GETPIVOTDATA(" New Inst. avg",'Averages Pivot Table'!$A$3,"State","TN","Category",6,"Category2","Four-Year")</f>
        <v>0</v>
      </c>
      <c r="I295" s="201">
        <f t="shared" si="33"/>
        <v>0</v>
      </c>
      <c r="J295" s="129">
        <f>+GETPIVOTDATA(" New Undesg. avg",'Averages Pivot Table'!$A$3,"State","TN","Category",6,"Category2","Four-Year")</f>
        <v>0</v>
      </c>
      <c r="K295" s="130">
        <f t="shared" si="34"/>
        <v>0</v>
      </c>
      <c r="L295" s="129">
        <f>+GETPIVOTDATA(" New All Ranks avg",'Averages Pivot Table'!$A$3,"State","TN","Category",6,"Category2","Four-Year")</f>
        <v>0</v>
      </c>
      <c r="M295" s="201">
        <f t="shared" si="35"/>
        <v>0</v>
      </c>
      <c r="N295" s="62"/>
      <c r="O295" s="212"/>
    </row>
    <row r="296" spans="1:15" ht="12.95" customHeight="1">
      <c r="A296" s="12" t="s">
        <v>451</v>
      </c>
      <c r="B296" s="129">
        <f>+GETPIVOTDATA(" New Prof avg",'Averages Pivot Table'!$A$3,"State","TX","Category",6,"Category2","Four-Year")</f>
        <v>98105.197966666659</v>
      </c>
      <c r="C296" s="130">
        <f t="shared" si="36"/>
        <v>1</v>
      </c>
      <c r="D296" s="129">
        <f>+GETPIVOTDATA(" New Asc. avg",'Averages Pivot Table'!$A$3,"State","TX","Category",6,"Category2","Four-Year")</f>
        <v>66528.928571428565</v>
      </c>
      <c r="E296" s="130">
        <f t="shared" si="36"/>
        <v>4</v>
      </c>
      <c r="F296" s="129">
        <f>+GETPIVOTDATA(" New Ast. avg",'Averages Pivot Table'!$A$3,"State","TX","Category",6,"Category2","Four-Year")</f>
        <v>65825.382155555562</v>
      </c>
      <c r="G296" s="130">
        <f t="shared" si="32"/>
        <v>1</v>
      </c>
      <c r="H296" s="129">
        <f>+GETPIVOTDATA(" New Inst. avg",'Averages Pivot Table'!$A$3,"State","TX","Category",6,"Category2","Four-Year")</f>
        <v>0</v>
      </c>
      <c r="I296" s="201">
        <f t="shared" si="33"/>
        <v>0</v>
      </c>
      <c r="J296" s="129">
        <f>+GETPIVOTDATA(" New Undesg. avg",'Averages Pivot Table'!$A$3,"State","TX","Category",6,"Category2","Four-Year")</f>
        <v>48810.286595454549</v>
      </c>
      <c r="K296" s="130">
        <f t="shared" si="34"/>
        <v>2</v>
      </c>
      <c r="L296" s="129">
        <f>+GETPIVOTDATA(" New All Ranks avg",'Averages Pivot Table'!$A$3,"State","TX","Category",6,"Category2","Four-Year")</f>
        <v>66184.392401999998</v>
      </c>
      <c r="M296" s="201">
        <f t="shared" si="35"/>
        <v>5</v>
      </c>
      <c r="N296" s="62"/>
      <c r="O296" s="212"/>
    </row>
    <row r="297" spans="1:15" ht="12.95" customHeight="1">
      <c r="A297" s="12" t="s">
        <v>452</v>
      </c>
      <c r="B297" s="129">
        <f>+GETPIVOTDATA(" New Prof avg",'Averages Pivot Table'!$A$3,"State","VA","Category",6,"Category2","Four-Year")</f>
        <v>73928</v>
      </c>
      <c r="C297" s="130">
        <f t="shared" si="36"/>
        <v>7</v>
      </c>
      <c r="D297" s="129">
        <f>+GETPIVOTDATA(" New Asc. avg",'Averages Pivot Table'!$A$3,"State","VA","Category",6,"Category2","Four-Year")</f>
        <v>60041</v>
      </c>
      <c r="E297" s="130">
        <f t="shared" si="36"/>
        <v>8</v>
      </c>
      <c r="F297" s="129">
        <f>+GETPIVOTDATA(" New Ast. avg",'Averages Pivot Table'!$A$3,"State","VA","Category",6,"Category2","Four-Year")</f>
        <v>55810</v>
      </c>
      <c r="G297" s="130">
        <f t="shared" si="32"/>
        <v>4</v>
      </c>
      <c r="H297" s="129">
        <f>+GETPIVOTDATA(" New Inst. avg",'Averages Pivot Table'!$A$3,"State","VA","Category",6,"Category2","Four-Year")</f>
        <v>43276.902727272725</v>
      </c>
      <c r="I297" s="201">
        <f t="shared" si="33"/>
        <v>5</v>
      </c>
      <c r="J297" s="129">
        <f>+GETPIVOTDATA(" New Undesg. avg",'Averages Pivot Table'!$A$3,"State","VA","Category",6,"Category2","Four-Year")</f>
        <v>41100</v>
      </c>
      <c r="K297" s="130">
        <f t="shared" si="34"/>
        <v>5</v>
      </c>
      <c r="L297" s="129">
        <f>+GETPIVOTDATA(" New All Ranks avg",'Averages Pivot Table'!$A$3,"State","VA","Category",6,"Category2","Four-Year")</f>
        <v>57569.831777777785</v>
      </c>
      <c r="M297" s="201">
        <f t="shared" si="35"/>
        <v>7</v>
      </c>
      <c r="N297" s="62"/>
      <c r="O297" s="209"/>
    </row>
    <row r="298" spans="1:15" ht="12.95" customHeight="1">
      <c r="A298" s="24" t="s">
        <v>453</v>
      </c>
      <c r="B298" s="64">
        <f>+GETPIVOTDATA(" New Prof avg",'Averages Pivot Table'!$A$3,"State","WV","Category",6,"Category2","Four-Year")</f>
        <v>68109.256267716541</v>
      </c>
      <c r="C298" s="65">
        <f t="shared" si="36"/>
        <v>9</v>
      </c>
      <c r="D298" s="64">
        <f>+GETPIVOTDATA(" New Asc. avg",'Averages Pivot Table'!$A$3,"State","WV","Category",6,"Category2","Four-Year")</f>
        <v>57288.1466</v>
      </c>
      <c r="E298" s="65">
        <f t="shared" si="36"/>
        <v>10</v>
      </c>
      <c r="F298" s="64">
        <f>+GETPIVOTDATA(" New Ast. avg",'Averages Pivot Table'!$A$3,"State","WV","Category",6,"Category2","Four-Year")</f>
        <v>49294.949289201875</v>
      </c>
      <c r="G298" s="65">
        <f t="shared" si="32"/>
        <v>10</v>
      </c>
      <c r="H298" s="64">
        <f>+GETPIVOTDATA(" New Inst. avg",'Averages Pivot Table'!$A$3,"State","WV","Category",6,"Category2","Four-Year")</f>
        <v>40351.319551219509</v>
      </c>
      <c r="I298" s="202">
        <f t="shared" si="33"/>
        <v>8</v>
      </c>
      <c r="J298" s="64">
        <f>+GETPIVOTDATA(" New Undesg. avg",'Averages Pivot Table'!$A$3,"State","WV","Category",6,"Category2","Four-Year")</f>
        <v>44801.803413333335</v>
      </c>
      <c r="K298" s="65">
        <f t="shared" si="34"/>
        <v>4</v>
      </c>
      <c r="L298" s="64">
        <f>+GETPIVOTDATA(" New All Ranks avg",'Averages Pivot Table'!$A$3,"State","WV","Category",6,"Category2","Four-Year")</f>
        <v>54021.619901543745</v>
      </c>
      <c r="M298" s="202">
        <f t="shared" si="35"/>
        <v>8</v>
      </c>
      <c r="N298" s="62"/>
      <c r="O298" s="209"/>
    </row>
    <row r="299" spans="1:15" ht="30" customHeight="1">
      <c r="A299" s="622" t="s">
        <v>323</v>
      </c>
      <c r="B299" s="623"/>
      <c r="C299" s="623"/>
      <c r="D299" s="623"/>
      <c r="E299" s="623"/>
      <c r="F299" s="623"/>
      <c r="G299" s="623"/>
      <c r="H299" s="623"/>
      <c r="I299" s="623"/>
      <c r="J299" s="623"/>
      <c r="K299" s="623"/>
      <c r="L299" s="623"/>
      <c r="M299" s="623"/>
      <c r="N299" s="12"/>
      <c r="O299" s="215"/>
    </row>
    <row r="300" spans="1:15">
      <c r="M300" s="244" t="s">
        <v>1166</v>
      </c>
      <c r="O300" s="214"/>
    </row>
    <row r="301" spans="1:15" ht="18">
      <c r="A301" s="618" t="s">
        <v>786</v>
      </c>
      <c r="B301" s="618"/>
      <c r="C301" s="618"/>
      <c r="D301" s="618"/>
      <c r="E301" s="618"/>
      <c r="F301" s="618"/>
      <c r="G301" s="618"/>
      <c r="H301" s="618"/>
      <c r="I301" s="618"/>
      <c r="J301" s="618"/>
      <c r="K301" s="618"/>
      <c r="L301" s="618"/>
      <c r="M301" s="618"/>
      <c r="N301" s="618"/>
      <c r="O301" s="618"/>
    </row>
    <row r="302" spans="1:15">
      <c r="A302" s="23"/>
      <c r="B302" s="5"/>
      <c r="C302" s="5"/>
      <c r="D302" s="5"/>
      <c r="E302" s="5"/>
      <c r="F302" s="5"/>
      <c r="G302" s="5"/>
      <c r="H302" s="5"/>
      <c r="I302" s="159"/>
      <c r="J302" s="5"/>
      <c r="K302" s="5"/>
      <c r="L302" s="5"/>
      <c r="M302" s="159"/>
      <c r="N302" s="5"/>
      <c r="O302" s="159"/>
    </row>
    <row r="303" spans="1:15">
      <c r="A303" s="619" t="s">
        <v>454</v>
      </c>
      <c r="B303" s="619"/>
      <c r="C303" s="619"/>
      <c r="D303" s="619"/>
      <c r="E303" s="619"/>
      <c r="F303" s="619"/>
      <c r="G303" s="619"/>
      <c r="H303" s="619"/>
      <c r="I303" s="619"/>
      <c r="J303" s="619"/>
      <c r="K303" s="619"/>
      <c r="L303" s="619"/>
      <c r="M303" s="619"/>
      <c r="N303" s="619"/>
      <c r="O303" s="619"/>
    </row>
    <row r="304" spans="1:15">
      <c r="A304" s="619" t="s">
        <v>1153</v>
      </c>
      <c r="B304" s="619"/>
      <c r="C304" s="619"/>
      <c r="D304" s="619"/>
      <c r="E304" s="619"/>
      <c r="F304" s="619"/>
      <c r="G304" s="619"/>
      <c r="H304" s="619"/>
      <c r="I304" s="619"/>
      <c r="J304" s="619"/>
      <c r="K304" s="619"/>
      <c r="L304" s="619"/>
      <c r="M304" s="619"/>
      <c r="N304" s="619"/>
      <c r="O304" s="619"/>
    </row>
    <row r="305" spans="1:19">
      <c r="A305" s="12"/>
      <c r="B305" s="12"/>
      <c r="C305" s="12"/>
      <c r="D305" s="12"/>
      <c r="E305" s="12"/>
      <c r="F305" s="12"/>
      <c r="G305" s="12"/>
      <c r="H305" s="12"/>
      <c r="I305" s="215"/>
      <c r="J305" s="12"/>
      <c r="K305" s="12"/>
      <c r="L305" s="12"/>
      <c r="M305" s="215"/>
      <c r="N305" s="12"/>
      <c r="O305" s="215"/>
    </row>
    <row r="306" spans="1:19" ht="33" customHeight="1">
      <c r="A306" s="15"/>
      <c r="B306" s="21" t="s">
        <v>332</v>
      </c>
      <c r="C306" s="22"/>
      <c r="D306" s="141" t="s">
        <v>333</v>
      </c>
      <c r="E306" s="142"/>
      <c r="F306" s="141" t="s">
        <v>334</v>
      </c>
      <c r="G306" s="142"/>
      <c r="H306" s="21" t="s">
        <v>335</v>
      </c>
      <c r="I306" s="225"/>
      <c r="J306" s="141" t="s">
        <v>461</v>
      </c>
      <c r="K306" s="142"/>
      <c r="L306" s="22" t="s">
        <v>314</v>
      </c>
      <c r="M306" s="225"/>
      <c r="N306" s="22" t="s">
        <v>316</v>
      </c>
      <c r="O306" s="225"/>
    </row>
    <row r="307" spans="1:19">
      <c r="A307" s="16"/>
      <c r="B307" s="19" t="s">
        <v>336</v>
      </c>
      <c r="C307" s="18" t="s">
        <v>427</v>
      </c>
      <c r="D307" s="19" t="s">
        <v>336</v>
      </c>
      <c r="E307" s="18" t="s">
        <v>427</v>
      </c>
      <c r="F307" s="19" t="s">
        <v>336</v>
      </c>
      <c r="G307" s="18" t="s">
        <v>427</v>
      </c>
      <c r="H307" s="19" t="s">
        <v>336</v>
      </c>
      <c r="I307" s="226" t="s">
        <v>427</v>
      </c>
      <c r="J307" s="19" t="s">
        <v>336</v>
      </c>
      <c r="K307" s="18" t="s">
        <v>427</v>
      </c>
      <c r="L307" s="19" t="s">
        <v>336</v>
      </c>
      <c r="M307" s="226" t="s">
        <v>427</v>
      </c>
      <c r="N307" s="19" t="s">
        <v>336</v>
      </c>
      <c r="O307" s="226" t="s">
        <v>427</v>
      </c>
    </row>
    <row r="308" spans="1:19" s="156" customFormat="1" ht="18" customHeight="1">
      <c r="A308" s="168" t="s">
        <v>456</v>
      </c>
      <c r="B308" s="172">
        <f>+GETPIVOTDATA(" New Prof avg",'Averages Pivot Table'!$A$3,"Category2","Two-Year")</f>
        <v>65304.070443449651</v>
      </c>
      <c r="C308" s="172"/>
      <c r="D308" s="172">
        <f>+GETPIVOTDATA(" New Asc. avg",'Averages Pivot Table'!$A$3,"Category2","Two-Year")</f>
        <v>54723.268040640585</v>
      </c>
      <c r="E308" s="172"/>
      <c r="F308" s="172">
        <f>+GETPIVOTDATA(" New Ast. avg",'Averages Pivot Table'!$A$3,"Category2","Two-Year")</f>
        <v>49705.314623734834</v>
      </c>
      <c r="G308" s="172"/>
      <c r="H308" s="172">
        <f>+GETPIVOTDATA(" New Inst. avg",'Averages Pivot Table'!$A$3,"Category2","Two-Year")</f>
        <v>45984.889247175321</v>
      </c>
      <c r="I308" s="229"/>
      <c r="J308" s="172">
        <f>+GETPIVOTDATA(" New Undesg. avg",'Averages Pivot Table'!$A$3,"Category2","Two-Year")</f>
        <v>44911.135272844833</v>
      </c>
      <c r="K308" s="172"/>
      <c r="L308" s="172">
        <f>+GETPIVOTDATA(" New Single Rnk avg",'Averages Pivot Table'!$A$3,"Category2","Two-Year")</f>
        <v>50859.765392008449</v>
      </c>
      <c r="M308" s="229"/>
      <c r="N308" s="172">
        <f>+GETPIVOTDATA(" New All Ranks avg",'Averages Pivot Table'!$A$3,"Category2","Two-Year")</f>
        <v>51830.606228565914</v>
      </c>
      <c r="O308" s="216"/>
      <c r="Q308" s="193"/>
      <c r="R308" s="193"/>
      <c r="S308" s="193"/>
    </row>
    <row r="309" spans="1:19" ht="12.95" customHeight="1">
      <c r="A309" s="12"/>
      <c r="B309" s="9"/>
      <c r="C309" s="17"/>
      <c r="D309" s="9"/>
      <c r="E309" s="17"/>
      <c r="F309" s="9"/>
      <c r="G309" s="17"/>
      <c r="H309" s="9"/>
      <c r="I309" s="233"/>
      <c r="J309" s="9"/>
      <c r="K309" s="17"/>
      <c r="L309" s="9"/>
      <c r="M309" s="233"/>
      <c r="N309" s="9"/>
      <c r="O309" s="217"/>
    </row>
    <row r="310" spans="1:19" ht="12.95" customHeight="1">
      <c r="A310" s="12" t="s">
        <v>439</v>
      </c>
      <c r="B310" s="62">
        <f>+GETPIVOTDATA(" New Prof avg",'Averages Pivot Table'!$A$3,"State","AL","Category2","Two-Year")</f>
        <v>0</v>
      </c>
      <c r="C310" s="130">
        <f>IF(B310&gt;0,(RANK(B310,B$310:B$328)),0)</f>
        <v>0</v>
      </c>
      <c r="D310" s="62">
        <f>+GETPIVOTDATA(" New Asc. avg",'Averages Pivot Table'!$A$3,"State","AL","Category2","Two-Year")</f>
        <v>0</v>
      </c>
      <c r="E310" s="130">
        <f>IF(D310&gt;0,(RANK(D310,D$310:D$328)),0)</f>
        <v>0</v>
      </c>
      <c r="F310" s="62">
        <f>+GETPIVOTDATA(" New Ast. avg",'Averages Pivot Table'!$A$3,"State","AL","Category2","Two-Year")</f>
        <v>0</v>
      </c>
      <c r="G310" s="130">
        <f t="shared" ref="G310:G328" si="37">IF(F310&gt;0,(RANK(F310,F$310:F$328)),0)</f>
        <v>0</v>
      </c>
      <c r="H310" s="62">
        <f>+GETPIVOTDATA(" New Inst. avg",'Averages Pivot Table'!$A$3,"State","AL","Category2","Two-Year")</f>
        <v>0</v>
      </c>
      <c r="I310" s="201">
        <f t="shared" ref="I310:I328" si="38">IF(H310&gt;0,(RANK(H310,H$310:H$328)),0)</f>
        <v>0</v>
      </c>
      <c r="J310" s="62">
        <f>+GETPIVOTDATA(" New Undesg. avg",'Averages Pivot Table'!$A$3,"State","AL","Category2","Two-Year")</f>
        <v>0</v>
      </c>
      <c r="K310" s="130">
        <f t="shared" ref="K310:K328" si="39">IF(J310&gt;0,(RANK(J310,J$310:J$328)),0)</f>
        <v>0</v>
      </c>
      <c r="L310" s="62">
        <f>+GETPIVOTDATA(" New Single Rnk avg",'Averages Pivot Table'!$A$3,"State","AL","Category2","Two-Year")</f>
        <v>53018.942272532433</v>
      </c>
      <c r="M310" s="201">
        <f t="shared" ref="M310:M328" si="40">IF(L310&gt;0,(RANK(L310,L$310:L$328)),0)</f>
        <v>4</v>
      </c>
      <c r="N310" s="62">
        <f>+GETPIVOTDATA(" New All Ranks avg",'Averages Pivot Table'!$A$3,"State","AL","Category2","Two-Year")</f>
        <v>53018.942272532433</v>
      </c>
      <c r="O310" s="201">
        <f t="shared" ref="O310:O328" si="41">IF(N310&gt;0,(RANK(N310,N$310:N$328)),0)</f>
        <v>6</v>
      </c>
    </row>
    <row r="311" spans="1:19" ht="12.95" customHeight="1">
      <c r="A311" s="12" t="s">
        <v>440</v>
      </c>
      <c r="B311" s="62">
        <f>+GETPIVOTDATA(" New Prof avg",'Averages Pivot Table'!$A$3,"State","AR","Category2","Two-Year")</f>
        <v>57778.512439999999</v>
      </c>
      <c r="C311" s="130">
        <f t="shared" ref="C311:E328" si="42">IF(B311&gt;0,(RANK(B311,B$310:B$328)),0)</f>
        <v>10</v>
      </c>
      <c r="D311" s="62">
        <f>+GETPIVOTDATA(" New Asc. avg",'Averages Pivot Table'!$A$3,"State","AR","Category2","Two-Year")</f>
        <v>56579.617133333333</v>
      </c>
      <c r="E311" s="130">
        <f t="shared" si="42"/>
        <v>4</v>
      </c>
      <c r="F311" s="62">
        <f>+GETPIVOTDATA(" New Ast. avg",'Averages Pivot Table'!$A$3,"State","AR","Category2","Two-Year")</f>
        <v>44804.996163636359</v>
      </c>
      <c r="G311" s="130">
        <f t="shared" si="37"/>
        <v>8</v>
      </c>
      <c r="H311" s="62">
        <f>+GETPIVOTDATA(" New Inst. avg",'Averages Pivot Table'!$A$3,"State","AR","Category2","Two-Year")</f>
        <v>39710.288411920534</v>
      </c>
      <c r="I311" s="201">
        <f t="shared" si="38"/>
        <v>7</v>
      </c>
      <c r="J311" s="62">
        <f>+GETPIVOTDATA(" New Undesg. avg",'Averages Pivot Table'!$A$3,"State","AR","Category2","Two-Year")</f>
        <v>0</v>
      </c>
      <c r="K311" s="130">
        <f t="shared" si="39"/>
        <v>0</v>
      </c>
      <c r="L311" s="62">
        <f>+GETPIVOTDATA(" New Single Rnk avg",'Averages Pivot Table'!$A$3,"State","AR","Category2","Two-Year")</f>
        <v>43839.398560167363</v>
      </c>
      <c r="M311" s="201">
        <f t="shared" si="40"/>
        <v>8</v>
      </c>
      <c r="N311" s="62">
        <f>+GETPIVOTDATA(" New All Ranks avg",'Averages Pivot Table'!$A$3,"State","AR","Category2","Two-Year")</f>
        <v>43576.138634502102</v>
      </c>
      <c r="O311" s="201">
        <f t="shared" si="41"/>
        <v>16</v>
      </c>
    </row>
    <row r="312" spans="1:19" ht="12.95" customHeight="1">
      <c r="A312" s="12" t="s">
        <v>455</v>
      </c>
      <c r="B312" s="62">
        <f>+GETPIVOTDATA(" New Prof avg",'Averages Pivot Table'!$A$3,"State","DE","Category2","Two-Year")</f>
        <v>0</v>
      </c>
      <c r="C312" s="130">
        <f t="shared" si="42"/>
        <v>0</v>
      </c>
      <c r="D312" s="62">
        <f>+GETPIVOTDATA(" New Asc. avg",'Averages Pivot Table'!$A$3,"State","DE","Category2","Two-Year")</f>
        <v>0</v>
      </c>
      <c r="E312" s="130">
        <f t="shared" si="42"/>
        <v>0</v>
      </c>
      <c r="F312" s="62">
        <f>+GETPIVOTDATA(" New Ast. avg",'Averages Pivot Table'!$A$3,"State","DE","Category2","Two-Year")</f>
        <v>0</v>
      </c>
      <c r="G312" s="130">
        <f t="shared" si="37"/>
        <v>0</v>
      </c>
      <c r="H312" s="62">
        <f>+GETPIVOTDATA(" New Inst. avg",'Averages Pivot Table'!$A$3,"State","DE","Category2","Two-Year")</f>
        <v>0</v>
      </c>
      <c r="I312" s="201">
        <f t="shared" si="38"/>
        <v>0</v>
      </c>
      <c r="J312" s="62">
        <f>+GETPIVOTDATA(" New Undesg. avg",'Averages Pivot Table'!$A$3,"State","DE","Category2","Two-Year")</f>
        <v>0</v>
      </c>
      <c r="K312" s="130">
        <f t="shared" si="39"/>
        <v>0</v>
      </c>
      <c r="L312" s="62">
        <f>+GETPIVOTDATA(" New Single Rnk avg",'Averages Pivot Table'!$A$3,"State","DE","Category2","Two-Year")</f>
        <v>63804.420643749996</v>
      </c>
      <c r="M312" s="201">
        <f t="shared" si="40"/>
        <v>1</v>
      </c>
      <c r="N312" s="62">
        <f>+GETPIVOTDATA(" New All Ranks avg",'Averages Pivot Table'!$A$3,"State","DE","Category2","Two-Year")</f>
        <v>63804.420643749996</v>
      </c>
      <c r="O312" s="201">
        <f t="shared" si="41"/>
        <v>2</v>
      </c>
    </row>
    <row r="313" spans="1:19" ht="12.95" customHeight="1">
      <c r="A313" s="12" t="s">
        <v>441</v>
      </c>
      <c r="B313" s="62">
        <f>+GETPIVOTDATA(" New Prof avg",'Averages Pivot Table'!$A$3,"State","FL","Category2","Two-Year")</f>
        <v>0</v>
      </c>
      <c r="C313" s="130">
        <f t="shared" si="42"/>
        <v>0</v>
      </c>
      <c r="D313" s="62">
        <f>+GETPIVOTDATA(" New Asc. avg",'Averages Pivot Table'!$A$3,"State","FL","Category2","Two-Year")</f>
        <v>0</v>
      </c>
      <c r="E313" s="130">
        <f t="shared" si="42"/>
        <v>0</v>
      </c>
      <c r="F313" s="62">
        <f>+GETPIVOTDATA(" New Ast. avg",'Averages Pivot Table'!$A$3,"State","FL","Category2","Two-Year")</f>
        <v>0</v>
      </c>
      <c r="G313" s="130">
        <f t="shared" si="37"/>
        <v>0</v>
      </c>
      <c r="H313" s="62">
        <f>+GETPIVOTDATA(" New Inst. avg",'Averages Pivot Table'!$A$3,"State","FL","Category2","Two-Year")</f>
        <v>0</v>
      </c>
      <c r="I313" s="201">
        <f t="shared" si="38"/>
        <v>0</v>
      </c>
      <c r="J313" s="62">
        <f>+GETPIVOTDATA(" New Undesg. avg",'Averages Pivot Table'!$A$3,"State","FL","Category2","Two-Year")</f>
        <v>0</v>
      </c>
      <c r="K313" s="130">
        <f t="shared" si="39"/>
        <v>0</v>
      </c>
      <c r="L313" s="62">
        <f>+GETPIVOTDATA(" New Single Rnk avg",'Averages Pivot Table'!$A$3,"State","FL","Category2","Two-Year")</f>
        <v>54243.92208265065</v>
      </c>
      <c r="M313" s="201">
        <f t="shared" si="40"/>
        <v>3</v>
      </c>
      <c r="N313" s="62">
        <f>+GETPIVOTDATA(" New All Ranks avg",'Averages Pivot Table'!$A$3,"State","FL","Category2","Two-Year")</f>
        <v>54243.92208265065</v>
      </c>
      <c r="O313" s="201">
        <f t="shared" si="41"/>
        <v>4</v>
      </c>
    </row>
    <row r="314" spans="1:19" ht="12.95" customHeight="1">
      <c r="A314" s="12"/>
      <c r="B314" s="62"/>
      <c r="C314" s="130">
        <f t="shared" si="42"/>
        <v>0</v>
      </c>
      <c r="D314" s="62"/>
      <c r="E314" s="130">
        <f t="shared" si="42"/>
        <v>0</v>
      </c>
      <c r="F314" s="62"/>
      <c r="G314" s="130">
        <f t="shared" si="37"/>
        <v>0</v>
      </c>
      <c r="H314" s="62"/>
      <c r="I314" s="201">
        <f t="shared" si="38"/>
        <v>0</v>
      </c>
      <c r="J314" s="62"/>
      <c r="K314" s="130">
        <f t="shared" si="39"/>
        <v>0</v>
      </c>
      <c r="L314" s="62"/>
      <c r="M314" s="201">
        <f t="shared" si="40"/>
        <v>0</v>
      </c>
      <c r="N314" s="62"/>
      <c r="O314" s="201">
        <f t="shared" si="41"/>
        <v>0</v>
      </c>
    </row>
    <row r="315" spans="1:19" ht="12.95" customHeight="1">
      <c r="A315" s="12" t="s">
        <v>442</v>
      </c>
      <c r="B315" s="62">
        <f>+GETPIVOTDATA(" New Prof avg",'Averages Pivot Table'!$A$3,"State","GA","Category2","Two-Year")</f>
        <v>64010.766101151843</v>
      </c>
      <c r="C315" s="130">
        <f t="shared" si="42"/>
        <v>5</v>
      </c>
      <c r="D315" s="62">
        <f>+GETPIVOTDATA(" New Asc. avg",'Averages Pivot Table'!$A$3,"State","GA","Category2","Two-Year")</f>
        <v>53835.801681731209</v>
      </c>
      <c r="E315" s="130">
        <f t="shared" si="42"/>
        <v>6</v>
      </c>
      <c r="F315" s="62">
        <f>+GETPIVOTDATA(" New Ast. avg",'Averages Pivot Table'!$A$3,"State","GA","Category2","Two-Year")</f>
        <v>45166.643955088279</v>
      </c>
      <c r="G315" s="130">
        <f t="shared" si="37"/>
        <v>7</v>
      </c>
      <c r="H315" s="62">
        <f>+GETPIVOTDATA(" New Inst. avg",'Averages Pivot Table'!$A$3,"State","GA","Category2","Two-Year")</f>
        <v>40062.251290211083</v>
      </c>
      <c r="I315" s="201">
        <f t="shared" si="38"/>
        <v>6</v>
      </c>
      <c r="J315" s="62">
        <f>+GETPIVOTDATA(" New Undesg. avg",'Averages Pivot Table'!$A$3,"State","GA","Category2","Two-Year")</f>
        <v>38164.25372967033</v>
      </c>
      <c r="K315" s="130">
        <f t="shared" si="39"/>
        <v>7</v>
      </c>
      <c r="L315" s="62">
        <f>+GETPIVOTDATA(" New Single Rnk avg",'Averages Pivot Table'!$A$3,"State","GA","Category2","Two-Year")</f>
        <v>0</v>
      </c>
      <c r="M315" s="201">
        <f t="shared" si="40"/>
        <v>0</v>
      </c>
      <c r="N315" s="62">
        <f>+GETPIVOTDATA(" New All Ranks avg",'Averages Pivot Table'!$A$3,"State","GA","Category2","Two-Year")</f>
        <v>47971.754367968664</v>
      </c>
      <c r="O315" s="201">
        <f t="shared" si="41"/>
        <v>11</v>
      </c>
    </row>
    <row r="316" spans="1:19" ht="12.95" customHeight="1">
      <c r="A316" s="12" t="s">
        <v>443</v>
      </c>
      <c r="B316" s="62">
        <f>+GETPIVOTDATA(" New Prof avg",'Averages Pivot Table'!$A$3,"State","KY","Category2","Two-Year")</f>
        <v>58366.905191749174</v>
      </c>
      <c r="C316" s="130">
        <f t="shared" si="42"/>
        <v>9</v>
      </c>
      <c r="D316" s="62">
        <f>+GETPIVOTDATA(" New Asc. avg",'Averages Pivot Table'!$A$3,"State","KY","Category2","Two-Year")</f>
        <v>47891.743360067114</v>
      </c>
      <c r="E316" s="130">
        <f t="shared" si="42"/>
        <v>10</v>
      </c>
      <c r="F316" s="62">
        <f>+GETPIVOTDATA(" New Ast. avg",'Averages Pivot Table'!$A$3,"State","KY","Category2","Two-Year")</f>
        <v>41133.451012552301</v>
      </c>
      <c r="G316" s="130">
        <f t="shared" si="37"/>
        <v>10</v>
      </c>
      <c r="H316" s="62">
        <f>+GETPIVOTDATA(" New Inst. avg",'Averages Pivot Table'!$A$3,"State","KY","Category2","Two-Year")</f>
        <v>37504.39841856288</v>
      </c>
      <c r="I316" s="201">
        <f t="shared" si="38"/>
        <v>10</v>
      </c>
      <c r="J316" s="62">
        <f>+GETPIVOTDATA(" New Undesg. avg",'Averages Pivot Table'!$A$3,"State","KY","Category2","Two-Year")</f>
        <v>0</v>
      </c>
      <c r="K316" s="130">
        <f t="shared" si="39"/>
        <v>0</v>
      </c>
      <c r="L316" s="62">
        <f>+GETPIVOTDATA(" New Single Rnk avg",'Averages Pivot Table'!$A$3,"State","KY","Category2","Two-Year")</f>
        <v>0</v>
      </c>
      <c r="M316" s="201">
        <f t="shared" si="40"/>
        <v>0</v>
      </c>
      <c r="N316" s="62">
        <f>+GETPIVOTDATA(" New All Ranks avg",'Averages Pivot Table'!$A$3,"State","KY","Category2","Two-Year")</f>
        <v>48603.485888788731</v>
      </c>
      <c r="O316" s="201">
        <f t="shared" si="41"/>
        <v>9</v>
      </c>
    </row>
    <row r="317" spans="1:19" ht="12.95" customHeight="1">
      <c r="A317" s="12" t="s">
        <v>444</v>
      </c>
      <c r="B317" s="62">
        <f>+GETPIVOTDATA(" New Prof avg",'Averages Pivot Table'!$A$3,"State","LA","Category2","Two-Year")</f>
        <v>68319.956462937058</v>
      </c>
      <c r="C317" s="130">
        <f t="shared" si="42"/>
        <v>3</v>
      </c>
      <c r="D317" s="62">
        <f>+GETPIVOTDATA(" New Asc. avg",'Averages Pivot Table'!$A$3,"State","LA","Category2","Two-Year")</f>
        <v>54694.952822772277</v>
      </c>
      <c r="E317" s="130">
        <f t="shared" si="42"/>
        <v>5</v>
      </c>
      <c r="F317" s="62">
        <f>+GETPIVOTDATA(" New Ast. avg",'Averages Pivot Table'!$A$3,"State","LA","Category2","Two-Year")</f>
        <v>52051.288810380618</v>
      </c>
      <c r="G317" s="130">
        <f t="shared" si="37"/>
        <v>3</v>
      </c>
      <c r="H317" s="62">
        <f>+GETPIVOTDATA(" New Inst. avg",'Averages Pivot Table'!$A$3,"State","LA","Category2","Two-Year")</f>
        <v>42725.852998499999</v>
      </c>
      <c r="I317" s="201">
        <f t="shared" si="38"/>
        <v>5</v>
      </c>
      <c r="J317" s="62">
        <f>+GETPIVOTDATA(" New Undesg. avg",'Averages Pivot Table'!$A$3,"State","LA","Category2","Two-Year")</f>
        <v>38882</v>
      </c>
      <c r="K317" s="130">
        <f t="shared" si="39"/>
        <v>4</v>
      </c>
      <c r="L317" s="62">
        <f>+GETPIVOTDATA(" New Single Rnk avg",'Averages Pivot Table'!$A$3,"State","LA","Category2","Two-Year")</f>
        <v>39308</v>
      </c>
      <c r="M317" s="201">
        <f t="shared" si="40"/>
        <v>9</v>
      </c>
      <c r="N317" s="62">
        <f>+GETPIVOTDATA(" New All Ranks avg",'Averages Pivot Table'!$A$3,"State","LA","Category2","Two-Year")</f>
        <v>49808.065047129392</v>
      </c>
      <c r="O317" s="201">
        <f t="shared" si="41"/>
        <v>7</v>
      </c>
    </row>
    <row r="318" spans="1:19" ht="12.95" customHeight="1">
      <c r="A318" s="12" t="s">
        <v>445</v>
      </c>
      <c r="B318" s="62">
        <f>+GETPIVOTDATA(" New Prof avg",'Averages Pivot Table'!$A$3,"State","MD","Category2","Two-Year")</f>
        <v>80965.144863799287</v>
      </c>
      <c r="C318" s="130">
        <f t="shared" si="42"/>
        <v>1</v>
      </c>
      <c r="D318" s="62">
        <f>+GETPIVOTDATA(" New Asc. avg",'Averages Pivot Table'!$A$3,"State","MD","Category2","Two-Year")</f>
        <v>64492.576602962967</v>
      </c>
      <c r="E318" s="130">
        <f t="shared" si="42"/>
        <v>1</v>
      </c>
      <c r="F318" s="62">
        <f>+GETPIVOTDATA(" New Ast. avg",'Averages Pivot Table'!$A$3,"State","MD","Category2","Two-Year")</f>
        <v>55199.852029870133</v>
      </c>
      <c r="G318" s="130">
        <f t="shared" si="37"/>
        <v>1</v>
      </c>
      <c r="H318" s="62">
        <f>+GETPIVOTDATA(" New Inst. avg",'Averages Pivot Table'!$A$3,"State","MD","Category2","Two-Year")</f>
        <v>45789.041531147544</v>
      </c>
      <c r="I318" s="201">
        <f t="shared" si="38"/>
        <v>3</v>
      </c>
      <c r="J318" s="62">
        <f>+GETPIVOTDATA(" New Undesg. avg",'Averages Pivot Table'!$A$3,"State","MD","Category2","Two-Year")</f>
        <v>44093.037837837837</v>
      </c>
      <c r="K318" s="130">
        <f t="shared" si="39"/>
        <v>3</v>
      </c>
      <c r="L318" s="62">
        <f>+GETPIVOTDATA(" New Single Rnk avg",'Averages Pivot Table'!$A$3,"State","MD","Category2","Two-Year")</f>
        <v>0</v>
      </c>
      <c r="M318" s="201">
        <f t="shared" si="40"/>
        <v>0</v>
      </c>
      <c r="N318" s="62">
        <f>+GETPIVOTDATA(" New All Ranks avg",'Averages Pivot Table'!$A$3,"State","MD","Category2","Two-Year")</f>
        <v>65473.636499280561</v>
      </c>
      <c r="O318" s="201">
        <f t="shared" si="41"/>
        <v>1</v>
      </c>
    </row>
    <row r="319" spans="1:19" ht="12.95" customHeight="1">
      <c r="A319" s="12"/>
      <c r="B319" s="62"/>
      <c r="C319" s="130">
        <f t="shared" si="42"/>
        <v>0</v>
      </c>
      <c r="D319" s="62"/>
      <c r="E319" s="130">
        <f t="shared" si="42"/>
        <v>0</v>
      </c>
      <c r="F319" s="62"/>
      <c r="G319" s="130">
        <f t="shared" si="37"/>
        <v>0</v>
      </c>
      <c r="H319" s="62"/>
      <c r="I319" s="201">
        <f t="shared" si="38"/>
        <v>0</v>
      </c>
      <c r="J319" s="62"/>
      <c r="K319" s="130">
        <f t="shared" si="39"/>
        <v>0</v>
      </c>
      <c r="L319" s="62"/>
      <c r="M319" s="201">
        <f t="shared" si="40"/>
        <v>0</v>
      </c>
      <c r="N319" s="62"/>
      <c r="O319" s="201">
        <f t="shared" si="41"/>
        <v>0</v>
      </c>
    </row>
    <row r="320" spans="1:19" ht="12.95" customHeight="1">
      <c r="A320" s="12" t="s">
        <v>446</v>
      </c>
      <c r="B320" s="62">
        <f>+GETPIVOTDATA(" New Prof avg",'Averages Pivot Table'!$A$3,"State","MS","Category2","Two-Year")</f>
        <v>0</v>
      </c>
      <c r="C320" s="130">
        <f t="shared" si="42"/>
        <v>0</v>
      </c>
      <c r="D320" s="62">
        <f>+GETPIVOTDATA(" New Asc. avg",'Averages Pivot Table'!$A$3,"State","MS","Category2","Two-Year")</f>
        <v>0</v>
      </c>
      <c r="E320" s="130">
        <f t="shared" si="42"/>
        <v>0</v>
      </c>
      <c r="F320" s="62">
        <f>+GETPIVOTDATA(" New Ast. avg",'Averages Pivot Table'!$A$3,"State","MS","Category2","Two-Year")</f>
        <v>0</v>
      </c>
      <c r="G320" s="130">
        <f t="shared" si="37"/>
        <v>0</v>
      </c>
      <c r="H320" s="62">
        <f>+GETPIVOTDATA(" New Inst. avg",'Averages Pivot Table'!$A$3,"State","MS","Category2","Two-Year")</f>
        <v>0</v>
      </c>
      <c r="I320" s="201">
        <f t="shared" si="38"/>
        <v>0</v>
      </c>
      <c r="J320" s="62">
        <f>+GETPIVOTDATA(" New Undesg. avg",'Averages Pivot Table'!$A$3,"State","MS","Category2","Two-Year")</f>
        <v>0</v>
      </c>
      <c r="K320" s="130">
        <f t="shared" si="39"/>
        <v>0</v>
      </c>
      <c r="L320" s="62">
        <f>+GETPIVOTDATA(" New Single Rnk avg",'Averages Pivot Table'!$A$3,"State","MS","Category2","Two-Year")</f>
        <v>49309.383603560455</v>
      </c>
      <c r="M320" s="201">
        <f t="shared" si="40"/>
        <v>5</v>
      </c>
      <c r="N320" s="62">
        <f>+GETPIVOTDATA(" New All Ranks avg",'Averages Pivot Table'!$A$3,"State","MS","Category2","Two-Year")</f>
        <v>49309.383603560455</v>
      </c>
      <c r="O320" s="201">
        <f t="shared" si="41"/>
        <v>8</v>
      </c>
    </row>
    <row r="321" spans="1:16" ht="12.95" customHeight="1">
      <c r="A321" s="12" t="s">
        <v>447</v>
      </c>
      <c r="B321" s="62">
        <f>+GETPIVOTDATA(" New Prof avg",'Averages Pivot Table'!$A$3,"State","NC","Category2","Two-Year")</f>
        <v>0</v>
      </c>
      <c r="C321" s="130">
        <f t="shared" si="42"/>
        <v>0</v>
      </c>
      <c r="D321" s="62">
        <f>+GETPIVOTDATA(" New Asc. avg",'Averages Pivot Table'!$A$3,"State","NC","Category2","Two-Year")</f>
        <v>0</v>
      </c>
      <c r="E321" s="130">
        <f t="shared" si="42"/>
        <v>0</v>
      </c>
      <c r="F321" s="62">
        <f>+GETPIVOTDATA(" New Ast. avg",'Averages Pivot Table'!$A$3,"State","NC","Category2","Two-Year")</f>
        <v>0</v>
      </c>
      <c r="G321" s="130">
        <f t="shared" si="37"/>
        <v>0</v>
      </c>
      <c r="H321" s="62">
        <f>+GETPIVOTDATA(" New Inst. avg",'Averages Pivot Table'!$A$3,"State","NC","Category2","Two-Year")</f>
        <v>0</v>
      </c>
      <c r="I321" s="201">
        <f t="shared" si="38"/>
        <v>0</v>
      </c>
      <c r="J321" s="62">
        <f>+GETPIVOTDATA(" New Undesg. avg",'Averages Pivot Table'!$A$3,"State","NC","Category2","Two-Year")</f>
        <v>0</v>
      </c>
      <c r="K321" s="130">
        <f t="shared" si="39"/>
        <v>0</v>
      </c>
      <c r="L321" s="62">
        <f>+GETPIVOTDATA(" New Single Rnk avg",'Averages Pivot Table'!$A$3,"State","NC","Category2","Two-Year")</f>
        <v>47284.192889672398</v>
      </c>
      <c r="M321" s="201">
        <f t="shared" si="40"/>
        <v>7</v>
      </c>
      <c r="N321" s="62">
        <f>+GETPIVOTDATA(" New All Ranks avg",'Averages Pivot Table'!$A$3,"State","NC","Category2","Two-Year")</f>
        <v>47284.192889672398</v>
      </c>
      <c r="O321" s="201">
        <f t="shared" si="41"/>
        <v>12</v>
      </c>
    </row>
    <row r="322" spans="1:16" ht="12.95" customHeight="1">
      <c r="A322" s="12" t="s">
        <v>448</v>
      </c>
      <c r="B322" s="62">
        <f>+GETPIVOTDATA(" New Prof avg",'Averages Pivot Table'!$A$3,"State","OK","Category2","Two-Year")</f>
        <v>0</v>
      </c>
      <c r="C322" s="130">
        <f t="shared" si="42"/>
        <v>0</v>
      </c>
      <c r="D322" s="62">
        <f>+GETPIVOTDATA(" New Asc. avg",'Averages Pivot Table'!$A$3,"State","OK","Category2","Two-Year")</f>
        <v>0</v>
      </c>
      <c r="E322" s="130">
        <f t="shared" si="42"/>
        <v>0</v>
      </c>
      <c r="F322" s="62">
        <f>+GETPIVOTDATA(" New Ast. avg",'Averages Pivot Table'!$A$3,"State","OK","Category2","Two-Year")</f>
        <v>0</v>
      </c>
      <c r="G322" s="130">
        <f t="shared" si="37"/>
        <v>0</v>
      </c>
      <c r="H322" s="62">
        <f>+GETPIVOTDATA(" New Inst. avg",'Averages Pivot Table'!$A$3,"State","OK","Category2","Two-Year")</f>
        <v>0</v>
      </c>
      <c r="I322" s="201">
        <f t="shared" si="38"/>
        <v>0</v>
      </c>
      <c r="J322" s="62">
        <f>+GETPIVOTDATA(" New Undesg. avg",'Averages Pivot Table'!$A$3,"State","OK","Category2","Two-Year")</f>
        <v>0</v>
      </c>
      <c r="K322" s="130">
        <f t="shared" si="39"/>
        <v>0</v>
      </c>
      <c r="L322" s="62">
        <f>+GETPIVOTDATA(" New Single Rnk avg",'Averages Pivot Table'!$A$3,"State","OK","Category2","Two-Year")</f>
        <v>48473.878839482204</v>
      </c>
      <c r="M322" s="201">
        <f t="shared" si="40"/>
        <v>6</v>
      </c>
      <c r="N322" s="62">
        <f>+GETPIVOTDATA(" New All Ranks avg",'Averages Pivot Table'!$A$3,"State","OK","Category2","Two-Year")</f>
        <v>48473.878839482204</v>
      </c>
      <c r="O322" s="201">
        <f t="shared" si="41"/>
        <v>10</v>
      </c>
    </row>
    <row r="323" spans="1:16" ht="12.95" customHeight="1">
      <c r="A323" s="12" t="s">
        <v>449</v>
      </c>
      <c r="B323" s="62">
        <f>+GETPIVOTDATA(" New Prof avg",'Averages Pivot Table'!$A$3,"State","SC","Category2","Two-Year")</f>
        <v>69346.876644444448</v>
      </c>
      <c r="C323" s="130">
        <f t="shared" si="42"/>
        <v>2</v>
      </c>
      <c r="D323" s="62">
        <f>+GETPIVOTDATA(" New Asc. avg",'Averages Pivot Table'!$A$3,"State","SC","Category2","Two-Year")</f>
        <v>57813.499031578947</v>
      </c>
      <c r="E323" s="130">
        <f t="shared" si="42"/>
        <v>3</v>
      </c>
      <c r="F323" s="62">
        <f>+GETPIVOTDATA(" New Ast. avg",'Averages Pivot Table'!$A$3,"State","SC","Category2","Two-Year")</f>
        <v>47764.868888888886</v>
      </c>
      <c r="G323" s="130">
        <f t="shared" si="37"/>
        <v>5</v>
      </c>
      <c r="H323" s="62">
        <f>+GETPIVOTDATA(" New Inst. avg",'Averages Pivot Table'!$A$3,"State","SC","Category2","Two-Year")</f>
        <v>43065.368923076923</v>
      </c>
      <c r="I323" s="201">
        <f t="shared" si="38"/>
        <v>4</v>
      </c>
      <c r="J323" s="62">
        <f>+GETPIVOTDATA(" New Undesg. avg",'Averages Pivot Table'!$A$3,"State","SC","Category2","Two-Year")</f>
        <v>46045.671120246661</v>
      </c>
      <c r="K323" s="130">
        <f t="shared" si="39"/>
        <v>2</v>
      </c>
      <c r="L323" s="62">
        <f>+GETPIVOTDATA(" New Single Rnk avg",'Averages Pivot Table'!$A$3,"State","SC","Category2","Two-Year")</f>
        <v>0</v>
      </c>
      <c r="M323" s="201">
        <f t="shared" si="40"/>
        <v>0</v>
      </c>
      <c r="N323" s="62">
        <f>+GETPIVOTDATA(" New All Ranks avg",'Averages Pivot Table'!$A$3,"State","SC","Category2","Two-Year")</f>
        <v>46503.61809042254</v>
      </c>
      <c r="O323" s="201">
        <f t="shared" si="41"/>
        <v>14</v>
      </c>
    </row>
    <row r="324" spans="1:16" ht="12.95" customHeight="1">
      <c r="A324" s="12"/>
      <c r="B324" s="62"/>
      <c r="C324" s="130">
        <f t="shared" si="42"/>
        <v>0</v>
      </c>
      <c r="D324" s="62"/>
      <c r="E324" s="130">
        <f t="shared" si="42"/>
        <v>0</v>
      </c>
      <c r="F324" s="62"/>
      <c r="G324" s="130">
        <f t="shared" si="37"/>
        <v>0</v>
      </c>
      <c r="H324" s="62"/>
      <c r="I324" s="201">
        <f t="shared" si="38"/>
        <v>0</v>
      </c>
      <c r="J324" s="62"/>
      <c r="K324" s="130">
        <f t="shared" si="39"/>
        <v>0</v>
      </c>
      <c r="L324" s="62"/>
      <c r="M324" s="201">
        <f t="shared" si="40"/>
        <v>0</v>
      </c>
      <c r="N324" s="62"/>
      <c r="O324" s="201">
        <f t="shared" si="41"/>
        <v>0</v>
      </c>
    </row>
    <row r="325" spans="1:16" ht="12.95" customHeight="1">
      <c r="A325" s="12" t="s">
        <v>450</v>
      </c>
      <c r="B325" s="129">
        <f>+GETPIVOTDATA(" New Prof avg",'Averages Pivot Table'!$A$3,"State","TN","Category2","Two-Year")</f>
        <v>59105.386337444936</v>
      </c>
      <c r="C325" s="130">
        <f t="shared" si="42"/>
        <v>8</v>
      </c>
      <c r="D325" s="129">
        <f>+GETPIVOTDATA(" New Asc. avg",'Averages Pivot Table'!$A$3,"State","TN","Category2","Two-Year")</f>
        <v>49976.28950997442</v>
      </c>
      <c r="E325" s="130">
        <f t="shared" si="42"/>
        <v>9</v>
      </c>
      <c r="F325" s="129">
        <f>+GETPIVOTDATA(" New Ast. avg",'Averages Pivot Table'!$A$3,"State","TN","Category2","Two-Year")</f>
        <v>41821.303892307697</v>
      </c>
      <c r="G325" s="130">
        <f t="shared" si="37"/>
        <v>9</v>
      </c>
      <c r="H325" s="129">
        <f>+GETPIVOTDATA(" New Inst. avg",'Averages Pivot Table'!$A$3,"State","TN","Category2","Two-Year")</f>
        <v>37602.22879813084</v>
      </c>
      <c r="I325" s="201">
        <f t="shared" si="38"/>
        <v>9</v>
      </c>
      <c r="J325" s="129">
        <f>+GETPIVOTDATA(" New Undesg. avg",'Averages Pivot Table'!$A$3,"State","TN","Category2","Two-Year")</f>
        <v>38599.125</v>
      </c>
      <c r="K325" s="130">
        <f t="shared" si="39"/>
        <v>5</v>
      </c>
      <c r="L325" s="129">
        <f>+GETPIVOTDATA(" New Single Rnk avg",'Averages Pivot Table'!$A$3,"State","TN","Category2","Two-Year")</f>
        <v>0</v>
      </c>
      <c r="M325" s="201">
        <f t="shared" si="40"/>
        <v>0</v>
      </c>
      <c r="N325" s="62">
        <f>+GETPIVOTDATA(" New All Ranks avg",'Averages Pivot Table'!$A$3,"State","TN","Category2","Two-Year")</f>
        <v>46502.975476948588</v>
      </c>
      <c r="O325" s="201">
        <f t="shared" si="41"/>
        <v>15</v>
      </c>
    </row>
    <row r="326" spans="1:16" ht="12.95" customHeight="1">
      <c r="A326" s="12" t="s">
        <v>451</v>
      </c>
      <c r="B326" s="129">
        <f>+GETPIVOTDATA(" New Prof avg",'Averages Pivot Table'!$A$3,"State","TX","Category2","Two-Year")</f>
        <v>62594.132329544671</v>
      </c>
      <c r="C326" s="130">
        <f t="shared" si="42"/>
        <v>6</v>
      </c>
      <c r="D326" s="129">
        <f>+GETPIVOTDATA(" New Asc. avg",'Averages Pivot Table'!$A$3,"State","TX","Category2","Two-Year")</f>
        <v>53541.499904709148</v>
      </c>
      <c r="E326" s="130">
        <f t="shared" si="42"/>
        <v>7</v>
      </c>
      <c r="F326" s="129">
        <f>+GETPIVOTDATA(" New Ast. avg",'Averages Pivot Table'!$A$3,"State","TX","Category2","Two-Year")</f>
        <v>50647.103939818626</v>
      </c>
      <c r="G326" s="130">
        <f t="shared" si="37"/>
        <v>4</v>
      </c>
      <c r="H326" s="129">
        <f>+GETPIVOTDATA(" New Inst. avg",'Averages Pivot Table'!$A$3,"State","TX","Category2","Two-Year")</f>
        <v>48564.585312123883</v>
      </c>
      <c r="I326" s="201">
        <f t="shared" si="38"/>
        <v>1</v>
      </c>
      <c r="J326" s="129">
        <f>+GETPIVOTDATA(" New Undesg. avg",'Averages Pivot Table'!$A$3,"State","TX","Category2","Two-Year")</f>
        <v>37581.649122077921</v>
      </c>
      <c r="K326" s="130">
        <f t="shared" si="39"/>
        <v>8</v>
      </c>
      <c r="L326" s="129">
        <f>+GETPIVOTDATA(" New Single Rnk avg",'Averages Pivot Table'!$A$3,"State","TX","Category2","Two-Year")</f>
        <v>54784.776866112006</v>
      </c>
      <c r="M326" s="201">
        <f t="shared" si="40"/>
        <v>2</v>
      </c>
      <c r="N326" s="62">
        <f>+GETPIVOTDATA(" New All Ranks avg",'Averages Pivot Table'!$A$3,"State","TX","Category2","Two-Year")</f>
        <v>53774.019832766913</v>
      </c>
      <c r="O326" s="201">
        <f t="shared" si="41"/>
        <v>5</v>
      </c>
    </row>
    <row r="327" spans="1:16" ht="12.95" customHeight="1">
      <c r="A327" s="12" t="s">
        <v>452</v>
      </c>
      <c r="B327" s="129">
        <f>+GETPIVOTDATA(" New Prof avg",'Averages Pivot Table'!$A$3,"State","VA","Category2","Two-Year")</f>
        <v>66667.408095364241</v>
      </c>
      <c r="C327" s="130">
        <f t="shared" si="42"/>
        <v>4</v>
      </c>
      <c r="D327" s="129">
        <f>+GETPIVOTDATA(" New Asc. avg",'Averages Pivot Table'!$A$3,"State","VA","Category2","Two-Year")</f>
        <v>59511.062108823528</v>
      </c>
      <c r="E327" s="130">
        <f t="shared" si="42"/>
        <v>2</v>
      </c>
      <c r="F327" s="129">
        <f>+GETPIVOTDATA(" New Ast. avg",'Averages Pivot Table'!$A$3,"State","VA","Category2","Two-Year")</f>
        <v>53607.336890778097</v>
      </c>
      <c r="G327" s="130">
        <f t="shared" si="37"/>
        <v>2</v>
      </c>
      <c r="H327" s="129">
        <f>+GETPIVOTDATA(" New Inst. avg",'Averages Pivot Table'!$A$3,"State","VA","Category2","Two-Year")</f>
        <v>48175.76580696056</v>
      </c>
      <c r="I327" s="201">
        <f t="shared" si="38"/>
        <v>2</v>
      </c>
      <c r="J327" s="129">
        <f>+GETPIVOTDATA(" New Undesg. avg",'Averages Pivot Table'!$A$3,"State","VA","Category2","Two-Year")</f>
        <v>72022.055000000008</v>
      </c>
      <c r="K327" s="130">
        <f t="shared" si="39"/>
        <v>1</v>
      </c>
      <c r="L327" s="129">
        <f>+GETPIVOTDATA(" New Single Rnk avg",'Averages Pivot Table'!$A$3,"State","VA","Category2","Two-Year")</f>
        <v>0</v>
      </c>
      <c r="M327" s="201">
        <f t="shared" si="40"/>
        <v>0</v>
      </c>
      <c r="N327" s="62">
        <f>+GETPIVOTDATA(" New All Ranks avg",'Averages Pivot Table'!$A$3,"State","VA","Category2","Two-Year")</f>
        <v>56975.266498981859</v>
      </c>
      <c r="O327" s="201">
        <f t="shared" si="41"/>
        <v>3</v>
      </c>
    </row>
    <row r="328" spans="1:16" ht="12.95" customHeight="1">
      <c r="A328" s="11" t="s">
        <v>453</v>
      </c>
      <c r="B328" s="64">
        <f>+GETPIVOTDATA(" New Prof avg",'Averages Pivot Table'!$A$3,"State","WV","Category2","Two-Year")</f>
        <v>61544.259454545456</v>
      </c>
      <c r="C328" s="65">
        <f t="shared" si="42"/>
        <v>7</v>
      </c>
      <c r="D328" s="64">
        <f>+GETPIVOTDATA(" New Asc. avg",'Averages Pivot Table'!$A$3,"State","WV","Category2","Two-Year")</f>
        <v>53273.229055882359</v>
      </c>
      <c r="E328" s="65">
        <f t="shared" si="42"/>
        <v>8</v>
      </c>
      <c r="F328" s="64">
        <f>+GETPIVOTDATA(" New Ast. avg",'Averages Pivot Table'!$A$3,"State","WV","Category2","Two-Year")</f>
        <v>45466.749315942034</v>
      </c>
      <c r="G328" s="65">
        <f t="shared" si="37"/>
        <v>6</v>
      </c>
      <c r="H328" s="64">
        <f>+GETPIVOTDATA(" New Inst. avg",'Averages Pivot Table'!$A$3,"State","WV","Category2","Two-Year")</f>
        <v>38405.285944041454</v>
      </c>
      <c r="I328" s="202">
        <f t="shared" si="38"/>
        <v>8</v>
      </c>
      <c r="J328" s="64">
        <f>+GETPIVOTDATA(" New Undesg. avg",'Averages Pivot Table'!$A$3,"State","WV","Category2","Two-Year")</f>
        <v>38563.323034285713</v>
      </c>
      <c r="K328" s="65">
        <f t="shared" si="39"/>
        <v>6</v>
      </c>
      <c r="L328" s="64">
        <f>+GETPIVOTDATA(" New Single Rnk avg",'Averages Pivot Table'!$A$3,"State","WV","Category2","Two-Year")</f>
        <v>0</v>
      </c>
      <c r="M328" s="202">
        <f t="shared" si="40"/>
        <v>0</v>
      </c>
      <c r="N328" s="64">
        <f>+GETPIVOTDATA(" New All Ranks avg",'Averages Pivot Table'!$A$3,"State","WV","Category2","Two-Year")</f>
        <v>47037.446610450454</v>
      </c>
      <c r="O328" s="202">
        <f t="shared" si="41"/>
        <v>13</v>
      </c>
    </row>
    <row r="329" spans="1:16" ht="30" customHeight="1">
      <c r="A329" s="628" t="s">
        <v>323</v>
      </c>
      <c r="B329" s="628"/>
      <c r="C329" s="628"/>
      <c r="D329" s="628"/>
      <c r="E329" s="628"/>
      <c r="F329" s="628"/>
      <c r="G329" s="628"/>
      <c r="H329" s="628"/>
      <c r="I329" s="628"/>
      <c r="J329" s="628"/>
      <c r="K329" s="628"/>
      <c r="L329" s="628"/>
      <c r="M329" s="628"/>
      <c r="N329" s="628"/>
      <c r="O329" s="628"/>
    </row>
    <row r="330" spans="1:16">
      <c r="O330" s="244" t="s">
        <v>1166</v>
      </c>
    </row>
    <row r="331" spans="1:16" ht="18">
      <c r="A331" s="618" t="s">
        <v>787</v>
      </c>
      <c r="B331" s="618"/>
      <c r="C331" s="618"/>
      <c r="D331" s="618"/>
      <c r="E331" s="618"/>
      <c r="F331" s="618"/>
      <c r="G331" s="618"/>
      <c r="H331" s="618"/>
      <c r="I331" s="618"/>
      <c r="J331" s="618"/>
      <c r="K331" s="618"/>
      <c r="L331" s="618"/>
      <c r="M331" s="618"/>
      <c r="N331" s="618"/>
      <c r="O331" s="618"/>
      <c r="P331" s="254" t="s">
        <v>457</v>
      </c>
    </row>
    <row r="332" spans="1:16">
      <c r="A332" s="23"/>
      <c r="B332" s="5"/>
      <c r="C332" s="5"/>
      <c r="D332" s="5"/>
      <c r="E332" s="5"/>
      <c r="F332" s="5"/>
      <c r="G332" s="5"/>
      <c r="H332" s="5"/>
      <c r="I332" s="159"/>
      <c r="J332" s="5"/>
      <c r="K332" s="5"/>
      <c r="L332" s="5"/>
      <c r="M332" s="159"/>
      <c r="N332" s="5"/>
      <c r="O332" s="159"/>
    </row>
    <row r="333" spans="1:16">
      <c r="A333" s="619" t="s">
        <v>454</v>
      </c>
      <c r="B333" s="619"/>
      <c r="C333" s="619"/>
      <c r="D333" s="619"/>
      <c r="E333" s="619"/>
      <c r="F333" s="619"/>
      <c r="G333" s="619"/>
      <c r="H333" s="619"/>
      <c r="I333" s="619"/>
      <c r="J333" s="619"/>
      <c r="K333" s="619"/>
      <c r="L333" s="619"/>
      <c r="M333" s="619"/>
      <c r="N333" s="619"/>
      <c r="O333" s="619"/>
    </row>
    <row r="334" spans="1:16">
      <c r="A334" s="619" t="s">
        <v>1152</v>
      </c>
      <c r="B334" s="619"/>
      <c r="C334" s="619"/>
      <c r="D334" s="619"/>
      <c r="E334" s="619"/>
      <c r="F334" s="619"/>
      <c r="G334" s="619"/>
      <c r="H334" s="619"/>
      <c r="I334" s="619"/>
      <c r="J334" s="619"/>
      <c r="K334" s="619"/>
      <c r="L334" s="619"/>
      <c r="M334" s="619"/>
      <c r="N334" s="619"/>
      <c r="O334" s="619"/>
    </row>
    <row r="335" spans="1:16">
      <c r="A335" s="12"/>
      <c r="B335" s="12"/>
      <c r="C335" s="12"/>
      <c r="D335" s="12"/>
      <c r="E335" s="12"/>
      <c r="F335" s="12"/>
      <c r="G335" s="12"/>
      <c r="H335" s="12"/>
      <c r="I335" s="215"/>
      <c r="J335" s="12"/>
      <c r="K335" s="12"/>
      <c r="L335" s="12"/>
      <c r="M335" s="215"/>
      <c r="N335" s="12"/>
      <c r="O335" s="215"/>
    </row>
    <row r="336" spans="1:16" ht="33" customHeight="1">
      <c r="A336" s="15"/>
      <c r="B336" s="21" t="s">
        <v>332</v>
      </c>
      <c r="C336" s="22"/>
      <c r="D336" s="141" t="s">
        <v>333</v>
      </c>
      <c r="E336" s="142"/>
      <c r="F336" s="141" t="s">
        <v>334</v>
      </c>
      <c r="G336" s="142"/>
      <c r="H336" s="21" t="s">
        <v>335</v>
      </c>
      <c r="I336" s="225"/>
      <c r="J336" s="141" t="s">
        <v>461</v>
      </c>
      <c r="K336" s="142"/>
      <c r="L336" s="22" t="s">
        <v>314</v>
      </c>
      <c r="M336" s="225"/>
      <c r="N336" s="22" t="s">
        <v>316</v>
      </c>
      <c r="O336" s="225"/>
    </row>
    <row r="337" spans="1:19">
      <c r="A337" s="16"/>
      <c r="B337" s="19" t="s">
        <v>336</v>
      </c>
      <c r="C337" s="18" t="s">
        <v>427</v>
      </c>
      <c r="D337" s="19" t="s">
        <v>336</v>
      </c>
      <c r="E337" s="18" t="s">
        <v>427</v>
      </c>
      <c r="F337" s="19" t="s">
        <v>336</v>
      </c>
      <c r="G337" s="18" t="s">
        <v>427</v>
      </c>
      <c r="H337" s="19" t="s">
        <v>336</v>
      </c>
      <c r="I337" s="226" t="s">
        <v>427</v>
      </c>
      <c r="J337" s="19" t="s">
        <v>336</v>
      </c>
      <c r="K337" s="18" t="s">
        <v>427</v>
      </c>
      <c r="L337" s="19" t="s">
        <v>336</v>
      </c>
      <c r="M337" s="226" t="s">
        <v>427</v>
      </c>
      <c r="N337" s="19" t="s">
        <v>336</v>
      </c>
      <c r="O337" s="226" t="s">
        <v>427</v>
      </c>
    </row>
    <row r="338" spans="1:19" s="156" customFormat="1" ht="18" customHeight="1">
      <c r="A338" s="168" t="s">
        <v>456</v>
      </c>
      <c r="B338" s="172">
        <f>+GETPIVOTDATA(" New Prof avg",'Averages Pivot Table'!$A$3,"Category",7,"Category2","Two-Year")</f>
        <v>64603.005077720212</v>
      </c>
      <c r="C338" s="172"/>
      <c r="D338" s="172">
        <f>+GETPIVOTDATA(" New Asc. avg",'Averages Pivot Table'!$A$3,"Category",7,"Category2","Two-Year")</f>
        <v>53279.468589573466</v>
      </c>
      <c r="E338" s="172"/>
      <c r="F338" s="172">
        <f>+GETPIVOTDATA(" New Ast. avg",'Averages Pivot Table'!$A$3,"Category",7,"Category2","Two-Year")</f>
        <v>45995.663736601302</v>
      </c>
      <c r="G338" s="172"/>
      <c r="H338" s="172">
        <f>+GETPIVOTDATA(" New Inst. avg",'Averages Pivot Table'!$A$3,"Category",7,"Category2","Two-Year")</f>
        <v>48780.156261658842</v>
      </c>
      <c r="I338" s="229"/>
      <c r="J338" s="172">
        <f>+GETPIVOTDATA(" New Undesg. avg",'Averages Pivot Table'!$A$3,"Category",7,"Category2","Two-Year")</f>
        <v>36948.160200000006</v>
      </c>
      <c r="K338" s="172"/>
      <c r="L338" s="172">
        <f>+GETPIVOTDATA(" New Single Rnk avg",'Averages Pivot Table'!$A$3,"Category",7,"Category2","Two-Year")</f>
        <v>58219.442157218626</v>
      </c>
      <c r="M338" s="229"/>
      <c r="N338" s="172">
        <f>+GETPIVOTDATA(" New All Ranks avg",'Averages Pivot Table'!$A$3,"Category",7,"Category2","Two-Year")</f>
        <v>54861.800102206347</v>
      </c>
      <c r="O338" s="216"/>
      <c r="Q338" s="193"/>
      <c r="R338" s="193"/>
      <c r="S338" s="193"/>
    </row>
    <row r="339" spans="1:19" ht="12.95" customHeight="1">
      <c r="A339" s="12"/>
      <c r="B339" s="9"/>
      <c r="C339" s="17"/>
      <c r="D339" s="9"/>
      <c r="E339" s="17"/>
      <c r="F339" s="9"/>
      <c r="G339" s="17"/>
      <c r="H339" s="9"/>
      <c r="I339" s="233"/>
      <c r="J339" s="9"/>
      <c r="K339" s="17"/>
      <c r="L339" s="9"/>
      <c r="M339" s="233"/>
      <c r="N339" s="9"/>
      <c r="O339" s="217"/>
    </row>
    <row r="340" spans="1:19" ht="12.95" customHeight="1">
      <c r="A340" s="12" t="s">
        <v>439</v>
      </c>
      <c r="B340" s="62">
        <f>+GETPIVOTDATA(" New Prof avg",'Averages Pivot Table'!$A$3,"State","AL","Category",7,"Category2","Two-Year")</f>
        <v>0</v>
      </c>
      <c r="C340" s="130">
        <f>IF(B340&gt;0,(RANK(B340,B$340:B$358)),0)</f>
        <v>0</v>
      </c>
      <c r="D340" s="62">
        <f>+GETPIVOTDATA(" New Asc. avg",'Averages Pivot Table'!$A$3,"State","AL","Category",7,"Category2","Two-Year")</f>
        <v>0</v>
      </c>
      <c r="E340" s="130">
        <f>IF(D340&gt;0,(RANK(D340,D$340:D$358)),0)</f>
        <v>0</v>
      </c>
      <c r="F340" s="62">
        <f>+GETPIVOTDATA(" New Ast. avg",'Averages Pivot Table'!$A$3,"State","AL","Category",7,"Category2","Two-Year")</f>
        <v>0</v>
      </c>
      <c r="G340" s="130">
        <f t="shared" ref="G340:G358" si="43">IF(F340&gt;0,(RANK(F340,F$340:F$358)),0)</f>
        <v>0</v>
      </c>
      <c r="H340" s="62">
        <f>+GETPIVOTDATA(" New Inst. avg",'Averages Pivot Table'!$A$3,"State","AL","Category",7,"Category2","Two-Year")</f>
        <v>0</v>
      </c>
      <c r="I340" s="201">
        <f t="shared" ref="I340:I358" si="44">IF(H340&gt;0,(RANK(H340,H$340:H$358)),0)</f>
        <v>0</v>
      </c>
      <c r="J340" s="62">
        <f>+GETPIVOTDATA(" New Undesg. avg",'Averages Pivot Table'!$A$3,"State","AL","Category",7,"Category2","Two-Year")</f>
        <v>0</v>
      </c>
      <c r="K340" s="130">
        <f t="shared" ref="K340:K358" si="45">IF(J340&gt;0,(RANK(J340,J$340:J$358)),0)</f>
        <v>0</v>
      </c>
      <c r="L340" s="62">
        <f>+GETPIVOTDATA(" New Single Rnk avg",'Averages Pivot Table'!$A$3,"State","AL","Category",7,"Category2","Two-Year")</f>
        <v>0</v>
      </c>
      <c r="M340" s="201">
        <f t="shared" ref="M340:M358" si="46">IF(L340&gt;0,(RANK(L340,L$340:L$358)),0)</f>
        <v>0</v>
      </c>
      <c r="N340" s="62">
        <f>+GETPIVOTDATA(" New All Ranks avg",'Averages Pivot Table'!$A$3,"State","AL","Category",7,"Category2","Two-Year")</f>
        <v>0</v>
      </c>
      <c r="O340" s="201">
        <f t="shared" ref="O340:O358" si="47">IF(N340&gt;0,(RANK(N340,N$340:N$358)),0)</f>
        <v>0</v>
      </c>
    </row>
    <row r="341" spans="1:19" ht="12.95" customHeight="1">
      <c r="A341" s="12" t="s">
        <v>440</v>
      </c>
      <c r="B341" s="62">
        <f>+GETPIVOTDATA(" New Prof avg",'Averages Pivot Table'!$A$3,"State","AR","Category",7,"Category2","Two-Year")</f>
        <v>0</v>
      </c>
      <c r="C341" s="130">
        <f t="shared" ref="C341:E358" si="48">IF(B341&gt;0,(RANK(B341,B$340:B$358)),0)</f>
        <v>0</v>
      </c>
      <c r="D341" s="62">
        <f>+GETPIVOTDATA(" New Asc. avg",'Averages Pivot Table'!$A$3,"State","AR","Category",7,"Category2","Two-Year")</f>
        <v>0</v>
      </c>
      <c r="E341" s="130">
        <f t="shared" si="48"/>
        <v>0</v>
      </c>
      <c r="F341" s="62">
        <f>+GETPIVOTDATA(" New Ast. avg",'Averages Pivot Table'!$A$3,"State","AR","Category",7,"Category2","Two-Year")</f>
        <v>0</v>
      </c>
      <c r="G341" s="130">
        <f t="shared" si="43"/>
        <v>0</v>
      </c>
      <c r="H341" s="62">
        <f>+GETPIVOTDATA(" New Inst. avg",'Averages Pivot Table'!$A$3,"State","AR","Category",7,"Category2","Two-Year")</f>
        <v>0</v>
      </c>
      <c r="I341" s="201">
        <f t="shared" si="44"/>
        <v>0</v>
      </c>
      <c r="J341" s="62">
        <f>+GETPIVOTDATA(" New Undesg. avg",'Averages Pivot Table'!$A$3,"State","AR","Category",7,"Category2","Two-Year")</f>
        <v>0</v>
      </c>
      <c r="K341" s="130">
        <f t="shared" si="45"/>
        <v>0</v>
      </c>
      <c r="L341" s="62">
        <f>+GETPIVOTDATA(" New Single Rnk avg",'Averages Pivot Table'!$A$3,"State","AR","Category",7,"Category2","Two-Year")</f>
        <v>0</v>
      </c>
      <c r="M341" s="201">
        <f t="shared" si="46"/>
        <v>0</v>
      </c>
      <c r="N341" s="62">
        <f>+GETPIVOTDATA(" New All Ranks avg",'Averages Pivot Table'!$A$3,"State","AR","Category",7,"Category2","Two-Year")</f>
        <v>0</v>
      </c>
      <c r="O341" s="201">
        <f t="shared" si="47"/>
        <v>0</v>
      </c>
    </row>
    <row r="342" spans="1:19" ht="12.95" customHeight="1">
      <c r="A342" s="12" t="s">
        <v>455</v>
      </c>
      <c r="B342" s="62">
        <f>+GETPIVOTDATA(" New Prof avg",'Averages Pivot Table'!$A$3,"State","DE","Category",7,"Category2","Two-Year")</f>
        <v>0</v>
      </c>
      <c r="C342" s="130">
        <f t="shared" si="48"/>
        <v>0</v>
      </c>
      <c r="D342" s="62">
        <f>+GETPIVOTDATA(" New Asc. avg",'Averages Pivot Table'!$A$3,"State","DE","Category",7,"Category2","Two-Year")</f>
        <v>0</v>
      </c>
      <c r="E342" s="130">
        <f t="shared" si="48"/>
        <v>0</v>
      </c>
      <c r="F342" s="62">
        <f>+GETPIVOTDATA(" New Ast. avg",'Averages Pivot Table'!$A$3,"State","DE","Category",7,"Category2","Two-Year")</f>
        <v>0</v>
      </c>
      <c r="G342" s="130">
        <f t="shared" si="43"/>
        <v>0</v>
      </c>
      <c r="H342" s="62">
        <f>+GETPIVOTDATA(" New Inst. avg",'Averages Pivot Table'!$A$3,"State","DE","Category",7,"Category2","Two-Year")</f>
        <v>0</v>
      </c>
      <c r="I342" s="201">
        <f t="shared" si="44"/>
        <v>0</v>
      </c>
      <c r="J342" s="62">
        <f>+GETPIVOTDATA(" New Undesg. avg",'Averages Pivot Table'!$A$3,"State","DE","Category",7,"Category2","Two-Year")</f>
        <v>0</v>
      </c>
      <c r="K342" s="130">
        <f t="shared" si="45"/>
        <v>0</v>
      </c>
      <c r="L342" s="62">
        <f>+GETPIVOTDATA(" New Single Rnk avg",'Averages Pivot Table'!$A$3,"State","DE","Category",7,"Category2","Two-Year")</f>
        <v>0</v>
      </c>
      <c r="M342" s="201">
        <f t="shared" si="46"/>
        <v>0</v>
      </c>
      <c r="N342" s="62">
        <f>+GETPIVOTDATA(" New All Ranks avg",'Averages Pivot Table'!$A$3,"State","DE","Category",7,"Category2","Two-Year")</f>
        <v>0</v>
      </c>
      <c r="O342" s="201">
        <f t="shared" si="47"/>
        <v>0</v>
      </c>
    </row>
    <row r="343" spans="1:19" ht="12.95" customHeight="1">
      <c r="A343" s="12" t="s">
        <v>441</v>
      </c>
      <c r="B343" s="62">
        <f>+GETPIVOTDATA(" New Prof avg",'Averages Pivot Table'!$A$3,"State","FL","Category",7,"Category2","Two-Year")</f>
        <v>0</v>
      </c>
      <c r="C343" s="130">
        <f t="shared" si="48"/>
        <v>0</v>
      </c>
      <c r="D343" s="62">
        <f>+GETPIVOTDATA(" New Asc. avg",'Averages Pivot Table'!$A$3,"State","FL","Category",7,"Category2","Two-Year")</f>
        <v>0</v>
      </c>
      <c r="E343" s="130">
        <f t="shared" si="48"/>
        <v>0</v>
      </c>
      <c r="F343" s="62">
        <f>+GETPIVOTDATA(" New Ast. avg",'Averages Pivot Table'!$A$3,"State","FL","Category",7,"Category2","Two-Year")</f>
        <v>0</v>
      </c>
      <c r="G343" s="130">
        <f t="shared" si="43"/>
        <v>0</v>
      </c>
      <c r="H343" s="62">
        <f>+GETPIVOTDATA(" New Inst. avg",'Averages Pivot Table'!$A$3,"State","FL","Category",7,"Category2","Two-Year")</f>
        <v>0</v>
      </c>
      <c r="I343" s="201">
        <f t="shared" si="44"/>
        <v>0</v>
      </c>
      <c r="J343" s="62">
        <f>+GETPIVOTDATA(" New Undesg. avg",'Averages Pivot Table'!$A$3,"State","FL","Category",7,"Category2","Two-Year")</f>
        <v>0</v>
      </c>
      <c r="K343" s="130">
        <f t="shared" si="45"/>
        <v>0</v>
      </c>
      <c r="L343" s="62">
        <f>+GETPIVOTDATA(" New Single Rnk avg",'Averages Pivot Table'!$A$3,"State","FL","Category",7,"Category2","Two-Year")</f>
        <v>58779.872367581367</v>
      </c>
      <c r="M343" s="201">
        <f t="shared" si="46"/>
        <v>1</v>
      </c>
      <c r="N343" s="62">
        <f>+GETPIVOTDATA(" New All Ranks avg",'Averages Pivot Table'!$A$3,"State","FL","Category",7,"Category2","Two-Year")</f>
        <v>58779.872367581367</v>
      </c>
      <c r="O343" s="201">
        <f t="shared" si="47"/>
        <v>1</v>
      </c>
    </row>
    <row r="344" spans="1:19" ht="12.95" customHeight="1">
      <c r="A344" s="12"/>
      <c r="B344" s="62"/>
      <c r="C344" s="130">
        <f t="shared" si="48"/>
        <v>0</v>
      </c>
      <c r="D344" s="62"/>
      <c r="E344" s="130">
        <f t="shared" si="48"/>
        <v>0</v>
      </c>
      <c r="F344" s="62"/>
      <c r="G344" s="130">
        <f t="shared" si="43"/>
        <v>0</v>
      </c>
      <c r="H344" s="62"/>
      <c r="I344" s="201">
        <f t="shared" si="44"/>
        <v>0</v>
      </c>
      <c r="J344" s="62"/>
      <c r="K344" s="130">
        <f t="shared" si="45"/>
        <v>0</v>
      </c>
      <c r="L344" s="62"/>
      <c r="M344" s="201">
        <f t="shared" si="46"/>
        <v>0</v>
      </c>
      <c r="N344" s="62"/>
      <c r="O344" s="201">
        <f t="shared" si="47"/>
        <v>0</v>
      </c>
    </row>
    <row r="345" spans="1:19" ht="12.95" customHeight="1">
      <c r="A345" s="12" t="s">
        <v>442</v>
      </c>
      <c r="B345" s="62">
        <f>+GETPIVOTDATA(" New Prof avg",'Averages Pivot Table'!$A$3,"State","GA","Category",7,"Category2","Two-Year")</f>
        <v>67160.14907777778</v>
      </c>
      <c r="C345" s="130">
        <f t="shared" si="48"/>
        <v>2</v>
      </c>
      <c r="D345" s="62">
        <f>+GETPIVOTDATA(" New Asc. avg",'Averages Pivot Table'!$A$3,"State","GA","Category",7,"Category2","Two-Year")</f>
        <v>53031.17305977011</v>
      </c>
      <c r="E345" s="130">
        <f t="shared" si="48"/>
        <v>3</v>
      </c>
      <c r="F345" s="62">
        <f>+GETPIVOTDATA(" New Ast. avg",'Averages Pivot Table'!$A$3,"State","GA","Category",7,"Category2","Two-Year")</f>
        <v>44101.838036363639</v>
      </c>
      <c r="G345" s="130">
        <f t="shared" si="43"/>
        <v>4</v>
      </c>
      <c r="H345" s="62">
        <f>+GETPIVOTDATA(" New Inst. avg",'Averages Pivot Table'!$A$3,"State","GA","Category",7,"Category2","Two-Year")</f>
        <v>40604.5</v>
      </c>
      <c r="I345" s="201">
        <f t="shared" si="44"/>
        <v>3</v>
      </c>
      <c r="J345" s="62">
        <f>+GETPIVOTDATA(" New Undesg. avg",'Averages Pivot Table'!$A$3,"State","GA","Category",7,"Category2","Two-Year")</f>
        <v>36945.783333333333</v>
      </c>
      <c r="K345" s="130">
        <f t="shared" si="45"/>
        <v>2</v>
      </c>
      <c r="L345" s="62">
        <f>+GETPIVOTDATA(" New Single Rnk avg",'Averages Pivot Table'!$A$3,"State","GA","Category",7,"Category2","Two-Year")</f>
        <v>0</v>
      </c>
      <c r="M345" s="201">
        <f t="shared" si="46"/>
        <v>0</v>
      </c>
      <c r="N345" s="62">
        <f>+GETPIVOTDATA(" New All Ranks avg",'Averages Pivot Table'!$A$3,"State","GA","Category",7,"Category2","Two-Year")</f>
        <v>49113.038046242778</v>
      </c>
      <c r="O345" s="201">
        <f t="shared" si="47"/>
        <v>5</v>
      </c>
    </row>
    <row r="346" spans="1:19" ht="12.95" customHeight="1">
      <c r="A346" s="12" t="s">
        <v>443</v>
      </c>
      <c r="B346" s="62">
        <f>+GETPIVOTDATA(" New Prof avg",'Averages Pivot Table'!$A$3,"State","KY","Category",7,"Category2","Two-Year")</f>
        <v>0</v>
      </c>
      <c r="C346" s="130">
        <f t="shared" si="48"/>
        <v>0</v>
      </c>
      <c r="D346" s="62">
        <f>+GETPIVOTDATA(" New Asc. avg",'Averages Pivot Table'!$A$3,"State","KY","Category",7,"Category2","Two-Year")</f>
        <v>0</v>
      </c>
      <c r="E346" s="130">
        <f t="shared" si="48"/>
        <v>0</v>
      </c>
      <c r="F346" s="62">
        <f>+GETPIVOTDATA(" New Ast. avg",'Averages Pivot Table'!$A$3,"State","KY","Category",7,"Category2","Two-Year")</f>
        <v>0</v>
      </c>
      <c r="G346" s="130">
        <f t="shared" si="43"/>
        <v>0</v>
      </c>
      <c r="H346" s="62">
        <f>+GETPIVOTDATA(" New Inst. avg",'Averages Pivot Table'!$A$3,"State","KY","Category",7,"Category2","Two-Year")</f>
        <v>0</v>
      </c>
      <c r="I346" s="201">
        <f t="shared" si="44"/>
        <v>0</v>
      </c>
      <c r="J346" s="62">
        <f>+GETPIVOTDATA(" New Undesg. avg",'Averages Pivot Table'!$A$3,"State","KY","Category",7,"Category2","Two-Year")</f>
        <v>0</v>
      </c>
      <c r="K346" s="130">
        <f t="shared" si="45"/>
        <v>0</v>
      </c>
      <c r="L346" s="62">
        <f>+GETPIVOTDATA(" New Single Rnk avg",'Averages Pivot Table'!$A$3,"State","KY","Category",7,"Category2","Two-Year")</f>
        <v>0</v>
      </c>
      <c r="M346" s="201">
        <f t="shared" si="46"/>
        <v>0</v>
      </c>
      <c r="N346" s="62">
        <f>+GETPIVOTDATA(" New All Ranks avg",'Averages Pivot Table'!$A$3,"State","KY","Category",7,"Category2","Two-Year")</f>
        <v>0</v>
      </c>
      <c r="O346" s="201">
        <f t="shared" si="47"/>
        <v>0</v>
      </c>
    </row>
    <row r="347" spans="1:19" ht="12.95" customHeight="1">
      <c r="A347" s="12" t="s">
        <v>444</v>
      </c>
      <c r="B347" s="62">
        <f>+GETPIVOTDATA(" New Prof avg",'Averages Pivot Table'!$A$3,"State","LA","Category",7,"Category2","Two-Year")</f>
        <v>60118.385550000006</v>
      </c>
      <c r="C347" s="130">
        <f t="shared" si="48"/>
        <v>4</v>
      </c>
      <c r="D347" s="62">
        <f>+GETPIVOTDATA(" New Asc. avg",'Averages Pivot Table'!$A$3,"State","LA","Category",7,"Category2","Two-Year")</f>
        <v>47366.956821428568</v>
      </c>
      <c r="E347" s="130">
        <f t="shared" si="48"/>
        <v>5</v>
      </c>
      <c r="F347" s="62">
        <f>+GETPIVOTDATA(" New Ast. avg",'Averages Pivot Table'!$A$3,"State","LA","Category",7,"Category2","Two-Year")</f>
        <v>46031.747488888883</v>
      </c>
      <c r="G347" s="130">
        <f t="shared" si="43"/>
        <v>3</v>
      </c>
      <c r="H347" s="62">
        <f>+GETPIVOTDATA(" New Inst. avg",'Averages Pivot Table'!$A$3,"State","LA","Category",7,"Category2","Two-Year")</f>
        <v>38955</v>
      </c>
      <c r="I347" s="201">
        <f t="shared" si="44"/>
        <v>4</v>
      </c>
      <c r="J347" s="62">
        <f>+GETPIVOTDATA(" New Undesg. avg",'Averages Pivot Table'!$A$3,"State","LA","Category",7,"Category2","Two-Year")</f>
        <v>0</v>
      </c>
      <c r="K347" s="130">
        <f t="shared" si="45"/>
        <v>0</v>
      </c>
      <c r="L347" s="62">
        <f>+GETPIVOTDATA(" New Single Rnk avg",'Averages Pivot Table'!$A$3,"State","LA","Category",7,"Category2","Two-Year")</f>
        <v>0</v>
      </c>
      <c r="M347" s="201">
        <f t="shared" si="46"/>
        <v>0</v>
      </c>
      <c r="N347" s="62">
        <f>+GETPIVOTDATA(" New All Ranks avg",'Averages Pivot Table'!$A$3,"State","LA","Category",7,"Category2","Two-Year")</f>
        <v>48373.200119587629</v>
      </c>
      <c r="O347" s="201">
        <f t="shared" si="47"/>
        <v>6</v>
      </c>
    </row>
    <row r="348" spans="1:19" ht="12.95" customHeight="1">
      <c r="A348" s="12" t="s">
        <v>445</v>
      </c>
      <c r="B348" s="62">
        <f>+GETPIVOTDATA(" New Prof avg",'Averages Pivot Table'!$A$3,"State","MD","Category",7,"Category2","Two-Year")</f>
        <v>0</v>
      </c>
      <c r="C348" s="130">
        <f t="shared" si="48"/>
        <v>0</v>
      </c>
      <c r="D348" s="62">
        <f>+GETPIVOTDATA(" New Asc. avg",'Averages Pivot Table'!$A$3,"State","MD","Category",7,"Category2","Two-Year")</f>
        <v>0</v>
      </c>
      <c r="E348" s="130">
        <f t="shared" si="48"/>
        <v>0</v>
      </c>
      <c r="F348" s="62">
        <f>+GETPIVOTDATA(" New Ast. avg",'Averages Pivot Table'!$A$3,"State","MD","Category",7,"Category2","Two-Year")</f>
        <v>0</v>
      </c>
      <c r="G348" s="130">
        <f t="shared" si="43"/>
        <v>0</v>
      </c>
      <c r="H348" s="62">
        <f>+GETPIVOTDATA(" New Inst. avg",'Averages Pivot Table'!$A$3,"State","MD","Category",7,"Category2","Two-Year")</f>
        <v>0</v>
      </c>
      <c r="I348" s="201">
        <f t="shared" si="44"/>
        <v>0</v>
      </c>
      <c r="J348" s="62">
        <f>+GETPIVOTDATA(" New Undesg. avg",'Averages Pivot Table'!$A$3,"State","MD","Category",7,"Category2","Two-Year")</f>
        <v>0</v>
      </c>
      <c r="K348" s="130">
        <f t="shared" si="45"/>
        <v>0</v>
      </c>
      <c r="L348" s="62">
        <f>+GETPIVOTDATA(" New Single Rnk avg",'Averages Pivot Table'!$A$3,"State","MD","Category",7,"Category2","Two-Year")</f>
        <v>0</v>
      </c>
      <c r="M348" s="201">
        <f t="shared" si="46"/>
        <v>0</v>
      </c>
      <c r="N348" s="62">
        <f>+GETPIVOTDATA(" New All Ranks avg",'Averages Pivot Table'!$A$3,"State","MD","Category",7,"Category2","Two-Year")</f>
        <v>0</v>
      </c>
      <c r="O348" s="201">
        <f t="shared" si="47"/>
        <v>0</v>
      </c>
    </row>
    <row r="349" spans="1:19" ht="12.95" customHeight="1">
      <c r="A349" s="12"/>
      <c r="B349" s="62"/>
      <c r="C349" s="130">
        <f t="shared" si="48"/>
        <v>0</v>
      </c>
      <c r="D349" s="62"/>
      <c r="E349" s="130">
        <f t="shared" si="48"/>
        <v>0</v>
      </c>
      <c r="F349" s="62"/>
      <c r="G349" s="130">
        <f t="shared" si="43"/>
        <v>0</v>
      </c>
      <c r="H349" s="62"/>
      <c r="I349" s="201">
        <f t="shared" si="44"/>
        <v>0</v>
      </c>
      <c r="J349" s="62"/>
      <c r="K349" s="130">
        <f t="shared" si="45"/>
        <v>0</v>
      </c>
      <c r="L349" s="62"/>
      <c r="M349" s="201">
        <f t="shared" si="46"/>
        <v>0</v>
      </c>
      <c r="N349" s="62"/>
      <c r="O349" s="201">
        <f t="shared" si="47"/>
        <v>0</v>
      </c>
    </row>
    <row r="350" spans="1:19" ht="12.95" customHeight="1">
      <c r="A350" s="12" t="s">
        <v>446</v>
      </c>
      <c r="B350" s="62">
        <f>+GETPIVOTDATA(" New Prof avg",'Averages Pivot Table'!$A$3,"State","MS","Category",7,"Category2","Two-Year")</f>
        <v>0</v>
      </c>
      <c r="C350" s="130">
        <f t="shared" si="48"/>
        <v>0</v>
      </c>
      <c r="D350" s="62">
        <f>+GETPIVOTDATA(" New Asc. avg",'Averages Pivot Table'!$A$3,"State","MS","Category",7,"Category2","Two-Year")</f>
        <v>0</v>
      </c>
      <c r="E350" s="130">
        <f t="shared" si="48"/>
        <v>0</v>
      </c>
      <c r="F350" s="62">
        <f>+GETPIVOTDATA(" New Ast. avg",'Averages Pivot Table'!$A$3,"State","MS","Category",7,"Category2","Two-Year")</f>
        <v>0</v>
      </c>
      <c r="G350" s="130">
        <f t="shared" si="43"/>
        <v>0</v>
      </c>
      <c r="H350" s="62">
        <f>+GETPIVOTDATA(" New Inst. avg",'Averages Pivot Table'!$A$3,"State","MS","Category",7,"Category2","Two-Year")</f>
        <v>0</v>
      </c>
      <c r="I350" s="201">
        <f t="shared" si="44"/>
        <v>0</v>
      </c>
      <c r="J350" s="62">
        <f>+GETPIVOTDATA(" New Undesg. avg",'Averages Pivot Table'!$A$3,"State","MS","Category",7,"Category2","Two-Year")</f>
        <v>0</v>
      </c>
      <c r="K350" s="130">
        <f t="shared" si="45"/>
        <v>0</v>
      </c>
      <c r="L350" s="62">
        <f>+GETPIVOTDATA(" New Single Rnk avg",'Averages Pivot Table'!$A$3,"State","MS","Category",7,"Category2","Two-Year")</f>
        <v>0</v>
      </c>
      <c r="M350" s="201">
        <f t="shared" si="46"/>
        <v>0</v>
      </c>
      <c r="N350" s="62">
        <f>+GETPIVOTDATA(" New All Ranks avg",'Averages Pivot Table'!$A$3,"State","MS","Category",7,"Category2","Two-Year")</f>
        <v>0</v>
      </c>
      <c r="O350" s="201">
        <f t="shared" si="47"/>
        <v>0</v>
      </c>
    </row>
    <row r="351" spans="1:19" ht="12.95" customHeight="1">
      <c r="A351" s="12" t="s">
        <v>447</v>
      </c>
      <c r="B351" s="62">
        <f>+GETPIVOTDATA(" New Prof avg",'Averages Pivot Table'!$A$3,"State","NC","Category",7,"Category2","Two-Year")</f>
        <v>0</v>
      </c>
      <c r="C351" s="130">
        <f t="shared" si="48"/>
        <v>0</v>
      </c>
      <c r="D351" s="62">
        <f>+GETPIVOTDATA(" New Asc. avg",'Averages Pivot Table'!$A$3,"State","NC","Category",7,"Category2","Two-Year")</f>
        <v>0</v>
      </c>
      <c r="E351" s="130">
        <f t="shared" si="48"/>
        <v>0</v>
      </c>
      <c r="F351" s="62">
        <f>+GETPIVOTDATA(" New Ast. avg",'Averages Pivot Table'!$A$3,"State","NC","Category",7,"Category2","Two-Year")</f>
        <v>0</v>
      </c>
      <c r="G351" s="130">
        <f t="shared" si="43"/>
        <v>0</v>
      </c>
      <c r="H351" s="62">
        <f>+GETPIVOTDATA(" New Inst. avg",'Averages Pivot Table'!$A$3,"State","NC","Category",7,"Category2","Two-Year")</f>
        <v>0</v>
      </c>
      <c r="I351" s="201">
        <f t="shared" si="44"/>
        <v>0</v>
      </c>
      <c r="J351" s="62">
        <f>+GETPIVOTDATA(" New Undesg. avg",'Averages Pivot Table'!$A$3,"State","NC","Category",7,"Category2","Two-Year")</f>
        <v>0</v>
      </c>
      <c r="K351" s="130">
        <f t="shared" si="45"/>
        <v>0</v>
      </c>
      <c r="L351" s="62">
        <f>+GETPIVOTDATA(" New Single Rnk avg",'Averages Pivot Table'!$A$3,"State","NC","Category",7,"Category2","Two-Year")</f>
        <v>0</v>
      </c>
      <c r="M351" s="201">
        <f t="shared" si="46"/>
        <v>0</v>
      </c>
      <c r="N351" s="62">
        <f>+GETPIVOTDATA(" New All Ranks avg",'Averages Pivot Table'!$A$3,"State","NC","Category",7,"Category2","Two-Year")</f>
        <v>0</v>
      </c>
      <c r="O351" s="201">
        <f t="shared" si="47"/>
        <v>0</v>
      </c>
    </row>
    <row r="352" spans="1:19" ht="12.95" customHeight="1">
      <c r="A352" s="12" t="s">
        <v>448</v>
      </c>
      <c r="B352" s="62">
        <f>+GETPIVOTDATA(" New Prof avg",'Averages Pivot Table'!$A$3,"State","OK","Category",7,"Category2","Two-Year")</f>
        <v>0</v>
      </c>
      <c r="C352" s="130">
        <f t="shared" si="48"/>
        <v>0</v>
      </c>
      <c r="D352" s="62">
        <f>+GETPIVOTDATA(" New Asc. avg",'Averages Pivot Table'!$A$3,"State","OK","Category",7,"Category2","Two-Year")</f>
        <v>0</v>
      </c>
      <c r="E352" s="130">
        <f t="shared" si="48"/>
        <v>0</v>
      </c>
      <c r="F352" s="62">
        <f>+GETPIVOTDATA(" New Ast. avg",'Averages Pivot Table'!$A$3,"State","OK","Category",7,"Category2","Two-Year")</f>
        <v>0</v>
      </c>
      <c r="G352" s="130">
        <f t="shared" si="43"/>
        <v>0</v>
      </c>
      <c r="H352" s="62">
        <f>+GETPIVOTDATA(" New Inst. avg",'Averages Pivot Table'!$A$3,"State","OK","Category",7,"Category2","Two-Year")</f>
        <v>0</v>
      </c>
      <c r="I352" s="201">
        <f t="shared" si="44"/>
        <v>0</v>
      </c>
      <c r="J352" s="62">
        <f>+GETPIVOTDATA(" New Undesg. avg",'Averages Pivot Table'!$A$3,"State","OK","Category",7,"Category2","Two-Year")</f>
        <v>0</v>
      </c>
      <c r="K352" s="130">
        <f t="shared" si="45"/>
        <v>0</v>
      </c>
      <c r="L352" s="62">
        <f>+GETPIVOTDATA(" New Single Rnk avg",'Averages Pivot Table'!$A$3,"State","OK","Category",7,"Category2","Two-Year")</f>
        <v>52064</v>
      </c>
      <c r="M352" s="201">
        <f t="shared" si="46"/>
        <v>2</v>
      </c>
      <c r="N352" s="62">
        <f>+GETPIVOTDATA(" New All Ranks avg",'Averages Pivot Table'!$A$3,"State","OK","Category",7,"Category2","Two-Year")</f>
        <v>52064</v>
      </c>
      <c r="O352" s="201">
        <f t="shared" si="47"/>
        <v>3</v>
      </c>
    </row>
    <row r="353" spans="1:19" ht="12.95" customHeight="1">
      <c r="A353" s="12" t="s">
        <v>449</v>
      </c>
      <c r="B353" s="62">
        <f>+GETPIVOTDATA(" New Prof avg",'Averages Pivot Table'!$A$3,"State","SC","Category",7,"Category2","Two-Year")</f>
        <v>73277.695399999997</v>
      </c>
      <c r="C353" s="130">
        <f t="shared" si="48"/>
        <v>1</v>
      </c>
      <c r="D353" s="62">
        <f>+GETPIVOTDATA(" New Asc. avg",'Averages Pivot Table'!$A$3,"State","SC","Category",7,"Category2","Two-Year")</f>
        <v>61384.695337500001</v>
      </c>
      <c r="E353" s="130">
        <f t="shared" si="48"/>
        <v>1</v>
      </c>
      <c r="F353" s="62">
        <f>+GETPIVOTDATA(" New Ast. avg",'Averages Pivot Table'!$A$3,"State","SC","Category",7,"Category2","Two-Year")</f>
        <v>50466.866666666669</v>
      </c>
      <c r="G353" s="130">
        <f t="shared" si="43"/>
        <v>1</v>
      </c>
      <c r="H353" s="62">
        <f>+GETPIVOTDATA(" New Inst. avg",'Averages Pivot Table'!$A$3,"State","SC","Category",7,"Category2","Two-Year")</f>
        <v>45998.294117647056</v>
      </c>
      <c r="I353" s="201">
        <f t="shared" si="44"/>
        <v>2</v>
      </c>
      <c r="J353" s="62">
        <f>+GETPIVOTDATA(" New Undesg. avg",'Averages Pivot Table'!$A$3,"State","SC","Category",7,"Category2","Two-Year")</f>
        <v>0</v>
      </c>
      <c r="K353" s="130">
        <f t="shared" si="45"/>
        <v>0</v>
      </c>
      <c r="L353" s="62">
        <f>+GETPIVOTDATA(" New Single Rnk avg",'Averages Pivot Table'!$A$3,"State","SC","Category",7,"Category2","Two-Year")</f>
        <v>0</v>
      </c>
      <c r="M353" s="201">
        <f t="shared" si="46"/>
        <v>0</v>
      </c>
      <c r="N353" s="62">
        <f>+GETPIVOTDATA(" New All Ranks avg",'Averages Pivot Table'!$A$3,"State","SC","Category",7,"Category2","Two-Year")</f>
        <v>56392.94533559322</v>
      </c>
      <c r="O353" s="201">
        <f t="shared" si="47"/>
        <v>2</v>
      </c>
    </row>
    <row r="354" spans="1:19" ht="12.95" customHeight="1">
      <c r="A354" s="12"/>
      <c r="B354" s="62"/>
      <c r="C354" s="130">
        <f t="shared" si="48"/>
        <v>0</v>
      </c>
      <c r="D354" s="62"/>
      <c r="E354" s="130">
        <f t="shared" si="48"/>
        <v>0</v>
      </c>
      <c r="F354" s="62"/>
      <c r="G354" s="130">
        <f t="shared" si="43"/>
        <v>0</v>
      </c>
      <c r="H354" s="62"/>
      <c r="I354" s="201">
        <f t="shared" si="44"/>
        <v>0</v>
      </c>
      <c r="J354" s="62"/>
      <c r="K354" s="130">
        <f t="shared" si="45"/>
        <v>0</v>
      </c>
      <c r="L354" s="62"/>
      <c r="M354" s="201">
        <f t="shared" si="46"/>
        <v>0</v>
      </c>
      <c r="N354" s="62"/>
      <c r="O354" s="201">
        <f t="shared" si="47"/>
        <v>0</v>
      </c>
    </row>
    <row r="355" spans="1:19" ht="12.95" customHeight="1">
      <c r="A355" s="12" t="s">
        <v>450</v>
      </c>
      <c r="B355" s="129">
        <f>+GETPIVOTDATA(" New Prof avg",'Averages Pivot Table'!$A$3,"State","TN","Category",7,"Category2","Two-Year")</f>
        <v>0</v>
      </c>
      <c r="C355" s="130">
        <f t="shared" si="48"/>
        <v>0</v>
      </c>
      <c r="D355" s="129">
        <f>+GETPIVOTDATA(" New Asc. avg",'Averages Pivot Table'!$A$3,"State","TN","Category",7,"Category2","Two-Year")</f>
        <v>0</v>
      </c>
      <c r="E355" s="130">
        <f t="shared" si="48"/>
        <v>0</v>
      </c>
      <c r="F355" s="129">
        <f>+GETPIVOTDATA(" New Ast. avg",'Averages Pivot Table'!$A$3,"State","TN","Category",7,"Category2","Two-Year")</f>
        <v>0</v>
      </c>
      <c r="G355" s="130">
        <f t="shared" si="43"/>
        <v>0</v>
      </c>
      <c r="H355" s="129">
        <f>+GETPIVOTDATA(" New Inst. avg",'Averages Pivot Table'!$A$3,"State","TN","Category",7,"Category2","Two-Year")</f>
        <v>0</v>
      </c>
      <c r="I355" s="201">
        <f t="shared" si="44"/>
        <v>0</v>
      </c>
      <c r="J355" s="129">
        <f>+GETPIVOTDATA(" New Undesg. avg",'Averages Pivot Table'!$A$3,"State","TN","Category",7,"Category2","Two-Year")</f>
        <v>0</v>
      </c>
      <c r="K355" s="130">
        <f t="shared" si="45"/>
        <v>0</v>
      </c>
      <c r="L355" s="129">
        <f>+GETPIVOTDATA(" New Single Rnk avg",'Averages Pivot Table'!$A$3,"State","TN","Category",7,"Category2","Two-Year")</f>
        <v>0</v>
      </c>
      <c r="M355" s="201">
        <f t="shared" si="46"/>
        <v>0</v>
      </c>
      <c r="N355" s="62">
        <f>+GETPIVOTDATA(" New All Ranks avg",'Averages Pivot Table'!$A$3,"State","TN","Category",7,"Category2","Two-Year")</f>
        <v>0</v>
      </c>
      <c r="O355" s="201">
        <f t="shared" si="47"/>
        <v>0</v>
      </c>
    </row>
    <row r="356" spans="1:19" ht="12.95" customHeight="1">
      <c r="A356" s="12" t="s">
        <v>451</v>
      </c>
      <c r="B356" s="129">
        <f>+GETPIVOTDATA(" New Prof avg",'Averages Pivot Table'!$A$3,"State","TX","Category",7,"Category2","Two-Year")</f>
        <v>66147.287400000001</v>
      </c>
      <c r="C356" s="130">
        <f t="shared" si="48"/>
        <v>3</v>
      </c>
      <c r="D356" s="129">
        <f>+GETPIVOTDATA(" New Asc. avg",'Averages Pivot Table'!$A$3,"State","TX","Category",7,"Category2","Two-Year")</f>
        <v>54473.567054545449</v>
      </c>
      <c r="E356" s="130">
        <f t="shared" si="48"/>
        <v>2</v>
      </c>
      <c r="F356" s="129">
        <f>+GETPIVOTDATA(" New Ast. avg",'Averages Pivot Table'!$A$3,"State","TX","Category",7,"Category2","Two-Year")</f>
        <v>49649.129628571427</v>
      </c>
      <c r="G356" s="130">
        <f t="shared" si="43"/>
        <v>2</v>
      </c>
      <c r="H356" s="129">
        <f>+GETPIVOTDATA(" New Inst. avg",'Averages Pivot Table'!$A$3,"State","TX","Category",7,"Category2","Two-Year")</f>
        <v>50403.653784501847</v>
      </c>
      <c r="I356" s="201">
        <f t="shared" si="44"/>
        <v>1</v>
      </c>
      <c r="J356" s="129">
        <f>+GETPIVOTDATA(" New Undesg. avg",'Averages Pivot Table'!$A$3,"State","TX","Category",7,"Category2","Two-Year")</f>
        <v>0</v>
      </c>
      <c r="K356" s="130">
        <f t="shared" si="45"/>
        <v>0</v>
      </c>
      <c r="L356" s="129">
        <f>+GETPIVOTDATA(" New Single Rnk avg",'Averages Pivot Table'!$A$3,"State","TX","Category",7,"Category2","Two-Year")</f>
        <v>42315.667600000008</v>
      </c>
      <c r="M356" s="201">
        <f t="shared" si="46"/>
        <v>3</v>
      </c>
      <c r="N356" s="62">
        <f>+GETPIVOTDATA(" New All Ranks avg",'Averages Pivot Table'!$A$3,"State","TX","Category",7,"Category2","Two-Year")</f>
        <v>51946.065672823221</v>
      </c>
      <c r="O356" s="201">
        <f t="shared" si="47"/>
        <v>4</v>
      </c>
    </row>
    <row r="357" spans="1:19" ht="12.95" customHeight="1">
      <c r="A357" s="12" t="s">
        <v>452</v>
      </c>
      <c r="B357" s="129">
        <f>+GETPIVOTDATA(" New Prof avg",'Averages Pivot Table'!$A$3,"State","VA","Category",7,"Category2","Two-Year")</f>
        <v>0</v>
      </c>
      <c r="C357" s="130">
        <f t="shared" si="48"/>
        <v>0</v>
      </c>
      <c r="D357" s="129">
        <f>+GETPIVOTDATA(" New Asc. avg",'Averages Pivot Table'!$A$3,"State","VA","Category",7,"Category2","Two-Year")</f>
        <v>0</v>
      </c>
      <c r="E357" s="130">
        <f t="shared" si="48"/>
        <v>0</v>
      </c>
      <c r="F357" s="129">
        <f>+GETPIVOTDATA(" New Ast. avg",'Averages Pivot Table'!$A$3,"State","VA","Category",7,"Category2","Two-Year")</f>
        <v>0</v>
      </c>
      <c r="G357" s="130">
        <f t="shared" si="43"/>
        <v>0</v>
      </c>
      <c r="H357" s="129">
        <f>+GETPIVOTDATA(" New Inst. avg",'Averages Pivot Table'!$A$3,"State","VA","Category",7,"Category2","Two-Year")</f>
        <v>0</v>
      </c>
      <c r="I357" s="201">
        <f t="shared" si="44"/>
        <v>0</v>
      </c>
      <c r="J357" s="129">
        <f>+GETPIVOTDATA(" New Undesg. avg",'Averages Pivot Table'!$A$3,"State","VA","Category",7,"Category2","Two-Year")</f>
        <v>0</v>
      </c>
      <c r="K357" s="130">
        <f t="shared" si="45"/>
        <v>0</v>
      </c>
      <c r="L357" s="129">
        <f>+GETPIVOTDATA(" New Single Rnk avg",'Averages Pivot Table'!$A$3,"State","VA","Category",7,"Category2","Two-Year")</f>
        <v>0</v>
      </c>
      <c r="M357" s="201">
        <f t="shared" si="46"/>
        <v>0</v>
      </c>
      <c r="N357" s="62">
        <f>+GETPIVOTDATA(" New All Ranks avg",'Averages Pivot Table'!$A$3,"State","VA","Category",7,"Category2","Two-Year")</f>
        <v>0</v>
      </c>
      <c r="O357" s="201">
        <f t="shared" si="47"/>
        <v>0</v>
      </c>
    </row>
    <row r="358" spans="1:19" ht="12.95" customHeight="1">
      <c r="A358" s="11" t="s">
        <v>453</v>
      </c>
      <c r="B358" s="64">
        <f>+GETPIVOTDATA(" New Prof avg",'Averages Pivot Table'!$A$3,"State","WV","Category",7,"Category2","Two-Year")</f>
        <v>58924.09042790698</v>
      </c>
      <c r="C358" s="65">
        <f t="shared" si="48"/>
        <v>5</v>
      </c>
      <c r="D358" s="64">
        <f>+GETPIVOTDATA(" New Asc. avg",'Averages Pivot Table'!$A$3,"State","WV","Category",7,"Category2","Two-Year")</f>
        <v>51755.033871428575</v>
      </c>
      <c r="E358" s="65">
        <f t="shared" si="48"/>
        <v>4</v>
      </c>
      <c r="F358" s="64">
        <f>+GETPIVOTDATA(" New Ast. avg",'Averages Pivot Table'!$A$3,"State","WV","Category",7,"Category2","Two-Year")</f>
        <v>43577.548116666665</v>
      </c>
      <c r="G358" s="65">
        <f t="shared" si="43"/>
        <v>5</v>
      </c>
      <c r="H358" s="64">
        <f>+GETPIVOTDATA(" New Inst. avg",'Averages Pivot Table'!$A$3,"State","WV","Category",7,"Category2","Two-Year")</f>
        <v>37188.239130434784</v>
      </c>
      <c r="I358" s="202">
        <f t="shared" si="44"/>
        <v>5</v>
      </c>
      <c r="J358" s="64">
        <f>+GETPIVOTDATA(" New Undesg. avg",'Averages Pivot Table'!$A$3,"State","WV","Category",7,"Category2","Two-Year")</f>
        <v>36960.044533333334</v>
      </c>
      <c r="K358" s="65">
        <f t="shared" si="45"/>
        <v>1</v>
      </c>
      <c r="L358" s="64">
        <f>+GETPIVOTDATA(" New Single Rnk avg",'Averages Pivot Table'!$A$3,"State","WV","Category",7,"Category2","Two-Year")</f>
        <v>0</v>
      </c>
      <c r="M358" s="202">
        <f t="shared" si="46"/>
        <v>0</v>
      </c>
      <c r="N358" s="64">
        <f>+GETPIVOTDATA(" New All Ranks avg",'Averages Pivot Table'!$A$3,"State","WV","Category",7,"Category2","Two-Year")</f>
        <v>46891.629959398488</v>
      </c>
      <c r="O358" s="202">
        <f t="shared" si="47"/>
        <v>7</v>
      </c>
    </row>
    <row r="359" spans="1:19" ht="30" customHeight="1">
      <c r="A359" s="629" t="s">
        <v>323</v>
      </c>
      <c r="B359" s="629"/>
      <c r="C359" s="629"/>
      <c r="D359" s="629"/>
      <c r="E359" s="629"/>
      <c r="F359" s="629"/>
      <c r="G359" s="629"/>
      <c r="H359" s="629"/>
      <c r="I359" s="629"/>
      <c r="J359" s="629"/>
      <c r="K359" s="629"/>
      <c r="L359" s="629"/>
      <c r="M359" s="629"/>
      <c r="N359" s="629"/>
      <c r="O359" s="629"/>
    </row>
    <row r="360" spans="1:19">
      <c r="O360" s="244" t="s">
        <v>1166</v>
      </c>
    </row>
    <row r="361" spans="1:19" ht="18">
      <c r="A361" s="618" t="s">
        <v>788</v>
      </c>
      <c r="B361" s="618"/>
      <c r="C361" s="618"/>
      <c r="D361" s="618"/>
      <c r="E361" s="618"/>
      <c r="F361" s="618"/>
      <c r="G361" s="618"/>
      <c r="H361" s="618"/>
      <c r="I361" s="618"/>
      <c r="J361" s="618"/>
      <c r="K361" s="618"/>
      <c r="L361" s="618"/>
      <c r="M361" s="618"/>
      <c r="N361" s="618"/>
      <c r="O361" s="618"/>
    </row>
    <row r="362" spans="1:19">
      <c r="A362" s="23"/>
      <c r="B362" s="5"/>
      <c r="C362" s="5"/>
      <c r="D362" s="5"/>
      <c r="E362" s="5"/>
      <c r="F362" s="5"/>
      <c r="G362" s="5"/>
      <c r="H362" s="5"/>
      <c r="I362" s="159"/>
      <c r="J362" s="5"/>
      <c r="K362" s="5"/>
      <c r="L362" s="5"/>
      <c r="M362" s="159"/>
      <c r="N362" s="5"/>
      <c r="O362" s="159"/>
    </row>
    <row r="363" spans="1:19">
      <c r="A363" s="619" t="s">
        <v>454</v>
      </c>
      <c r="B363" s="619"/>
      <c r="C363" s="619"/>
      <c r="D363" s="619"/>
      <c r="E363" s="619"/>
      <c r="F363" s="619"/>
      <c r="G363" s="619"/>
      <c r="H363" s="619"/>
      <c r="I363" s="619"/>
      <c r="J363" s="619"/>
      <c r="K363" s="619"/>
      <c r="L363" s="619"/>
      <c r="M363" s="619"/>
      <c r="N363" s="619"/>
      <c r="O363" s="619"/>
    </row>
    <row r="364" spans="1:19">
      <c r="A364" s="619" t="s">
        <v>1151</v>
      </c>
      <c r="B364" s="619"/>
      <c r="C364" s="619"/>
      <c r="D364" s="619"/>
      <c r="E364" s="619"/>
      <c r="F364" s="619"/>
      <c r="G364" s="619"/>
      <c r="H364" s="619"/>
      <c r="I364" s="619"/>
      <c r="J364" s="619"/>
      <c r="K364" s="619"/>
      <c r="L364" s="619"/>
      <c r="M364" s="619"/>
      <c r="N364" s="619"/>
      <c r="O364" s="619"/>
    </row>
    <row r="365" spans="1:19">
      <c r="A365" s="12"/>
      <c r="B365" s="12"/>
      <c r="C365" s="12"/>
      <c r="D365" s="12"/>
      <c r="E365" s="12"/>
      <c r="F365" s="12"/>
      <c r="G365" s="12"/>
      <c r="H365" s="12"/>
      <c r="I365" s="215"/>
      <c r="J365" s="12"/>
      <c r="K365" s="12"/>
      <c r="L365" s="12"/>
      <c r="M365" s="215"/>
      <c r="N365" s="12"/>
      <c r="O365" s="215"/>
    </row>
    <row r="366" spans="1:19" ht="31.5" customHeight="1">
      <c r="A366" s="15"/>
      <c r="B366" s="21" t="s">
        <v>332</v>
      </c>
      <c r="C366" s="22"/>
      <c r="D366" s="141" t="s">
        <v>333</v>
      </c>
      <c r="E366" s="142"/>
      <c r="F366" s="141" t="s">
        <v>334</v>
      </c>
      <c r="G366" s="142"/>
      <c r="H366" s="21" t="s">
        <v>335</v>
      </c>
      <c r="I366" s="225"/>
      <c r="J366" s="141" t="s">
        <v>461</v>
      </c>
      <c r="K366" s="142"/>
      <c r="L366" s="22" t="s">
        <v>314</v>
      </c>
      <c r="M366" s="225"/>
      <c r="N366" s="22" t="s">
        <v>316</v>
      </c>
      <c r="O366" s="225"/>
    </row>
    <row r="367" spans="1:19">
      <c r="A367" s="16"/>
      <c r="B367" s="19" t="s">
        <v>336</v>
      </c>
      <c r="C367" s="18" t="s">
        <v>427</v>
      </c>
      <c r="D367" s="19" t="s">
        <v>336</v>
      </c>
      <c r="E367" s="18" t="s">
        <v>427</v>
      </c>
      <c r="F367" s="19" t="s">
        <v>336</v>
      </c>
      <c r="G367" s="18" t="s">
        <v>427</v>
      </c>
      <c r="H367" s="19" t="s">
        <v>336</v>
      </c>
      <c r="I367" s="226" t="s">
        <v>427</v>
      </c>
      <c r="J367" s="19" t="s">
        <v>336</v>
      </c>
      <c r="K367" s="18" t="s">
        <v>427</v>
      </c>
      <c r="L367" s="19" t="s">
        <v>336</v>
      </c>
      <c r="M367" s="226" t="s">
        <v>427</v>
      </c>
      <c r="N367" s="19" t="s">
        <v>336</v>
      </c>
      <c r="O367" s="226" t="s">
        <v>427</v>
      </c>
    </row>
    <row r="368" spans="1:19" s="156" customFormat="1" ht="18" customHeight="1">
      <c r="A368" s="168" t="s">
        <v>456</v>
      </c>
      <c r="B368" s="172">
        <f>+GETPIVOTDATA(" New Prof avg",'Averages Pivot Table'!$A$3,"Category",8,"Category2","Two-Year")</f>
        <v>69222.330849274789</v>
      </c>
      <c r="C368" s="172"/>
      <c r="D368" s="172">
        <f>+GETPIVOTDATA(" New Asc. avg",'Averages Pivot Table'!$A$3,"Category",8,"Category2","Two-Year")</f>
        <v>56004.983480884439</v>
      </c>
      <c r="E368" s="172"/>
      <c r="F368" s="172">
        <f>+GETPIVOTDATA(" New Ast. avg",'Averages Pivot Table'!$A$3,"Category",8,"Category2","Two-Year")</f>
        <v>52108.448705444454</v>
      </c>
      <c r="G368" s="172"/>
      <c r="H368" s="172">
        <f>+GETPIVOTDATA(" New Inst. avg",'Averages Pivot Table'!$A$3,"Category",8,"Category2","Two-Year")</f>
        <v>49855.801100293342</v>
      </c>
      <c r="I368" s="229"/>
      <c r="J368" s="172">
        <f>+GETPIVOTDATA(" New Undesg. avg",'Averages Pivot Table'!$A$3,"Category",8,"Category2","Two-Year")</f>
        <v>45428.333761957525</v>
      </c>
      <c r="K368" s="172"/>
      <c r="L368" s="172">
        <f>+GETPIVOTDATA(" New Single Rnk avg",'Averages Pivot Table'!$A$3,"Category",8,"Category2","Two-Year")</f>
        <v>51745.544434401854</v>
      </c>
      <c r="M368" s="229"/>
      <c r="N368" s="172">
        <f>+GETPIVOTDATA(" New All Ranks avg",'Averages Pivot Table'!$A$3,"Category",8,"Category2","Two-Year")</f>
        <v>54093.048684692287</v>
      </c>
      <c r="O368" s="216"/>
      <c r="Q368" s="193"/>
      <c r="R368" s="193"/>
      <c r="S368" s="193"/>
    </row>
    <row r="369" spans="1:15" ht="12.95" customHeight="1">
      <c r="A369" s="12"/>
      <c r="B369" s="9"/>
      <c r="C369" s="17"/>
      <c r="D369" s="9"/>
      <c r="E369" s="17"/>
      <c r="F369" s="9"/>
      <c r="G369" s="17"/>
      <c r="H369" s="9"/>
      <c r="I369" s="233"/>
      <c r="J369" s="9"/>
      <c r="K369" s="17"/>
      <c r="L369" s="9"/>
      <c r="M369" s="233"/>
      <c r="N369" s="9"/>
      <c r="O369" s="217"/>
    </row>
    <row r="370" spans="1:15" ht="12.95" customHeight="1">
      <c r="A370" s="12" t="s">
        <v>439</v>
      </c>
      <c r="B370" s="62">
        <f>+GETPIVOTDATA(" New Prof avg",'Averages Pivot Table'!$A$3,"State","AL","Category",8,"Category2","Two-Year")</f>
        <v>0</v>
      </c>
      <c r="C370" s="130">
        <f>IF(B370&gt;0,(RANK(B370,B$370:B$388)),0)</f>
        <v>0</v>
      </c>
      <c r="D370" s="62">
        <f>+GETPIVOTDATA(" New Asc. avg",'Averages Pivot Table'!$A$3,"State","AL","Category",8,"Category2","Two-Year")</f>
        <v>0</v>
      </c>
      <c r="E370" s="130">
        <f>IF(D370&gt;0,(RANK(D370,D$370:D$388)),0)</f>
        <v>0</v>
      </c>
      <c r="F370" s="62">
        <f>+GETPIVOTDATA(" New Ast. avg",'Averages Pivot Table'!$A$3,"State","AL","Category",8,"Category2","Two-Year")</f>
        <v>0</v>
      </c>
      <c r="G370" s="130">
        <f t="shared" ref="G370:G388" si="49">IF(F370&gt;0,(RANK(F370,F$370:F$388)),0)</f>
        <v>0</v>
      </c>
      <c r="H370" s="62">
        <f>+GETPIVOTDATA(" New Inst. avg",'Averages Pivot Table'!$A$3,"State","AL","Category",8,"Category2","Two-Year")</f>
        <v>0</v>
      </c>
      <c r="I370" s="201">
        <f t="shared" ref="I370:I388" si="50">IF(H370&gt;0,(RANK(H370,H$370:H$388)),0)</f>
        <v>0</v>
      </c>
      <c r="J370" s="62">
        <f>+GETPIVOTDATA(" New Undesg. avg",'Averages Pivot Table'!$A$3,"State","AL","Category",8,"Category2","Two-Year")</f>
        <v>0</v>
      </c>
      <c r="K370" s="130">
        <f t="shared" ref="K370:K388" si="51">IF(J370&gt;0,(RANK(J370,J$370:J$388)),0)</f>
        <v>0</v>
      </c>
      <c r="L370" s="62">
        <f>+GETPIVOTDATA(" New Single Rnk avg",'Averages Pivot Table'!$A$3,"State","AL","Category",8,"Category2","Two-Year")</f>
        <v>53456.654580071176</v>
      </c>
      <c r="M370" s="201">
        <f t="shared" ref="M370:M388" si="52">IF(L370&gt;0,(RANK(L370,L$370:L$388)),0)</f>
        <v>2</v>
      </c>
      <c r="N370" s="62">
        <f>+GETPIVOTDATA(" New All Ranks avg",'Averages Pivot Table'!$A$3,"State","AL","Category",8,"Category2","Two-Year")</f>
        <v>53456.654580071176</v>
      </c>
      <c r="O370" s="201">
        <f t="shared" ref="O370:O388" si="53">IF(N370&gt;0,(RANK(N370,N$370:N$388)),0)</f>
        <v>4</v>
      </c>
    </row>
    <row r="371" spans="1:15" ht="12.95" customHeight="1">
      <c r="A371" s="12" t="s">
        <v>440</v>
      </c>
      <c r="B371" s="62">
        <f>+GETPIVOTDATA(" New Prof avg",'Averages Pivot Table'!$A$3,"State","AR","Category",8,"Category2","Two-Year")</f>
        <v>0</v>
      </c>
      <c r="C371" s="130">
        <f t="shared" ref="C371:E388" si="54">IF(B371&gt;0,(RANK(B371,B$370:B$388)),0)</f>
        <v>0</v>
      </c>
      <c r="D371" s="62">
        <f>+GETPIVOTDATA(" New Asc. avg",'Averages Pivot Table'!$A$3,"State","AR","Category",8,"Category2","Two-Year")</f>
        <v>0</v>
      </c>
      <c r="E371" s="130">
        <f t="shared" si="54"/>
        <v>0</v>
      </c>
      <c r="F371" s="62">
        <f>+GETPIVOTDATA(" New Ast. avg",'Averages Pivot Table'!$A$3,"State","AR","Category",8,"Category2","Two-Year")</f>
        <v>0</v>
      </c>
      <c r="G371" s="130">
        <f t="shared" si="49"/>
        <v>0</v>
      </c>
      <c r="H371" s="62">
        <f>+GETPIVOTDATA(" New Inst. avg",'Averages Pivot Table'!$A$3,"State","AR","Category",8,"Category2","Two-Year")</f>
        <v>0</v>
      </c>
      <c r="I371" s="201">
        <f t="shared" si="50"/>
        <v>0</v>
      </c>
      <c r="J371" s="62">
        <f>+GETPIVOTDATA(" New Undesg. avg",'Averages Pivot Table'!$A$3,"State","AR","Category",8,"Category2","Two-Year")</f>
        <v>0</v>
      </c>
      <c r="K371" s="130">
        <f t="shared" si="51"/>
        <v>0</v>
      </c>
      <c r="L371" s="62">
        <f>+GETPIVOTDATA(" New Single Rnk avg",'Averages Pivot Table'!$A$3,"State","AR","Category",8,"Category2","Two-Year")</f>
        <v>47404.103644444447</v>
      </c>
      <c r="M371" s="201">
        <f t="shared" si="52"/>
        <v>7</v>
      </c>
      <c r="N371" s="62">
        <f>+GETPIVOTDATA(" New All Ranks avg",'Averages Pivot Table'!$A$3,"State","AR","Category",8,"Category2","Two-Year")</f>
        <v>47404.103644444447</v>
      </c>
      <c r="O371" s="201">
        <f t="shared" si="53"/>
        <v>11</v>
      </c>
    </row>
    <row r="372" spans="1:15" ht="12.95" customHeight="1">
      <c r="A372" s="12" t="s">
        <v>455</v>
      </c>
      <c r="B372" s="62">
        <f>+GETPIVOTDATA(" New Prof avg",'Averages Pivot Table'!$A$3,"State","DE","Category",8,"Category2","Two-Year")</f>
        <v>0</v>
      </c>
      <c r="C372" s="130">
        <f t="shared" si="54"/>
        <v>0</v>
      </c>
      <c r="D372" s="62">
        <f>+GETPIVOTDATA(" New Asc. avg",'Averages Pivot Table'!$A$3,"State","DE","Category",8,"Category2","Two-Year")</f>
        <v>0</v>
      </c>
      <c r="E372" s="130">
        <f t="shared" si="54"/>
        <v>0</v>
      </c>
      <c r="F372" s="62">
        <f>+GETPIVOTDATA(" New Ast. avg",'Averages Pivot Table'!$A$3,"State","DE","Category",8,"Category2","Two-Year")</f>
        <v>0</v>
      </c>
      <c r="G372" s="130">
        <f t="shared" si="49"/>
        <v>0</v>
      </c>
      <c r="H372" s="62">
        <f>+GETPIVOTDATA(" New Inst. avg",'Averages Pivot Table'!$A$3,"State","DE","Category",8,"Category2","Two-Year")</f>
        <v>0</v>
      </c>
      <c r="I372" s="201">
        <f t="shared" si="50"/>
        <v>0</v>
      </c>
      <c r="J372" s="62">
        <f>+GETPIVOTDATA(" New Undesg. avg",'Averages Pivot Table'!$A$3,"State","DE","Category",8,"Category2","Two-Year")</f>
        <v>0</v>
      </c>
      <c r="K372" s="130">
        <f t="shared" si="51"/>
        <v>0</v>
      </c>
      <c r="L372" s="62">
        <f>+GETPIVOTDATA(" New Single Rnk avg",'Averages Pivot Table'!$A$3,"State","DE","Category",8,"Category2","Two-Year")</f>
        <v>0</v>
      </c>
      <c r="M372" s="201">
        <f t="shared" si="52"/>
        <v>0</v>
      </c>
      <c r="N372" s="62">
        <f>+GETPIVOTDATA(" New All Ranks avg",'Averages Pivot Table'!$A$3,"State","DE","Category",8,"Category2","Two-Year")</f>
        <v>0</v>
      </c>
      <c r="O372" s="201">
        <f t="shared" si="53"/>
        <v>0</v>
      </c>
    </row>
    <row r="373" spans="1:15" ht="12.95" customHeight="1">
      <c r="A373" s="12" t="s">
        <v>441</v>
      </c>
      <c r="B373" s="62">
        <f>+GETPIVOTDATA(" New Prof avg",'Averages Pivot Table'!$A$3,"State","FL","Category",8,"Category2","Two-Year")</f>
        <v>0</v>
      </c>
      <c r="C373" s="130">
        <f t="shared" si="54"/>
        <v>0</v>
      </c>
      <c r="D373" s="62">
        <f>+GETPIVOTDATA(" New Asc. avg",'Averages Pivot Table'!$A$3,"State","FL","Category",8,"Category2","Two-Year")</f>
        <v>0</v>
      </c>
      <c r="E373" s="130">
        <f t="shared" si="54"/>
        <v>0</v>
      </c>
      <c r="F373" s="62">
        <f>+GETPIVOTDATA(" New Ast. avg",'Averages Pivot Table'!$A$3,"State","FL","Category",8,"Category2","Two-Year")</f>
        <v>0</v>
      </c>
      <c r="G373" s="130">
        <f t="shared" si="49"/>
        <v>0</v>
      </c>
      <c r="H373" s="62">
        <f>+GETPIVOTDATA(" New Inst. avg",'Averages Pivot Table'!$A$3,"State","FL","Category",8,"Category2","Two-Year")</f>
        <v>0</v>
      </c>
      <c r="I373" s="201">
        <f t="shared" si="50"/>
        <v>0</v>
      </c>
      <c r="J373" s="62">
        <f>+GETPIVOTDATA(" New Undesg. avg",'Averages Pivot Table'!$A$3,"State","FL","Category",8,"Category2","Two-Year")</f>
        <v>0</v>
      </c>
      <c r="K373" s="130">
        <f t="shared" si="51"/>
        <v>0</v>
      </c>
      <c r="L373" s="62">
        <f>+GETPIVOTDATA(" New Single Rnk avg",'Averages Pivot Table'!$A$3,"State","FL","Category",8,"Category2","Two-Year")</f>
        <v>53262.509313154835</v>
      </c>
      <c r="M373" s="201">
        <f t="shared" si="52"/>
        <v>3</v>
      </c>
      <c r="N373" s="62">
        <f>+GETPIVOTDATA(" New All Ranks avg",'Averages Pivot Table'!$A$3,"State","FL","Category",8,"Category2","Two-Year")</f>
        <v>53262.509313154835</v>
      </c>
      <c r="O373" s="201">
        <f t="shared" si="53"/>
        <v>5</v>
      </c>
    </row>
    <row r="374" spans="1:15" ht="12.95" customHeight="1">
      <c r="A374" s="12"/>
      <c r="B374" s="62"/>
      <c r="C374" s="130">
        <f t="shared" si="54"/>
        <v>0</v>
      </c>
      <c r="D374" s="62"/>
      <c r="E374" s="130">
        <f t="shared" si="54"/>
        <v>0</v>
      </c>
      <c r="F374" s="62"/>
      <c r="G374" s="130">
        <f t="shared" si="49"/>
        <v>0</v>
      </c>
      <c r="H374" s="62"/>
      <c r="I374" s="201">
        <f t="shared" si="50"/>
        <v>0</v>
      </c>
      <c r="J374" s="62"/>
      <c r="K374" s="130">
        <f t="shared" si="51"/>
        <v>0</v>
      </c>
      <c r="L374" s="62"/>
      <c r="M374" s="201">
        <f t="shared" si="52"/>
        <v>0</v>
      </c>
      <c r="N374" s="62"/>
      <c r="O374" s="201">
        <f t="shared" si="53"/>
        <v>0</v>
      </c>
    </row>
    <row r="375" spans="1:15" ht="12.95" customHeight="1">
      <c r="A375" s="12" t="s">
        <v>442</v>
      </c>
      <c r="B375" s="62">
        <f>+GETPIVOTDATA(" New Prof avg",'Averages Pivot Table'!$A$3,"State","GA","Category",8,"Category2","Two-Year")</f>
        <v>66354.798276521746</v>
      </c>
      <c r="C375" s="130">
        <f t="shared" si="54"/>
        <v>4</v>
      </c>
      <c r="D375" s="62">
        <f>+GETPIVOTDATA(" New Asc. avg",'Averages Pivot Table'!$A$3,"State","GA","Category",8,"Category2","Two-Year")</f>
        <v>56869.633167160493</v>
      </c>
      <c r="E375" s="130">
        <f t="shared" si="54"/>
        <v>3</v>
      </c>
      <c r="F375" s="62">
        <f>+GETPIVOTDATA(" New Ast. avg",'Averages Pivot Table'!$A$3,"State","GA","Category",8,"Category2","Two-Year")</f>
        <v>45844.630506896559</v>
      </c>
      <c r="G375" s="130">
        <f t="shared" si="49"/>
        <v>4</v>
      </c>
      <c r="H375" s="62">
        <f>+GETPIVOTDATA(" New Inst. avg",'Averages Pivot Table'!$A$3,"State","GA","Category",8,"Category2","Two-Year")</f>
        <v>40216.907791858408</v>
      </c>
      <c r="I375" s="201">
        <f t="shared" si="50"/>
        <v>4</v>
      </c>
      <c r="J375" s="62">
        <f>+GETPIVOTDATA(" New Undesg. avg",'Averages Pivot Table'!$A$3,"State","GA","Category",8,"Category2","Two-Year")</f>
        <v>45637.898786666665</v>
      </c>
      <c r="K375" s="130">
        <f t="shared" si="51"/>
        <v>2</v>
      </c>
      <c r="L375" s="62">
        <f>+GETPIVOTDATA(" New Single Rnk avg",'Averages Pivot Table'!$A$3,"State","GA","Category",8,"Category2","Two-Year")</f>
        <v>0</v>
      </c>
      <c r="M375" s="201">
        <f t="shared" si="52"/>
        <v>0</v>
      </c>
      <c r="N375" s="62">
        <f>+GETPIVOTDATA(" New All Ranks avg",'Averages Pivot Table'!$A$3,"State","GA","Category",8,"Category2","Two-Year")</f>
        <v>50469.596227610629</v>
      </c>
      <c r="O375" s="201">
        <f t="shared" si="53"/>
        <v>7</v>
      </c>
    </row>
    <row r="376" spans="1:15" ht="12.95" customHeight="1">
      <c r="A376" s="12" t="s">
        <v>443</v>
      </c>
      <c r="B376" s="62">
        <f>+GETPIVOTDATA(" New Prof avg",'Averages Pivot Table'!$A$3,"State","KY","Category",8,"Category2","Two-Year")</f>
        <v>58478.707629870129</v>
      </c>
      <c r="C376" s="130">
        <f t="shared" si="54"/>
        <v>6</v>
      </c>
      <c r="D376" s="62">
        <f>+GETPIVOTDATA(" New Asc. avg",'Averages Pivot Table'!$A$3,"State","KY","Category",8,"Category2","Two-Year")</f>
        <v>49249.016180733946</v>
      </c>
      <c r="E376" s="130">
        <f t="shared" si="54"/>
        <v>6</v>
      </c>
      <c r="F376" s="62">
        <f>+GETPIVOTDATA(" New Ast. avg",'Averages Pivot Table'!$A$3,"State","KY","Category",8,"Category2","Two-Year")</f>
        <v>42873.134978378381</v>
      </c>
      <c r="G376" s="130">
        <f t="shared" si="49"/>
        <v>6</v>
      </c>
      <c r="H376" s="62">
        <f>+GETPIVOTDATA(" New Inst. avg",'Averages Pivot Table'!$A$3,"State","KY","Category",8,"Category2","Two-Year")</f>
        <v>39638.886736363638</v>
      </c>
      <c r="I376" s="201">
        <f t="shared" si="50"/>
        <v>5</v>
      </c>
      <c r="J376" s="62">
        <f>+GETPIVOTDATA(" New Undesg. avg",'Averages Pivot Table'!$A$3,"State","KY","Category",8,"Category2","Two-Year")</f>
        <v>0</v>
      </c>
      <c r="K376" s="130">
        <f t="shared" si="51"/>
        <v>0</v>
      </c>
      <c r="L376" s="62">
        <f>+GETPIVOTDATA(" New Single Rnk avg",'Averages Pivot Table'!$A$3,"State","KY","Category",8,"Category2","Two-Year")</f>
        <v>0</v>
      </c>
      <c r="M376" s="201">
        <f t="shared" si="52"/>
        <v>0</v>
      </c>
      <c r="N376" s="62">
        <f>+GETPIVOTDATA(" New All Ranks avg",'Averages Pivot Table'!$A$3,"State","KY","Category",8,"Category2","Two-Year")</f>
        <v>49864.814483203132</v>
      </c>
      <c r="O376" s="201">
        <f t="shared" si="53"/>
        <v>8</v>
      </c>
    </row>
    <row r="377" spans="1:15" ht="12.95" customHeight="1">
      <c r="A377" s="12" t="s">
        <v>444</v>
      </c>
      <c r="B377" s="62">
        <f>+GETPIVOTDATA(" New Prof avg",'Averages Pivot Table'!$A$3,"State","LA","Category",8,"Category2","Two-Year")</f>
        <v>78594.205828947364</v>
      </c>
      <c r="C377" s="130">
        <f t="shared" si="54"/>
        <v>2</v>
      </c>
      <c r="D377" s="62">
        <f>+GETPIVOTDATA(" New Asc. avg",'Averages Pivot Table'!$A$3,"State","LA","Category",8,"Category2","Two-Year")</f>
        <v>61144.436852631581</v>
      </c>
      <c r="E377" s="130">
        <f t="shared" si="54"/>
        <v>2</v>
      </c>
      <c r="F377" s="62">
        <f>+GETPIVOTDATA(" New Ast. avg",'Averages Pivot Table'!$A$3,"State","LA","Category",8,"Category2","Two-Year")</f>
        <v>60773.265053521136</v>
      </c>
      <c r="G377" s="130">
        <f t="shared" si="49"/>
        <v>1</v>
      </c>
      <c r="H377" s="62">
        <f>+GETPIVOTDATA(" New Inst. avg",'Averages Pivot Table'!$A$3,"State","LA","Category",8,"Category2","Two-Year")</f>
        <v>48035.276890322573</v>
      </c>
      <c r="I377" s="201">
        <f t="shared" si="50"/>
        <v>3</v>
      </c>
      <c r="J377" s="62">
        <f>+GETPIVOTDATA(" New Undesg. avg",'Averages Pivot Table'!$A$3,"State","LA","Category",8,"Category2","Two-Year")</f>
        <v>38882</v>
      </c>
      <c r="K377" s="130">
        <f t="shared" si="51"/>
        <v>3</v>
      </c>
      <c r="L377" s="62">
        <f>+GETPIVOTDATA(" New Single Rnk avg",'Averages Pivot Table'!$A$3,"State","LA","Category",8,"Category2","Two-Year")</f>
        <v>39308</v>
      </c>
      <c r="M377" s="201">
        <f t="shared" si="52"/>
        <v>8</v>
      </c>
      <c r="N377" s="62">
        <f>+GETPIVOTDATA(" New All Ranks avg",'Averages Pivot Table'!$A$3,"State","LA","Category",8,"Category2","Two-Year")</f>
        <v>54621.772599999997</v>
      </c>
      <c r="O377" s="201">
        <f t="shared" si="53"/>
        <v>3</v>
      </c>
    </row>
    <row r="378" spans="1:15" ht="12.95" customHeight="1">
      <c r="A378" s="12" t="s">
        <v>445</v>
      </c>
      <c r="B378" s="62">
        <f>+GETPIVOTDATA(" New Prof avg",'Averages Pivot Table'!$A$3,"State","MD","Category",8,"Category2","Two-Year")</f>
        <v>83659.995640458015</v>
      </c>
      <c r="C378" s="130">
        <f t="shared" si="54"/>
        <v>1</v>
      </c>
      <c r="D378" s="62">
        <f>+GETPIVOTDATA(" New Asc. avg",'Averages Pivot Table'!$A$3,"State","MD","Category",8,"Category2","Two-Year")</f>
        <v>65681.286804484305</v>
      </c>
      <c r="E378" s="130">
        <f t="shared" si="54"/>
        <v>1</v>
      </c>
      <c r="F378" s="62">
        <f>+GETPIVOTDATA(" New Ast. avg",'Averages Pivot Table'!$A$3,"State","MD","Category",8,"Category2","Two-Year")</f>
        <v>57240.40754025316</v>
      </c>
      <c r="G378" s="130">
        <f t="shared" si="49"/>
        <v>2</v>
      </c>
      <c r="H378" s="62">
        <f>+GETPIVOTDATA(" New Inst. avg",'Averages Pivot Table'!$A$3,"State","MD","Category",8,"Category2","Two-Year")</f>
        <v>49659.967349333332</v>
      </c>
      <c r="I378" s="201">
        <f t="shared" si="50"/>
        <v>2</v>
      </c>
      <c r="J378" s="62">
        <f>+GETPIVOTDATA(" New Undesg. avg",'Averages Pivot Table'!$A$3,"State","MD","Category",8,"Category2","Two-Year")</f>
        <v>0</v>
      </c>
      <c r="K378" s="130">
        <f t="shared" si="51"/>
        <v>0</v>
      </c>
      <c r="L378" s="62">
        <f>+GETPIVOTDATA(" New Single Rnk avg",'Averages Pivot Table'!$A$3,"State","MD","Category",8,"Category2","Two-Year")</f>
        <v>0</v>
      </c>
      <c r="M378" s="201">
        <f t="shared" si="52"/>
        <v>0</v>
      </c>
      <c r="N378" s="62">
        <f>+GETPIVOTDATA(" New All Ranks avg",'Averages Pivot Table'!$A$3,"State","MD","Category",8,"Category2","Two-Year")</f>
        <v>69073.715388888901</v>
      </c>
      <c r="O378" s="201">
        <f t="shared" si="53"/>
        <v>1</v>
      </c>
    </row>
    <row r="379" spans="1:15" ht="12.95" customHeight="1">
      <c r="A379" s="12"/>
      <c r="B379" s="62"/>
      <c r="C379" s="130">
        <f t="shared" si="54"/>
        <v>0</v>
      </c>
      <c r="D379" s="62"/>
      <c r="E379" s="130">
        <f t="shared" si="54"/>
        <v>0</v>
      </c>
      <c r="F379" s="62"/>
      <c r="G379" s="130">
        <f t="shared" si="49"/>
        <v>0</v>
      </c>
      <c r="H379" s="62"/>
      <c r="I379" s="201">
        <f t="shared" si="50"/>
        <v>0</v>
      </c>
      <c r="J379" s="62"/>
      <c r="K379" s="130">
        <f t="shared" si="51"/>
        <v>0</v>
      </c>
      <c r="L379" s="62"/>
      <c r="M379" s="201">
        <f t="shared" si="52"/>
        <v>0</v>
      </c>
      <c r="N379" s="62"/>
      <c r="O379" s="201">
        <f t="shared" si="53"/>
        <v>0</v>
      </c>
    </row>
    <row r="380" spans="1:15" ht="12.95" customHeight="1">
      <c r="A380" s="12" t="s">
        <v>446</v>
      </c>
      <c r="B380" s="62">
        <f>+GETPIVOTDATA(" New Prof avg",'Averages Pivot Table'!$A$3,"State","MS","Category",8,"Category2","Two-Year")</f>
        <v>0</v>
      </c>
      <c r="C380" s="130">
        <f t="shared" si="54"/>
        <v>0</v>
      </c>
      <c r="D380" s="62">
        <f>+GETPIVOTDATA(" New Asc. avg",'Averages Pivot Table'!$A$3,"State","MS","Category",8,"Category2","Two-Year")</f>
        <v>0</v>
      </c>
      <c r="E380" s="130">
        <f t="shared" si="54"/>
        <v>0</v>
      </c>
      <c r="F380" s="62">
        <f>+GETPIVOTDATA(" New Ast. avg",'Averages Pivot Table'!$A$3,"State","MS","Category",8,"Category2","Two-Year")</f>
        <v>0</v>
      </c>
      <c r="G380" s="130">
        <f t="shared" si="49"/>
        <v>0</v>
      </c>
      <c r="H380" s="62">
        <f>+GETPIVOTDATA(" New Inst. avg",'Averages Pivot Table'!$A$3,"State","MS","Category",8,"Category2","Two-Year")</f>
        <v>0</v>
      </c>
      <c r="I380" s="201">
        <f t="shared" si="50"/>
        <v>0</v>
      </c>
      <c r="J380" s="62">
        <f>+GETPIVOTDATA(" New Undesg. avg",'Averages Pivot Table'!$A$3,"State","MS","Category",8,"Category2","Two-Year")</f>
        <v>0</v>
      </c>
      <c r="K380" s="130">
        <f t="shared" si="51"/>
        <v>0</v>
      </c>
      <c r="L380" s="62">
        <f>+GETPIVOTDATA(" New Single Rnk avg",'Averages Pivot Table'!$A$3,"State","MS","Category",8,"Category2","Two-Year")</f>
        <v>48532.744048788845</v>
      </c>
      <c r="M380" s="201">
        <f t="shared" si="52"/>
        <v>5</v>
      </c>
      <c r="N380" s="62">
        <f>+GETPIVOTDATA(" New All Ranks avg",'Averages Pivot Table'!$A$3,"State","MS","Category",8,"Category2","Two-Year")</f>
        <v>48532.744048788845</v>
      </c>
      <c r="O380" s="201">
        <f t="shared" si="53"/>
        <v>9</v>
      </c>
    </row>
    <row r="381" spans="1:15" ht="12.95" customHeight="1">
      <c r="A381" s="12" t="s">
        <v>447</v>
      </c>
      <c r="B381" s="62">
        <f>+GETPIVOTDATA(" New Prof avg",'Averages Pivot Table'!$A$3,"State","NC","Category",8,"Category2","Two-Year")</f>
        <v>0</v>
      </c>
      <c r="C381" s="130">
        <f t="shared" si="54"/>
        <v>0</v>
      </c>
      <c r="D381" s="62">
        <f>+GETPIVOTDATA(" New Asc. avg",'Averages Pivot Table'!$A$3,"State","NC","Category",8,"Category2","Two-Year")</f>
        <v>0</v>
      </c>
      <c r="E381" s="130">
        <f t="shared" si="54"/>
        <v>0</v>
      </c>
      <c r="F381" s="62">
        <f>+GETPIVOTDATA(" New Ast. avg",'Averages Pivot Table'!$A$3,"State","NC","Category",8,"Category2","Two-Year")</f>
        <v>0</v>
      </c>
      <c r="G381" s="130">
        <f t="shared" si="49"/>
        <v>0</v>
      </c>
      <c r="H381" s="62">
        <f>+GETPIVOTDATA(" New Inst. avg",'Averages Pivot Table'!$A$3,"State","NC","Category",8,"Category2","Two-Year")</f>
        <v>0</v>
      </c>
      <c r="I381" s="201">
        <f t="shared" si="50"/>
        <v>0</v>
      </c>
      <c r="J381" s="62">
        <f>+GETPIVOTDATA(" New Undesg. avg",'Averages Pivot Table'!$A$3,"State","NC","Category",8,"Category2","Two-Year")</f>
        <v>0</v>
      </c>
      <c r="K381" s="130">
        <f t="shared" si="51"/>
        <v>0</v>
      </c>
      <c r="L381" s="62">
        <f>+GETPIVOTDATA(" New Single Rnk avg",'Averages Pivot Table'!$A$3,"State","NC","Category",8,"Category2","Two-Year")</f>
        <v>47747.426765799253</v>
      </c>
      <c r="M381" s="201">
        <f t="shared" si="52"/>
        <v>6</v>
      </c>
      <c r="N381" s="62">
        <f>+GETPIVOTDATA(" New All Ranks avg",'Averages Pivot Table'!$A$3,"State","NC","Category",8,"Category2","Two-Year")</f>
        <v>47747.426765799253</v>
      </c>
      <c r="O381" s="201">
        <f t="shared" si="53"/>
        <v>10</v>
      </c>
    </row>
    <row r="382" spans="1:15" ht="12.95" customHeight="1">
      <c r="A382" s="12" t="s">
        <v>448</v>
      </c>
      <c r="B382" s="62">
        <f>+GETPIVOTDATA(" New Prof avg",'Averages Pivot Table'!$A$3,"State","OK","Category",8,"Category2","Two-Year")</f>
        <v>0</v>
      </c>
      <c r="C382" s="130">
        <f t="shared" si="54"/>
        <v>0</v>
      </c>
      <c r="D382" s="62">
        <f>+GETPIVOTDATA(" New Asc. avg",'Averages Pivot Table'!$A$3,"State","OK","Category",8,"Category2","Two-Year")</f>
        <v>0</v>
      </c>
      <c r="E382" s="130">
        <f t="shared" si="54"/>
        <v>0</v>
      </c>
      <c r="F382" s="62">
        <f>+GETPIVOTDATA(" New Ast. avg",'Averages Pivot Table'!$A$3,"State","OK","Category",8,"Category2","Two-Year")</f>
        <v>0</v>
      </c>
      <c r="G382" s="130">
        <f t="shared" si="49"/>
        <v>0</v>
      </c>
      <c r="H382" s="62">
        <f>+GETPIVOTDATA(" New Inst. avg",'Averages Pivot Table'!$A$3,"State","OK","Category",8,"Category2","Two-Year")</f>
        <v>0</v>
      </c>
      <c r="I382" s="201">
        <f t="shared" si="50"/>
        <v>0</v>
      </c>
      <c r="J382" s="62">
        <f>+GETPIVOTDATA(" New Undesg. avg",'Averages Pivot Table'!$A$3,"State","OK","Category",8,"Category2","Two-Year")</f>
        <v>0</v>
      </c>
      <c r="K382" s="130">
        <f t="shared" si="51"/>
        <v>0</v>
      </c>
      <c r="L382" s="62">
        <f>+GETPIVOTDATA(" New Single Rnk avg",'Averages Pivot Table'!$A$3,"State","OK","Category",8,"Category2","Two-Year")</f>
        <v>52921.55907117117</v>
      </c>
      <c r="M382" s="201">
        <f t="shared" si="52"/>
        <v>4</v>
      </c>
      <c r="N382" s="62">
        <f>+GETPIVOTDATA(" New All Ranks avg",'Averages Pivot Table'!$A$3,"State","OK","Category",8,"Category2","Two-Year")</f>
        <v>52921.55907117117</v>
      </c>
      <c r="O382" s="201">
        <f t="shared" si="53"/>
        <v>6</v>
      </c>
    </row>
    <row r="383" spans="1:15" ht="12.95" customHeight="1">
      <c r="A383" s="12" t="s">
        <v>449</v>
      </c>
      <c r="B383" s="62">
        <f>+GETPIVOTDATA(" New Prof avg",'Averages Pivot Table'!$A$3,"State","SC","Category",8,"Category2","Two-Year")</f>
        <v>0</v>
      </c>
      <c r="C383" s="130">
        <f t="shared" si="54"/>
        <v>0</v>
      </c>
      <c r="D383" s="62">
        <f>+GETPIVOTDATA(" New Asc. avg",'Averages Pivot Table'!$A$3,"State","SC","Category",8,"Category2","Two-Year")</f>
        <v>0</v>
      </c>
      <c r="E383" s="130">
        <f t="shared" si="54"/>
        <v>0</v>
      </c>
      <c r="F383" s="62">
        <f>+GETPIVOTDATA(" New Ast. avg",'Averages Pivot Table'!$A$3,"State","SC","Category",8,"Category2","Two-Year")</f>
        <v>0</v>
      </c>
      <c r="G383" s="130">
        <f t="shared" si="49"/>
        <v>0</v>
      </c>
      <c r="H383" s="62">
        <f>+GETPIVOTDATA(" New Inst. avg",'Averages Pivot Table'!$A$3,"State","SC","Category",8,"Category2","Two-Year")</f>
        <v>0</v>
      </c>
      <c r="I383" s="201">
        <f t="shared" si="50"/>
        <v>0</v>
      </c>
      <c r="J383" s="62">
        <f>+GETPIVOTDATA(" New Undesg. avg",'Averages Pivot Table'!$A$3,"State","SC","Category",8,"Category2","Two-Year")</f>
        <v>47067.297921478057</v>
      </c>
      <c r="K383" s="130">
        <f t="shared" si="51"/>
        <v>1</v>
      </c>
      <c r="L383" s="62">
        <f>+GETPIVOTDATA(" New Single Rnk avg",'Averages Pivot Table'!$A$3,"State","SC","Category",8,"Category2","Two-Year")</f>
        <v>0</v>
      </c>
      <c r="M383" s="201">
        <f t="shared" si="52"/>
        <v>0</v>
      </c>
      <c r="N383" s="62">
        <f>+GETPIVOTDATA(" New All Ranks avg",'Averages Pivot Table'!$A$3,"State","SC","Category",8,"Category2","Two-Year")</f>
        <v>47067.297921478057</v>
      </c>
      <c r="O383" s="201">
        <f t="shared" si="53"/>
        <v>13</v>
      </c>
    </row>
    <row r="384" spans="1:15" ht="12.95" customHeight="1">
      <c r="A384" s="12"/>
      <c r="B384" s="62"/>
      <c r="C384" s="130">
        <f t="shared" si="54"/>
        <v>0</v>
      </c>
      <c r="D384" s="62"/>
      <c r="E384" s="130">
        <f t="shared" si="54"/>
        <v>0</v>
      </c>
      <c r="F384" s="62"/>
      <c r="G384" s="130">
        <f t="shared" si="49"/>
        <v>0</v>
      </c>
      <c r="H384" s="62"/>
      <c r="I384" s="201">
        <f t="shared" si="50"/>
        <v>0</v>
      </c>
      <c r="J384" s="62"/>
      <c r="K384" s="130">
        <f t="shared" si="51"/>
        <v>0</v>
      </c>
      <c r="L384" s="62"/>
      <c r="M384" s="201">
        <f t="shared" si="52"/>
        <v>0</v>
      </c>
      <c r="N384" s="62"/>
      <c r="O384" s="201">
        <f t="shared" si="53"/>
        <v>0</v>
      </c>
    </row>
    <row r="385" spans="1:19" ht="12.95" customHeight="1">
      <c r="A385" s="12" t="s">
        <v>450</v>
      </c>
      <c r="B385" s="129">
        <f>+GETPIVOTDATA(" New Prof avg",'Averages Pivot Table'!$A$3,"State","TN","Category",8,"Category2","Two-Year")</f>
        <v>58615.826682758627</v>
      </c>
      <c r="C385" s="130">
        <f t="shared" si="54"/>
        <v>5</v>
      </c>
      <c r="D385" s="129">
        <f>+GETPIVOTDATA(" New Asc. avg",'Averages Pivot Table'!$A$3,"State","TN","Category",8,"Category2","Two-Year")</f>
        <v>50421.226373737372</v>
      </c>
      <c r="E385" s="130">
        <f t="shared" si="54"/>
        <v>5</v>
      </c>
      <c r="F385" s="129">
        <f>+GETPIVOTDATA(" New Ast. avg",'Averages Pivot Table'!$A$3,"State","TN","Category",8,"Category2","Two-Year")</f>
        <v>42878.080444444444</v>
      </c>
      <c r="G385" s="130">
        <f t="shared" si="49"/>
        <v>5</v>
      </c>
      <c r="H385" s="129">
        <f>+GETPIVOTDATA(" New Inst. avg",'Averages Pivot Table'!$A$3,"State","TN","Category",8,"Category2","Two-Year")</f>
        <v>36630.92596788321</v>
      </c>
      <c r="I385" s="201">
        <f t="shared" si="50"/>
        <v>6</v>
      </c>
      <c r="J385" s="129">
        <f>+GETPIVOTDATA(" New Undesg. avg",'Averages Pivot Table'!$A$3,"State","TN","Category",8,"Category2","Two-Year")</f>
        <v>0</v>
      </c>
      <c r="K385" s="130">
        <f t="shared" si="51"/>
        <v>0</v>
      </c>
      <c r="L385" s="129">
        <f>+GETPIVOTDATA(" New Single Rnk avg",'Averages Pivot Table'!$A$3,"State","TN","Category",8,"Category2","Two-Year")</f>
        <v>0</v>
      </c>
      <c r="M385" s="201">
        <f t="shared" si="52"/>
        <v>0</v>
      </c>
      <c r="N385" s="62">
        <f>+GETPIVOTDATA(" New All Ranks avg",'Averages Pivot Table'!$A$3,"State","TN","Category",8,"Category2","Two-Year")</f>
        <v>47134.089873261204</v>
      </c>
      <c r="O385" s="201">
        <f t="shared" si="53"/>
        <v>12</v>
      </c>
    </row>
    <row r="386" spans="1:19" ht="12.95" customHeight="1">
      <c r="A386" s="12" t="s">
        <v>451</v>
      </c>
      <c r="B386" s="129">
        <f>+GETPIVOTDATA(" New Prof avg",'Averages Pivot Table'!$A$3,"State","TX","Category",8,"Category2","Two-Year")</f>
        <v>66594.483509768746</v>
      </c>
      <c r="C386" s="130">
        <f t="shared" si="54"/>
        <v>3</v>
      </c>
      <c r="D386" s="129">
        <f>+GETPIVOTDATA(" New Asc. avg",'Averages Pivot Table'!$A$3,"State","TX","Category",8,"Category2","Two-Year")</f>
        <v>54467.429732315526</v>
      </c>
      <c r="E386" s="130">
        <f t="shared" si="54"/>
        <v>4</v>
      </c>
      <c r="F386" s="129">
        <f>+GETPIVOTDATA(" New Ast. avg",'Averages Pivot Table'!$A$3,"State","TX","Category",8,"Category2","Two-Year")</f>
        <v>51385.655533896519</v>
      </c>
      <c r="G386" s="130">
        <f t="shared" si="49"/>
        <v>3</v>
      </c>
      <c r="H386" s="129">
        <f>+GETPIVOTDATA(" New Inst. avg",'Averages Pivot Table'!$A$3,"State","TX","Category",8,"Category2","Two-Year")</f>
        <v>51477.189552373093</v>
      </c>
      <c r="I386" s="201">
        <f t="shared" si="50"/>
        <v>1</v>
      </c>
      <c r="J386" s="129">
        <f>+GETPIVOTDATA(" New Undesg. avg",'Averages Pivot Table'!$A$3,"State","TX","Category",8,"Category2","Two-Year")</f>
        <v>37581.649122077921</v>
      </c>
      <c r="K386" s="130">
        <f t="shared" si="51"/>
        <v>4</v>
      </c>
      <c r="L386" s="129">
        <f>+GETPIVOTDATA(" New Single Rnk avg",'Averages Pivot Table'!$A$3,"State","TX","Category",8,"Category2","Two-Year")</f>
        <v>55911.10493442772</v>
      </c>
      <c r="M386" s="201">
        <f t="shared" si="52"/>
        <v>1</v>
      </c>
      <c r="N386" s="62">
        <f>+GETPIVOTDATA(" New All Ranks avg",'Averages Pivot Table'!$A$3,"State","TX","Category",8,"Category2","Two-Year")</f>
        <v>56414.085521503694</v>
      </c>
      <c r="O386" s="201">
        <f t="shared" si="53"/>
        <v>2</v>
      </c>
    </row>
    <row r="387" spans="1:19" ht="12.95" customHeight="1">
      <c r="A387" s="12" t="s">
        <v>452</v>
      </c>
      <c r="B387" s="129">
        <f>+GETPIVOTDATA(" New Prof avg",'Averages Pivot Table'!$A$3,"State","VA","Category",8,"Category2","Two-Year")</f>
        <v>0</v>
      </c>
      <c r="C387" s="130">
        <f t="shared" si="54"/>
        <v>0</v>
      </c>
      <c r="D387" s="129">
        <f>+GETPIVOTDATA(" New Asc. avg",'Averages Pivot Table'!$A$3,"State","VA","Category",8,"Category2","Two-Year")</f>
        <v>0</v>
      </c>
      <c r="E387" s="130">
        <f t="shared" si="54"/>
        <v>0</v>
      </c>
      <c r="F387" s="129">
        <f>+GETPIVOTDATA(" New Ast. avg",'Averages Pivot Table'!$A$3,"State","VA","Category",8,"Category2","Two-Year")</f>
        <v>0</v>
      </c>
      <c r="G387" s="130">
        <f t="shared" si="49"/>
        <v>0</v>
      </c>
      <c r="H387" s="129">
        <f>+GETPIVOTDATA(" New Inst. avg",'Averages Pivot Table'!$A$3,"State","VA","Category",8,"Category2","Two-Year")</f>
        <v>0</v>
      </c>
      <c r="I387" s="201">
        <f t="shared" si="50"/>
        <v>0</v>
      </c>
      <c r="J387" s="129">
        <f>+GETPIVOTDATA(" New Undesg. avg",'Averages Pivot Table'!$A$3,"State","VA","Category",8,"Category2","Two-Year")</f>
        <v>0</v>
      </c>
      <c r="K387" s="130">
        <f t="shared" si="51"/>
        <v>0</v>
      </c>
      <c r="L387" s="129">
        <f>+GETPIVOTDATA(" New Single Rnk avg",'Averages Pivot Table'!$A$3,"State","VA","Category",8,"Category2","Two-Year")</f>
        <v>0</v>
      </c>
      <c r="M387" s="201">
        <f t="shared" si="52"/>
        <v>0</v>
      </c>
      <c r="N387" s="62">
        <f>+GETPIVOTDATA(" New All Ranks avg",'Averages Pivot Table'!$A$3,"State","VA","Category",8,"Category2","Two-Year")</f>
        <v>0</v>
      </c>
      <c r="O387" s="201">
        <f t="shared" si="53"/>
        <v>0</v>
      </c>
    </row>
    <row r="388" spans="1:19" ht="12.95" customHeight="1">
      <c r="A388" s="11" t="s">
        <v>453</v>
      </c>
      <c r="B388" s="64">
        <f>+GETPIVOTDATA(" New Prof avg",'Averages Pivot Table'!$A$3,"State","WV","Category",8,"Category2","Two-Year")</f>
        <v>0</v>
      </c>
      <c r="C388" s="65">
        <f t="shared" si="54"/>
        <v>0</v>
      </c>
      <c r="D388" s="64">
        <f>+GETPIVOTDATA(" New Asc. avg",'Averages Pivot Table'!$A$3,"State","WV","Category",8,"Category2","Two-Year")</f>
        <v>0</v>
      </c>
      <c r="E388" s="65">
        <f t="shared" si="54"/>
        <v>0</v>
      </c>
      <c r="F388" s="64">
        <f>+GETPIVOTDATA(" New Ast. avg",'Averages Pivot Table'!$A$3,"State","WV","Category",8,"Category2","Two-Year")</f>
        <v>0</v>
      </c>
      <c r="G388" s="65">
        <f t="shared" si="49"/>
        <v>0</v>
      </c>
      <c r="H388" s="64">
        <f>+GETPIVOTDATA(" New Inst. avg",'Averages Pivot Table'!$A$3,"State","WV","Category",8,"Category2","Two-Year")</f>
        <v>0</v>
      </c>
      <c r="I388" s="202">
        <f t="shared" si="50"/>
        <v>0</v>
      </c>
      <c r="J388" s="64">
        <f>+GETPIVOTDATA(" New Undesg. avg",'Averages Pivot Table'!$A$3,"State","WV","Category",8,"Category2","Two-Year")</f>
        <v>0</v>
      </c>
      <c r="K388" s="65">
        <f t="shared" si="51"/>
        <v>0</v>
      </c>
      <c r="L388" s="64">
        <f>+GETPIVOTDATA(" New Single Rnk avg",'Averages Pivot Table'!$A$3,"State","WV","Category",8,"Category2","Two-Year")</f>
        <v>0</v>
      </c>
      <c r="M388" s="202">
        <f t="shared" si="52"/>
        <v>0</v>
      </c>
      <c r="N388" s="64">
        <f>+GETPIVOTDATA(" New All Ranks avg",'Averages Pivot Table'!$A$3,"State","WV","Category",8,"Category2","Two-Year")</f>
        <v>0</v>
      </c>
      <c r="O388" s="202">
        <f t="shared" si="53"/>
        <v>0</v>
      </c>
    </row>
    <row r="389" spans="1:19" ht="30" customHeight="1">
      <c r="A389" s="622" t="s">
        <v>323</v>
      </c>
      <c r="B389" s="622"/>
      <c r="C389" s="622"/>
      <c r="D389" s="622"/>
      <c r="E389" s="622"/>
      <c r="F389" s="622"/>
      <c r="G389" s="622"/>
      <c r="H389" s="622"/>
      <c r="I389" s="622"/>
      <c r="J389" s="622"/>
      <c r="K389" s="622"/>
      <c r="L389" s="622"/>
      <c r="M389" s="622"/>
      <c r="N389" s="622"/>
      <c r="O389" s="622"/>
    </row>
    <row r="390" spans="1:19">
      <c r="O390" s="244" t="s">
        <v>1166</v>
      </c>
    </row>
    <row r="391" spans="1:19" ht="18">
      <c r="A391" s="618" t="s">
        <v>789</v>
      </c>
      <c r="B391" s="618"/>
      <c r="C391" s="618"/>
      <c r="D391" s="618"/>
      <c r="E391" s="618"/>
      <c r="F391" s="618"/>
      <c r="G391" s="618"/>
      <c r="H391" s="618"/>
      <c r="I391" s="618"/>
      <c r="J391" s="618"/>
      <c r="K391" s="618"/>
      <c r="L391" s="618"/>
      <c r="M391" s="618"/>
      <c r="N391" s="618"/>
      <c r="O391" s="618"/>
    </row>
    <row r="392" spans="1:19">
      <c r="A392" s="23"/>
      <c r="B392" s="5"/>
      <c r="C392" s="5"/>
      <c r="D392" s="5"/>
      <c r="E392" s="5"/>
      <c r="F392" s="5"/>
      <c r="G392" s="5"/>
      <c r="H392" s="5"/>
      <c r="I392" s="159"/>
      <c r="J392" s="5"/>
      <c r="K392" s="5"/>
      <c r="L392" s="5"/>
      <c r="M392" s="159"/>
      <c r="N392" s="5"/>
      <c r="O392" s="159"/>
    </row>
    <row r="393" spans="1:19">
      <c r="A393" s="619" t="s">
        <v>454</v>
      </c>
      <c r="B393" s="619"/>
      <c r="C393" s="619"/>
      <c r="D393" s="619"/>
      <c r="E393" s="619"/>
      <c r="F393" s="619"/>
      <c r="G393" s="619"/>
      <c r="H393" s="619"/>
      <c r="I393" s="619"/>
      <c r="J393" s="619"/>
      <c r="K393" s="619"/>
      <c r="L393" s="619"/>
      <c r="M393" s="619"/>
      <c r="N393" s="619"/>
      <c r="O393" s="619"/>
    </row>
    <row r="394" spans="1:19">
      <c r="A394" s="619" t="s">
        <v>1150</v>
      </c>
      <c r="B394" s="619"/>
      <c r="C394" s="619"/>
      <c r="D394" s="619"/>
      <c r="E394" s="619"/>
      <c r="F394" s="619"/>
      <c r="G394" s="619"/>
      <c r="H394" s="619"/>
      <c r="I394" s="619"/>
      <c r="J394" s="619"/>
      <c r="K394" s="619"/>
      <c r="L394" s="619"/>
      <c r="M394" s="619"/>
      <c r="N394" s="619"/>
      <c r="O394" s="619"/>
    </row>
    <row r="395" spans="1:19">
      <c r="A395" s="12"/>
      <c r="B395" s="12"/>
      <c r="C395" s="12"/>
      <c r="D395" s="12"/>
      <c r="E395" s="12"/>
      <c r="F395" s="12"/>
      <c r="G395" s="12"/>
      <c r="H395" s="12"/>
      <c r="I395" s="215"/>
      <c r="J395" s="12"/>
      <c r="K395" s="12"/>
      <c r="L395" s="12"/>
      <c r="M395" s="215"/>
      <c r="N395" s="12"/>
      <c r="O395" s="215"/>
    </row>
    <row r="396" spans="1:19" ht="33.75" customHeight="1">
      <c r="A396" s="15"/>
      <c r="B396" s="21" t="s">
        <v>332</v>
      </c>
      <c r="C396" s="22"/>
      <c r="D396" s="141" t="s">
        <v>333</v>
      </c>
      <c r="E396" s="142"/>
      <c r="F396" s="141" t="s">
        <v>334</v>
      </c>
      <c r="G396" s="142"/>
      <c r="H396" s="21" t="s">
        <v>335</v>
      </c>
      <c r="I396" s="225"/>
      <c r="J396" s="141" t="s">
        <v>461</v>
      </c>
      <c r="K396" s="142"/>
      <c r="L396" s="22" t="s">
        <v>314</v>
      </c>
      <c r="M396" s="225"/>
      <c r="N396" s="22" t="s">
        <v>316</v>
      </c>
      <c r="O396" s="225"/>
    </row>
    <row r="397" spans="1:19">
      <c r="A397" s="16"/>
      <c r="B397" s="19" t="s">
        <v>336</v>
      </c>
      <c r="C397" s="18" t="s">
        <v>427</v>
      </c>
      <c r="D397" s="19" t="s">
        <v>336</v>
      </c>
      <c r="E397" s="18" t="s">
        <v>427</v>
      </c>
      <c r="F397" s="19" t="s">
        <v>336</v>
      </c>
      <c r="G397" s="18" t="s">
        <v>427</v>
      </c>
      <c r="H397" s="19" t="s">
        <v>336</v>
      </c>
      <c r="I397" s="226" t="s">
        <v>427</v>
      </c>
      <c r="J397" s="19" t="s">
        <v>336</v>
      </c>
      <c r="K397" s="18" t="s">
        <v>427</v>
      </c>
      <c r="L397" s="19" t="s">
        <v>336</v>
      </c>
      <c r="M397" s="226" t="s">
        <v>427</v>
      </c>
      <c r="N397" s="19" t="s">
        <v>336</v>
      </c>
      <c r="O397" s="226" t="s">
        <v>427</v>
      </c>
    </row>
    <row r="398" spans="1:19" s="156" customFormat="1" ht="18" customHeight="1">
      <c r="A398" s="168" t="s">
        <v>456</v>
      </c>
      <c r="B398" s="172">
        <f>+GETPIVOTDATA(" New Prof avg",'Averages Pivot Table'!$A$3,"Category",9,"Category2","Two-Year")</f>
        <v>58472.768040577801</v>
      </c>
      <c r="C398" s="172"/>
      <c r="D398" s="172">
        <f>+GETPIVOTDATA(" New Asc. avg",'Averages Pivot Table'!$A$3,"Category",9,"Category2","Two-Year")</f>
        <v>50862.858032781951</v>
      </c>
      <c r="E398" s="172"/>
      <c r="F398" s="172">
        <f>+GETPIVOTDATA(" New Ast. avg",'Averages Pivot Table'!$A$3,"Category",9,"Category2","Two-Year")</f>
        <v>46398.559733686867</v>
      </c>
      <c r="G398" s="172"/>
      <c r="H398" s="172">
        <f>+GETPIVOTDATA(" New Inst. avg",'Averages Pivot Table'!$A$3,"Category",9,"Category2","Two-Year")</f>
        <v>41978.554474396064</v>
      </c>
      <c r="I398" s="229"/>
      <c r="J398" s="172">
        <f>+GETPIVOTDATA(" New Undesg. avg",'Averages Pivot Table'!$A$3,"Category",9,"Category2","Two-Year")</f>
        <v>45395.296667572809</v>
      </c>
      <c r="K398" s="172"/>
      <c r="L398" s="172">
        <f>+GETPIVOTDATA(" New Single Rnk avg",'Averages Pivot Table'!$A$3,"Category",9,"Category2","Two-Year")</f>
        <v>50012.753366450357</v>
      </c>
      <c r="M398" s="229"/>
      <c r="N398" s="172">
        <f>+GETPIVOTDATA(" New All Ranks avg",'Averages Pivot Table'!$A$3,"Category",9,"Category2","Two-Year")</f>
        <v>49168.777607690652</v>
      </c>
      <c r="O398" s="216"/>
      <c r="Q398" s="193"/>
      <c r="R398" s="193"/>
      <c r="S398" s="193"/>
    </row>
    <row r="399" spans="1:19" ht="12.95" customHeight="1">
      <c r="A399" s="12"/>
      <c r="B399" s="9"/>
      <c r="C399" s="17"/>
      <c r="D399" s="9"/>
      <c r="E399" s="17"/>
      <c r="F399" s="9"/>
      <c r="G399" s="17"/>
      <c r="H399" s="9"/>
      <c r="I399" s="233"/>
      <c r="J399" s="9"/>
      <c r="K399" s="17"/>
      <c r="L399" s="9"/>
      <c r="M399" s="233"/>
      <c r="N399" s="9"/>
      <c r="O399" s="217"/>
    </row>
    <row r="400" spans="1:19" ht="12.95" customHeight="1">
      <c r="A400" s="12" t="s">
        <v>439</v>
      </c>
      <c r="B400" s="62">
        <f>+GETPIVOTDATA(" New Prof avg",'Averages Pivot Table'!$A$3,"State","AL","Category",9,"Category2","Two-Year")</f>
        <v>0</v>
      </c>
      <c r="C400" s="130">
        <f>IF(B400&gt;0,(RANK(B400,B$400:B$418)),0)</f>
        <v>0</v>
      </c>
      <c r="D400" s="62">
        <f>+GETPIVOTDATA(" New Asc. avg",'Averages Pivot Table'!$A$3,"State","AL","Category",9,"Category2","Two-Year")</f>
        <v>0</v>
      </c>
      <c r="E400" s="130">
        <f>IF(D400&gt;0,(RANK(D400,D$400:D$418)),0)</f>
        <v>0</v>
      </c>
      <c r="F400" s="62">
        <f>+GETPIVOTDATA(" New Ast. avg",'Averages Pivot Table'!$A$3,"State","AL","Category",9,"Category2","Two-Year")</f>
        <v>0</v>
      </c>
      <c r="G400" s="130">
        <f t="shared" ref="G400:G418" si="55">IF(F400&gt;0,(RANK(F400,F$400:F$418)),0)</f>
        <v>0</v>
      </c>
      <c r="H400" s="62">
        <f>+GETPIVOTDATA(" New Inst. avg",'Averages Pivot Table'!$A$3,"State","AL","Category",9,"Category2","Two-Year")</f>
        <v>0</v>
      </c>
      <c r="I400" s="201">
        <f t="shared" ref="I400:I418" si="56">IF(H400&gt;0,(RANK(H400,H$400:H$418)),0)</f>
        <v>0</v>
      </c>
      <c r="J400" s="62">
        <f>+GETPIVOTDATA(" New Undesg. avg",'Averages Pivot Table'!$A$3,"State","AL","Category",9,"Category2","Two-Year")</f>
        <v>0</v>
      </c>
      <c r="K400" s="130">
        <f t="shared" ref="K400:K418" si="57">IF(J400&gt;0,(RANK(J400,J$400:J$418)),0)</f>
        <v>0</v>
      </c>
      <c r="L400" s="62">
        <f>+GETPIVOTDATA(" New Single Rnk avg",'Averages Pivot Table'!$A$3,"State","AL","Category",9,"Category2","Two-Year")</f>
        <v>53202.086543978105</v>
      </c>
      <c r="M400" s="201">
        <f t="shared" ref="M400:M418" si="58">IF(L400&gt;0,(RANK(L400,L$400:L$418)),0)</f>
        <v>2</v>
      </c>
      <c r="N400" s="62">
        <f>+GETPIVOTDATA(" New All Ranks avg",'Averages Pivot Table'!$A$3,"State","AL","Category",9,"Category2","Two-Year")</f>
        <v>53202.086543978105</v>
      </c>
      <c r="O400" s="201">
        <f t="shared" ref="O400:O418" si="59">IF(N400&gt;0,(RANK(N400,N$400:N$418)),0)</f>
        <v>3</v>
      </c>
    </row>
    <row r="401" spans="1:15" ht="12.95" customHeight="1">
      <c r="A401" s="12" t="s">
        <v>440</v>
      </c>
      <c r="B401" s="62">
        <f>+GETPIVOTDATA(" New Prof avg",'Averages Pivot Table'!$A$3,"State","AR","Category",9,"Category2","Two-Year")</f>
        <v>57778.512439999999</v>
      </c>
      <c r="C401" s="130">
        <f t="shared" ref="C401:E418" si="60">IF(B401&gt;0,(RANK(B401,B$400:B$418)),0)</f>
        <v>5</v>
      </c>
      <c r="D401" s="62">
        <f>+GETPIVOTDATA(" New Asc. avg",'Averages Pivot Table'!$A$3,"State","AR","Category",9,"Category2","Two-Year")</f>
        <v>56579.617133333333</v>
      </c>
      <c r="E401" s="130">
        <f t="shared" si="60"/>
        <v>2</v>
      </c>
      <c r="F401" s="62">
        <f>+GETPIVOTDATA(" New Ast. avg",'Averages Pivot Table'!$A$3,"State","AR","Category",9,"Category2","Two-Year")</f>
        <v>46697.386723529409</v>
      </c>
      <c r="G401" s="130">
        <f t="shared" si="55"/>
        <v>3</v>
      </c>
      <c r="H401" s="62">
        <f>+GETPIVOTDATA(" New Inst. avg",'Averages Pivot Table'!$A$3,"State","AR","Category",9,"Category2","Two-Year")</f>
        <v>39812.215172602737</v>
      </c>
      <c r="I401" s="201">
        <f t="shared" si="56"/>
        <v>4</v>
      </c>
      <c r="J401" s="62">
        <f>+GETPIVOTDATA(" New Undesg. avg",'Averages Pivot Table'!$A$3,"State","AR","Category",9,"Category2","Two-Year")</f>
        <v>0</v>
      </c>
      <c r="K401" s="130">
        <f t="shared" si="57"/>
        <v>0</v>
      </c>
      <c r="L401" s="62">
        <f>+GETPIVOTDATA(" New Single Rnk avg",'Averages Pivot Table'!$A$3,"State","AR","Category",9,"Category2","Two-Year")</f>
        <v>47326.607705982904</v>
      </c>
      <c r="M401" s="201">
        <f t="shared" si="58"/>
        <v>6</v>
      </c>
      <c r="N401" s="62">
        <f>+GETPIVOTDATA(" New All Ranks avg",'Averages Pivot Table'!$A$3,"State","AR","Category",9,"Category2","Two-Year")</f>
        <v>46102.92443887324</v>
      </c>
      <c r="O401" s="201">
        <f t="shared" si="59"/>
        <v>12</v>
      </c>
    </row>
    <row r="402" spans="1:15" ht="12.95" customHeight="1">
      <c r="A402" s="12" t="s">
        <v>455</v>
      </c>
      <c r="B402" s="62">
        <f>+GETPIVOTDATA(" New Prof avg",'Averages Pivot Table'!$A$3,"State","DE","Category",9,"Category2","Two-Year")</f>
        <v>0</v>
      </c>
      <c r="C402" s="130">
        <f t="shared" si="60"/>
        <v>0</v>
      </c>
      <c r="D402" s="62">
        <f>+GETPIVOTDATA(" New Asc. avg",'Averages Pivot Table'!$A$3,"State","DE","Category",9,"Category2","Two-Year")</f>
        <v>0</v>
      </c>
      <c r="E402" s="130">
        <f t="shared" si="60"/>
        <v>0</v>
      </c>
      <c r="F402" s="62">
        <f>+GETPIVOTDATA(" New Ast. avg",'Averages Pivot Table'!$A$3,"State","DE","Category",9,"Category2","Two-Year")</f>
        <v>0</v>
      </c>
      <c r="G402" s="130">
        <f t="shared" si="55"/>
        <v>0</v>
      </c>
      <c r="H402" s="62">
        <f>+GETPIVOTDATA(" New Inst. avg",'Averages Pivot Table'!$A$3,"State","DE","Category",9,"Category2","Two-Year")</f>
        <v>0</v>
      </c>
      <c r="I402" s="201">
        <f t="shared" si="56"/>
        <v>0</v>
      </c>
      <c r="J402" s="62">
        <f>+GETPIVOTDATA(" New Undesg. avg",'Averages Pivot Table'!$A$3,"State","DE","Category",9,"Category2","Two-Year")</f>
        <v>0</v>
      </c>
      <c r="K402" s="130">
        <f t="shared" si="57"/>
        <v>0</v>
      </c>
      <c r="L402" s="62">
        <f>+GETPIVOTDATA(" New Single Rnk avg",'Averages Pivot Table'!$A$3,"State","DE","Category",9,"Category2","Two-Year")</f>
        <v>63829.264999999999</v>
      </c>
      <c r="M402" s="201">
        <f t="shared" si="58"/>
        <v>1</v>
      </c>
      <c r="N402" s="62">
        <f>+GETPIVOTDATA(" New All Ranks avg",'Averages Pivot Table'!$A$3,"State","DE","Category",9,"Category2","Two-Year")</f>
        <v>63829.264999999999</v>
      </c>
      <c r="O402" s="201">
        <f t="shared" si="59"/>
        <v>1</v>
      </c>
    </row>
    <row r="403" spans="1:15" ht="12.95" customHeight="1">
      <c r="A403" s="12" t="s">
        <v>441</v>
      </c>
      <c r="B403" s="62">
        <f>+GETPIVOTDATA(" New Prof avg",'Averages Pivot Table'!$A$3,"State","FL","Category",9,"Category2","Two-Year")</f>
        <v>0</v>
      </c>
      <c r="C403" s="130">
        <f t="shared" si="60"/>
        <v>0</v>
      </c>
      <c r="D403" s="62">
        <f>+GETPIVOTDATA(" New Asc. avg",'Averages Pivot Table'!$A$3,"State","FL","Category",9,"Category2","Two-Year")</f>
        <v>0</v>
      </c>
      <c r="E403" s="130">
        <f t="shared" si="60"/>
        <v>0</v>
      </c>
      <c r="F403" s="62">
        <f>+GETPIVOTDATA(" New Ast. avg",'Averages Pivot Table'!$A$3,"State","FL","Category",9,"Category2","Two-Year")</f>
        <v>0</v>
      </c>
      <c r="G403" s="130">
        <f t="shared" si="55"/>
        <v>0</v>
      </c>
      <c r="H403" s="62">
        <f>+GETPIVOTDATA(" New Inst. avg",'Averages Pivot Table'!$A$3,"State","FL","Category",9,"Category2","Two-Year")</f>
        <v>0</v>
      </c>
      <c r="I403" s="201">
        <f t="shared" si="56"/>
        <v>0</v>
      </c>
      <c r="J403" s="62">
        <f>+GETPIVOTDATA(" New Undesg. avg",'Averages Pivot Table'!$A$3,"State","FL","Category",9,"Category2","Two-Year")</f>
        <v>0</v>
      </c>
      <c r="K403" s="130">
        <f t="shared" si="57"/>
        <v>0</v>
      </c>
      <c r="L403" s="62">
        <f>+GETPIVOTDATA(" New Single Rnk avg",'Averages Pivot Table'!$A$3,"State","FL","Category",9,"Category2","Two-Year")</f>
        <v>46161.699769053121</v>
      </c>
      <c r="M403" s="201">
        <f t="shared" si="58"/>
        <v>8</v>
      </c>
      <c r="N403" s="62">
        <f>+GETPIVOTDATA(" New All Ranks avg",'Averages Pivot Table'!$A$3,"State","FL","Category",9,"Category2","Two-Year")</f>
        <v>46161.699769053121</v>
      </c>
      <c r="O403" s="201">
        <f t="shared" si="59"/>
        <v>10</v>
      </c>
    </row>
    <row r="404" spans="1:15" ht="12.95" customHeight="1">
      <c r="A404" s="12"/>
      <c r="B404" s="62"/>
      <c r="C404" s="130">
        <f t="shared" si="60"/>
        <v>0</v>
      </c>
      <c r="D404" s="62"/>
      <c r="E404" s="130">
        <f t="shared" si="60"/>
        <v>0</v>
      </c>
      <c r="F404" s="62"/>
      <c r="G404" s="130">
        <f t="shared" si="55"/>
        <v>0</v>
      </c>
      <c r="H404" s="62"/>
      <c r="I404" s="201">
        <f t="shared" si="56"/>
        <v>0</v>
      </c>
      <c r="J404" s="62"/>
      <c r="K404" s="130">
        <f t="shared" si="57"/>
        <v>0</v>
      </c>
      <c r="L404" s="62"/>
      <c r="M404" s="201">
        <f t="shared" si="58"/>
        <v>0</v>
      </c>
      <c r="N404" s="62"/>
      <c r="O404" s="201">
        <f t="shared" si="59"/>
        <v>0</v>
      </c>
    </row>
    <row r="405" spans="1:15" ht="12.95" customHeight="1">
      <c r="A405" s="12" t="s">
        <v>442</v>
      </c>
      <c r="B405" s="62">
        <f>+GETPIVOTDATA(" New Prof avg",'Averages Pivot Table'!$A$3,"State","GA","Category",9,"Category2","Two-Year")</f>
        <v>60943.479387341773</v>
      </c>
      <c r="C405" s="130">
        <f t="shared" si="60"/>
        <v>2</v>
      </c>
      <c r="D405" s="62">
        <f>+GETPIVOTDATA(" New Asc. avg",'Averages Pivot Table'!$A$3,"State","GA","Category",9,"Category2","Two-Year")</f>
        <v>51364.515721088435</v>
      </c>
      <c r="E405" s="130">
        <f t="shared" si="60"/>
        <v>3</v>
      </c>
      <c r="F405" s="62">
        <f>+GETPIVOTDATA(" New Ast. avg",'Averages Pivot Table'!$A$3,"State","GA","Category",9,"Category2","Two-Year")</f>
        <v>45718.721254945849</v>
      </c>
      <c r="G405" s="130">
        <f t="shared" si="55"/>
        <v>4</v>
      </c>
      <c r="H405" s="62">
        <f>+GETPIVOTDATA(" New Inst. avg",'Averages Pivot Table'!$A$3,"State","GA","Category",9,"Category2","Two-Year")</f>
        <v>40592.193291928939</v>
      </c>
      <c r="I405" s="201">
        <f t="shared" si="56"/>
        <v>3</v>
      </c>
      <c r="J405" s="62">
        <f>+GETPIVOTDATA(" New Undesg. avg",'Averages Pivot Table'!$A$3,"State","GA","Category",9,"Category2","Two-Year")</f>
        <v>38823.681400000001</v>
      </c>
      <c r="K405" s="130">
        <f t="shared" si="57"/>
        <v>3</v>
      </c>
      <c r="L405" s="62">
        <f>+GETPIVOTDATA(" New Single Rnk avg",'Averages Pivot Table'!$A$3,"State","GA","Category",9,"Category2","Two-Year")</f>
        <v>0</v>
      </c>
      <c r="M405" s="201">
        <f t="shared" si="58"/>
        <v>0</v>
      </c>
      <c r="N405" s="62">
        <f>+GETPIVOTDATA(" New All Ranks avg",'Averages Pivot Table'!$A$3,"State","GA","Category",9,"Category2","Two-Year")</f>
        <v>46792.740757942782</v>
      </c>
      <c r="O405" s="201">
        <f t="shared" si="59"/>
        <v>9</v>
      </c>
    </row>
    <row r="406" spans="1:15" ht="12.95" customHeight="1">
      <c r="A406" s="12" t="s">
        <v>443</v>
      </c>
      <c r="B406" s="62">
        <f>+GETPIVOTDATA(" New Prof avg",'Averages Pivot Table'!$A$3,"State","KY","Category",9,"Category2","Two-Year")</f>
        <v>58357.696383522729</v>
      </c>
      <c r="C406" s="130">
        <f t="shared" si="60"/>
        <v>4</v>
      </c>
      <c r="D406" s="62">
        <f>+GETPIVOTDATA(" New Asc. avg",'Averages Pivot Table'!$A$3,"State","KY","Category",9,"Category2","Two-Year")</f>
        <v>47078.610341250002</v>
      </c>
      <c r="E406" s="130">
        <f t="shared" si="60"/>
        <v>7</v>
      </c>
      <c r="F406" s="62">
        <f>+GETPIVOTDATA(" New Ast. avg",'Averages Pivot Table'!$A$3,"State","KY","Category",9,"Category2","Two-Year")</f>
        <v>40333.711737588659</v>
      </c>
      <c r="G406" s="130">
        <f t="shared" si="55"/>
        <v>7</v>
      </c>
      <c r="H406" s="62">
        <f>+GETPIVOTDATA(" New Inst. avg",'Averages Pivot Table'!$A$3,"State","KY","Category",9,"Category2","Two-Year")</f>
        <v>36759.444661333335</v>
      </c>
      <c r="I406" s="201">
        <f t="shared" si="56"/>
        <v>7</v>
      </c>
      <c r="J406" s="62">
        <f>+GETPIVOTDATA(" New Undesg. avg",'Averages Pivot Table'!$A$3,"State","KY","Category",9,"Category2","Two-Year")</f>
        <v>0</v>
      </c>
      <c r="K406" s="130">
        <f t="shared" si="57"/>
        <v>0</v>
      </c>
      <c r="L406" s="62">
        <f>+GETPIVOTDATA(" New Single Rnk avg",'Averages Pivot Table'!$A$3,"State","KY","Category",9,"Category2","Two-Year")</f>
        <v>0</v>
      </c>
      <c r="M406" s="201">
        <f t="shared" si="58"/>
        <v>0</v>
      </c>
      <c r="N406" s="62">
        <f>+GETPIVOTDATA(" New All Ranks avg",'Averages Pivot Table'!$A$3,"State","KY","Category",9,"Category2","Two-Year")</f>
        <v>47750.474797687864</v>
      </c>
      <c r="O406" s="201">
        <f t="shared" si="59"/>
        <v>6</v>
      </c>
    </row>
    <row r="407" spans="1:15" ht="12.95" customHeight="1">
      <c r="A407" s="12" t="s">
        <v>444</v>
      </c>
      <c r="B407" s="62">
        <f>+GETPIVOTDATA(" New Prof avg",'Averages Pivot Table'!$A$3,"State","LA","Category",9,"Category2","Two-Year")</f>
        <v>55962.317900000002</v>
      </c>
      <c r="C407" s="130">
        <f t="shared" si="60"/>
        <v>6</v>
      </c>
      <c r="D407" s="62">
        <f>+GETPIVOTDATA(" New Asc. avg",'Averages Pivot Table'!$A$3,"State","LA","Category",9,"Category2","Two-Year")</f>
        <v>50105.781994444449</v>
      </c>
      <c r="E407" s="130">
        <f t="shared" si="60"/>
        <v>4</v>
      </c>
      <c r="F407" s="62">
        <f>+GETPIVOTDATA(" New Ast. avg",'Averages Pivot Table'!$A$3,"State","LA","Category",9,"Category2","Two-Year")</f>
        <v>42199.823363636366</v>
      </c>
      <c r="G407" s="130">
        <f t="shared" si="55"/>
        <v>5</v>
      </c>
      <c r="H407" s="62">
        <f>+GETPIVOTDATA(" New Inst. avg",'Averages Pivot Table'!$A$3,"State","LA","Category",9,"Category2","Two-Year")</f>
        <v>38866.671387719303</v>
      </c>
      <c r="I407" s="201">
        <f t="shared" si="56"/>
        <v>5</v>
      </c>
      <c r="J407" s="62">
        <f>+GETPIVOTDATA(" New Undesg. avg",'Averages Pivot Table'!$A$3,"State","LA","Category",9,"Category2","Two-Year")</f>
        <v>0</v>
      </c>
      <c r="K407" s="130">
        <f t="shared" si="57"/>
        <v>0</v>
      </c>
      <c r="L407" s="62">
        <f>+GETPIVOTDATA(" New Single Rnk avg",'Averages Pivot Table'!$A$3,"State","LA","Category",9,"Category2","Two-Year")</f>
        <v>0</v>
      </c>
      <c r="M407" s="201">
        <f t="shared" si="58"/>
        <v>0</v>
      </c>
      <c r="N407" s="62">
        <f>+GETPIVOTDATA(" New All Ranks avg",'Averages Pivot Table'!$A$3,"State","LA","Category",9,"Category2","Two-Year")</f>
        <v>43833.858449999992</v>
      </c>
      <c r="O407" s="201">
        <f t="shared" si="59"/>
        <v>14</v>
      </c>
    </row>
    <row r="408" spans="1:15" ht="12.95" customHeight="1">
      <c r="A408" s="12" t="s">
        <v>445</v>
      </c>
      <c r="B408" s="62">
        <f>+GETPIVOTDATA(" New Prof avg",'Averages Pivot Table'!$A$3,"State","MD","Category",9,"Category2","Two-Year")</f>
        <v>77375.56354963503</v>
      </c>
      <c r="C408" s="130">
        <f t="shared" si="60"/>
        <v>1</v>
      </c>
      <c r="D408" s="62">
        <f>+GETPIVOTDATA(" New Asc. avg",'Averages Pivot Table'!$A$3,"State","MD","Category",9,"Category2","Two-Year")</f>
        <v>62110.132762694295</v>
      </c>
      <c r="E408" s="130">
        <f t="shared" si="60"/>
        <v>1</v>
      </c>
      <c r="F408" s="62">
        <f>+GETPIVOTDATA(" New Ast. avg",'Averages Pivot Table'!$A$3,"State","MD","Category",9,"Category2","Two-Year")</f>
        <v>53169.560870270267</v>
      </c>
      <c r="G408" s="130">
        <f t="shared" si="55"/>
        <v>1</v>
      </c>
      <c r="H408" s="62">
        <f>+GETPIVOTDATA(" New Inst. avg",'Averages Pivot Table'!$A$3,"State","MD","Category",9,"Category2","Two-Year")</f>
        <v>42428.595206060607</v>
      </c>
      <c r="I408" s="201">
        <f t="shared" si="56"/>
        <v>2</v>
      </c>
      <c r="J408" s="62">
        <f>+GETPIVOTDATA(" New Undesg. avg",'Averages Pivot Table'!$A$3,"State","MD","Category",9,"Category2","Two-Year")</f>
        <v>44093.037837837837</v>
      </c>
      <c r="K408" s="130">
        <f t="shared" si="57"/>
        <v>2</v>
      </c>
      <c r="L408" s="62">
        <f>+GETPIVOTDATA(" New Single Rnk avg",'Averages Pivot Table'!$A$3,"State","MD","Category",9,"Category2","Two-Year")</f>
        <v>0</v>
      </c>
      <c r="M408" s="201">
        <f t="shared" si="58"/>
        <v>0</v>
      </c>
      <c r="N408" s="62">
        <f>+GETPIVOTDATA(" New All Ranks avg",'Averages Pivot Table'!$A$3,"State","MD","Category",9,"Category2","Two-Year")</f>
        <v>60604.163601495733</v>
      </c>
      <c r="O408" s="201">
        <f t="shared" si="59"/>
        <v>2</v>
      </c>
    </row>
    <row r="409" spans="1:15" ht="12.95" customHeight="1">
      <c r="A409" s="12"/>
      <c r="B409" s="62"/>
      <c r="C409" s="130">
        <f t="shared" si="60"/>
        <v>0</v>
      </c>
      <c r="D409" s="62"/>
      <c r="E409" s="130">
        <f t="shared" si="60"/>
        <v>0</v>
      </c>
      <c r="F409" s="62"/>
      <c r="G409" s="130">
        <f t="shared" si="55"/>
        <v>0</v>
      </c>
      <c r="H409" s="62"/>
      <c r="I409" s="201">
        <f t="shared" si="56"/>
        <v>0</v>
      </c>
      <c r="J409" s="62"/>
      <c r="K409" s="130">
        <f t="shared" si="57"/>
        <v>0</v>
      </c>
      <c r="L409" s="62"/>
      <c r="M409" s="201">
        <f t="shared" si="58"/>
        <v>0</v>
      </c>
      <c r="N409" s="62"/>
      <c r="O409" s="201">
        <f t="shared" si="59"/>
        <v>0</v>
      </c>
    </row>
    <row r="410" spans="1:15" ht="12.95" customHeight="1">
      <c r="A410" s="12" t="s">
        <v>446</v>
      </c>
      <c r="B410" s="62">
        <f>+GETPIVOTDATA(" New Prof avg",'Averages Pivot Table'!$A$3,"State","MS","Category",9,"Category2","Two-Year")</f>
        <v>0</v>
      </c>
      <c r="C410" s="130">
        <f t="shared" si="60"/>
        <v>0</v>
      </c>
      <c r="D410" s="62">
        <f>+GETPIVOTDATA(" New Asc. avg",'Averages Pivot Table'!$A$3,"State","MS","Category",9,"Category2","Two-Year")</f>
        <v>0</v>
      </c>
      <c r="E410" s="130">
        <f t="shared" si="60"/>
        <v>0</v>
      </c>
      <c r="F410" s="62">
        <f>+GETPIVOTDATA(" New Ast. avg",'Averages Pivot Table'!$A$3,"State","MS","Category",9,"Category2","Two-Year")</f>
        <v>0</v>
      </c>
      <c r="G410" s="130">
        <f t="shared" si="55"/>
        <v>0</v>
      </c>
      <c r="H410" s="62">
        <f>+GETPIVOTDATA(" New Inst. avg",'Averages Pivot Table'!$A$3,"State","MS","Category",9,"Category2","Two-Year")</f>
        <v>0</v>
      </c>
      <c r="I410" s="201">
        <f t="shared" si="56"/>
        <v>0</v>
      </c>
      <c r="J410" s="62">
        <f>+GETPIVOTDATA(" New Undesg. avg",'Averages Pivot Table'!$A$3,"State","MS","Category",9,"Category2","Two-Year")</f>
        <v>0</v>
      </c>
      <c r="K410" s="130">
        <f t="shared" si="57"/>
        <v>0</v>
      </c>
      <c r="L410" s="62">
        <f>+GETPIVOTDATA(" New Single Rnk avg",'Averages Pivot Table'!$A$3,"State","MS","Category",9,"Category2","Two-Year")</f>
        <v>50427.004317114108</v>
      </c>
      <c r="M410" s="201">
        <f t="shared" si="58"/>
        <v>4</v>
      </c>
      <c r="N410" s="62">
        <f>+GETPIVOTDATA(" New All Ranks avg",'Averages Pivot Table'!$A$3,"State","MS","Category",9,"Category2","Two-Year")</f>
        <v>50427.004317114108</v>
      </c>
      <c r="O410" s="201">
        <f t="shared" si="59"/>
        <v>4</v>
      </c>
    </row>
    <row r="411" spans="1:15" ht="12.95" customHeight="1">
      <c r="A411" s="12" t="s">
        <v>447</v>
      </c>
      <c r="B411" s="62">
        <f>+GETPIVOTDATA(" New Prof avg",'Averages Pivot Table'!$A$3,"State","NC","Category",9,"Category2","Two-Year")</f>
        <v>0</v>
      </c>
      <c r="C411" s="130">
        <f t="shared" si="60"/>
        <v>0</v>
      </c>
      <c r="D411" s="62">
        <f>+GETPIVOTDATA(" New Asc. avg",'Averages Pivot Table'!$A$3,"State","NC","Category",9,"Category2","Two-Year")</f>
        <v>0</v>
      </c>
      <c r="E411" s="130">
        <f t="shared" si="60"/>
        <v>0</v>
      </c>
      <c r="F411" s="62">
        <f>+GETPIVOTDATA(" New Ast. avg",'Averages Pivot Table'!$A$3,"State","NC","Category",9,"Category2","Two-Year")</f>
        <v>0</v>
      </c>
      <c r="G411" s="130">
        <f t="shared" si="55"/>
        <v>0</v>
      </c>
      <c r="H411" s="62">
        <f>+GETPIVOTDATA(" New Inst. avg",'Averages Pivot Table'!$A$3,"State","NC","Category",9,"Category2","Two-Year")</f>
        <v>0</v>
      </c>
      <c r="I411" s="201">
        <f t="shared" si="56"/>
        <v>0</v>
      </c>
      <c r="J411" s="62">
        <f>+GETPIVOTDATA(" New Undesg. avg",'Averages Pivot Table'!$A$3,"State","NC","Category",9,"Category2","Two-Year")</f>
        <v>0</v>
      </c>
      <c r="K411" s="130">
        <f t="shared" si="57"/>
        <v>0</v>
      </c>
      <c r="L411" s="62">
        <f>+GETPIVOTDATA(" New Single Rnk avg",'Averages Pivot Table'!$A$3,"State","NC","Category",9,"Category2","Two-Year")</f>
        <v>47465.146570397112</v>
      </c>
      <c r="M411" s="201">
        <f t="shared" si="58"/>
        <v>5</v>
      </c>
      <c r="N411" s="62">
        <f>+GETPIVOTDATA(" New All Ranks avg",'Averages Pivot Table'!$A$3,"State","NC","Category",9,"Category2","Two-Year")</f>
        <v>47465.146570397112</v>
      </c>
      <c r="O411" s="201">
        <f t="shared" si="59"/>
        <v>7</v>
      </c>
    </row>
    <row r="412" spans="1:15" ht="12.95" customHeight="1">
      <c r="A412" s="12" t="s">
        <v>448</v>
      </c>
      <c r="B412" s="62">
        <f>+GETPIVOTDATA(" New Prof avg",'Averages Pivot Table'!$A$3,"State","OK","Category",9,"Category2","Two-Year")</f>
        <v>0</v>
      </c>
      <c r="C412" s="130">
        <f t="shared" si="60"/>
        <v>0</v>
      </c>
      <c r="D412" s="62">
        <f>+GETPIVOTDATA(" New Asc. avg",'Averages Pivot Table'!$A$3,"State","OK","Category",9,"Category2","Two-Year")</f>
        <v>0</v>
      </c>
      <c r="E412" s="130">
        <f t="shared" si="60"/>
        <v>0</v>
      </c>
      <c r="F412" s="62">
        <f>+GETPIVOTDATA(" New Ast. avg",'Averages Pivot Table'!$A$3,"State","OK","Category",9,"Category2","Two-Year")</f>
        <v>0</v>
      </c>
      <c r="G412" s="130">
        <f t="shared" si="55"/>
        <v>0</v>
      </c>
      <c r="H412" s="62">
        <f>+GETPIVOTDATA(" New Inst. avg",'Averages Pivot Table'!$A$3,"State","OK","Category",9,"Category2","Two-Year")</f>
        <v>0</v>
      </c>
      <c r="I412" s="201">
        <f t="shared" si="56"/>
        <v>0</v>
      </c>
      <c r="J412" s="62">
        <f>+GETPIVOTDATA(" New Undesg. avg",'Averages Pivot Table'!$A$3,"State","OK","Category",9,"Category2","Two-Year")</f>
        <v>0</v>
      </c>
      <c r="K412" s="130">
        <f t="shared" si="57"/>
        <v>0</v>
      </c>
      <c r="L412" s="62">
        <f>+GETPIVOTDATA(" New Single Rnk avg",'Averages Pivot Table'!$A$3,"State","OK","Category",9,"Category2","Two-Year")</f>
        <v>47222.345874829931</v>
      </c>
      <c r="M412" s="201">
        <f t="shared" si="58"/>
        <v>7</v>
      </c>
      <c r="N412" s="62">
        <f>+GETPIVOTDATA(" New All Ranks avg",'Averages Pivot Table'!$A$3,"State","OK","Category",9,"Category2","Two-Year")</f>
        <v>47222.345874829931</v>
      </c>
      <c r="O412" s="201">
        <f t="shared" si="59"/>
        <v>8</v>
      </c>
    </row>
    <row r="413" spans="1:15" ht="12.95" customHeight="1">
      <c r="A413" s="12" t="s">
        <v>449</v>
      </c>
      <c r="B413" s="62">
        <f>+GETPIVOTDATA(" New Prof avg",'Averages Pivot Table'!$A$3,"State","SC","Category",9,"Category2","Two-Year")</f>
        <v>0</v>
      </c>
      <c r="C413" s="130">
        <f t="shared" si="60"/>
        <v>0</v>
      </c>
      <c r="D413" s="62">
        <f>+GETPIVOTDATA(" New Asc. avg",'Averages Pivot Table'!$A$3,"State","SC","Category",9,"Category2","Two-Year")</f>
        <v>0</v>
      </c>
      <c r="E413" s="130">
        <f t="shared" si="60"/>
        <v>0</v>
      </c>
      <c r="F413" s="62">
        <f>+GETPIVOTDATA(" New Ast. avg",'Averages Pivot Table'!$A$3,"State","SC","Category",9,"Category2","Two-Year")</f>
        <v>0</v>
      </c>
      <c r="G413" s="130">
        <f t="shared" si="55"/>
        <v>0</v>
      </c>
      <c r="H413" s="62">
        <f>+GETPIVOTDATA(" New Inst. avg",'Averages Pivot Table'!$A$3,"State","SC","Category",9,"Category2","Two-Year")</f>
        <v>0</v>
      </c>
      <c r="I413" s="201">
        <f t="shared" si="56"/>
        <v>0</v>
      </c>
      <c r="J413" s="62">
        <f>+GETPIVOTDATA(" New Undesg. avg",'Averages Pivot Table'!$A$3,"State","SC","Category",9,"Category2","Two-Year")</f>
        <v>45738.080967402733</v>
      </c>
      <c r="K413" s="130">
        <f t="shared" si="57"/>
        <v>1</v>
      </c>
      <c r="L413" s="62">
        <f>+GETPIVOTDATA(" New Single Rnk avg",'Averages Pivot Table'!$A$3,"State","SC","Category",9,"Category2","Two-Year")</f>
        <v>0</v>
      </c>
      <c r="M413" s="201">
        <f t="shared" si="58"/>
        <v>0</v>
      </c>
      <c r="N413" s="62">
        <f>+GETPIVOTDATA(" New All Ranks avg",'Averages Pivot Table'!$A$3,"State","SC","Category",9,"Category2","Two-Year")</f>
        <v>45738.080967402733</v>
      </c>
      <c r="O413" s="201">
        <f t="shared" si="59"/>
        <v>13</v>
      </c>
    </row>
    <row r="414" spans="1:15" ht="12.95" customHeight="1">
      <c r="A414" s="12"/>
      <c r="B414" s="62"/>
      <c r="C414" s="130">
        <f t="shared" si="60"/>
        <v>0</v>
      </c>
      <c r="D414" s="62"/>
      <c r="E414" s="130">
        <f t="shared" si="60"/>
        <v>0</v>
      </c>
      <c r="F414" s="62"/>
      <c r="G414" s="130">
        <f t="shared" si="55"/>
        <v>0</v>
      </c>
      <c r="H414" s="62"/>
      <c r="I414" s="201">
        <f t="shared" si="56"/>
        <v>0</v>
      </c>
      <c r="J414" s="62"/>
      <c r="K414" s="130">
        <f t="shared" si="57"/>
        <v>0</v>
      </c>
      <c r="L414" s="62"/>
      <c r="M414" s="201">
        <f t="shared" si="58"/>
        <v>0</v>
      </c>
      <c r="N414" s="62"/>
      <c r="O414" s="201">
        <f t="shared" si="59"/>
        <v>0</v>
      </c>
    </row>
    <row r="415" spans="1:15" ht="12.95" customHeight="1">
      <c r="A415" s="12" t="s">
        <v>450</v>
      </c>
      <c r="B415" s="129">
        <f>+GETPIVOTDATA(" New Prof avg",'Averages Pivot Table'!$A$3,"State","TN","Category",9,"Category2","Two-Year")</f>
        <v>59669.876951145037</v>
      </c>
      <c r="C415" s="130">
        <f t="shared" si="60"/>
        <v>3</v>
      </c>
      <c r="D415" s="129">
        <f>+GETPIVOTDATA(" New Asc. avg",'Averages Pivot Table'!$A$3,"State","TN","Category",9,"Category2","Two-Year")</f>
        <v>49798.238030603447</v>
      </c>
      <c r="E415" s="130">
        <f t="shared" si="60"/>
        <v>5</v>
      </c>
      <c r="F415" s="129">
        <f>+GETPIVOTDATA(" New Ast. avg",'Averages Pivot Table'!$A$3,"State","TN","Category",9,"Category2","Two-Year")</f>
        <v>41240.045568695648</v>
      </c>
      <c r="G415" s="130">
        <f t="shared" si="55"/>
        <v>6</v>
      </c>
      <c r="H415" s="129">
        <f>+GETPIVOTDATA(" New Inst. avg",'Averages Pivot Table'!$A$3,"State","TN","Category",9,"Category2","Two-Year")</f>
        <v>37846.344142753624</v>
      </c>
      <c r="I415" s="201">
        <f t="shared" si="56"/>
        <v>6</v>
      </c>
      <c r="J415" s="129">
        <f>+GETPIVOTDATA(" New Undesg. avg",'Averages Pivot Table'!$A$3,"State","TN","Category",9,"Category2","Two-Year")</f>
        <v>38599.125</v>
      </c>
      <c r="K415" s="130">
        <f t="shared" si="57"/>
        <v>4</v>
      </c>
      <c r="L415" s="129">
        <f>+GETPIVOTDATA(" New Single Rnk avg",'Averages Pivot Table'!$A$3,"State","TN","Category",9,"Category2","Two-Year")</f>
        <v>0</v>
      </c>
      <c r="M415" s="201">
        <f t="shared" si="58"/>
        <v>0</v>
      </c>
      <c r="N415" s="62">
        <f>+GETPIVOTDATA(" New All Ranks avg",'Averages Pivot Table'!$A$3,"State","TN","Category",9,"Category2","Two-Year")</f>
        <v>46134.112525698831</v>
      </c>
      <c r="O415" s="201">
        <f t="shared" si="59"/>
        <v>11</v>
      </c>
    </row>
    <row r="416" spans="1:15" ht="12.95" customHeight="1">
      <c r="A416" s="12" t="s">
        <v>451</v>
      </c>
      <c r="B416" s="129">
        <f>+GETPIVOTDATA(" New Prof avg",'Averages Pivot Table'!$A$3,"State","TX","Category",9,"Category2","Two-Year")</f>
        <v>50136.28404814814</v>
      </c>
      <c r="C416" s="130">
        <f t="shared" si="60"/>
        <v>7</v>
      </c>
      <c r="D416" s="129">
        <f>+GETPIVOTDATA(" New Asc. avg",'Averages Pivot Table'!$A$3,"State","TX","Category",9,"Category2","Two-Year")</f>
        <v>47361.486260869569</v>
      </c>
      <c r="E416" s="130">
        <f t="shared" si="60"/>
        <v>6</v>
      </c>
      <c r="F416" s="129">
        <f>+GETPIVOTDATA(" New Ast. avg",'Averages Pivot Table'!$A$3,"State","TX","Category",9,"Category2","Two-Year")</f>
        <v>47559.474370542637</v>
      </c>
      <c r="G416" s="130">
        <f t="shared" si="55"/>
        <v>2</v>
      </c>
      <c r="H416" s="129">
        <f>+GETPIVOTDATA(" New Inst. avg",'Averages Pivot Table'!$A$3,"State","TX","Category",9,"Category2","Two-Year")</f>
        <v>44631.546072395839</v>
      </c>
      <c r="I416" s="201">
        <f t="shared" si="56"/>
        <v>1</v>
      </c>
      <c r="J416" s="129">
        <f>+GETPIVOTDATA(" New Undesg. avg",'Averages Pivot Table'!$A$3,"State","TX","Category",9,"Category2","Two-Year")</f>
        <v>0</v>
      </c>
      <c r="K416" s="130">
        <f t="shared" si="57"/>
        <v>0</v>
      </c>
      <c r="L416" s="129">
        <f>+GETPIVOTDATA(" New Single Rnk avg",'Averages Pivot Table'!$A$3,"State","TX","Category",9,"Category2","Two-Year")</f>
        <v>52219.53381450216</v>
      </c>
      <c r="M416" s="201">
        <f t="shared" si="58"/>
        <v>3</v>
      </c>
      <c r="N416" s="62">
        <f>+GETPIVOTDATA(" New All Ranks avg",'Averages Pivot Table'!$A$3,"State","TX","Category",9,"Category2","Two-Year")</f>
        <v>48412.433266423359</v>
      </c>
      <c r="O416" s="201">
        <f t="shared" si="59"/>
        <v>5</v>
      </c>
    </row>
    <row r="417" spans="1:19" ht="12.95" customHeight="1">
      <c r="A417" s="12" t="s">
        <v>452</v>
      </c>
      <c r="B417" s="129">
        <f>+GETPIVOTDATA(" New Prof avg",'Averages Pivot Table'!$A$3,"State","VA","Category",9,"Category2","Two-Year")</f>
        <v>0</v>
      </c>
      <c r="C417" s="130">
        <f t="shared" si="60"/>
        <v>0</v>
      </c>
      <c r="D417" s="129">
        <f>+GETPIVOTDATA(" New Asc. avg",'Averages Pivot Table'!$A$3,"State","VA","Category",9,"Category2","Two-Year")</f>
        <v>0</v>
      </c>
      <c r="E417" s="130">
        <f t="shared" si="60"/>
        <v>0</v>
      </c>
      <c r="F417" s="129">
        <f>+GETPIVOTDATA(" New Ast. avg",'Averages Pivot Table'!$A$3,"State","VA","Category",9,"Category2","Two-Year")</f>
        <v>0</v>
      </c>
      <c r="G417" s="130">
        <f t="shared" si="55"/>
        <v>0</v>
      </c>
      <c r="H417" s="129">
        <f>+GETPIVOTDATA(" New Inst. avg",'Averages Pivot Table'!$A$3,"State","VA","Category",9,"Category2","Two-Year")</f>
        <v>0</v>
      </c>
      <c r="I417" s="201">
        <f t="shared" si="56"/>
        <v>0</v>
      </c>
      <c r="J417" s="129">
        <f>+GETPIVOTDATA(" New Undesg. avg",'Averages Pivot Table'!$A$3,"State","VA","Category",9,"Category2","Two-Year")</f>
        <v>0</v>
      </c>
      <c r="K417" s="130">
        <f t="shared" si="57"/>
        <v>0</v>
      </c>
      <c r="L417" s="129">
        <f>+GETPIVOTDATA(" New Single Rnk avg",'Averages Pivot Table'!$A$3,"State","VA","Category",9,"Category2","Two-Year")</f>
        <v>0</v>
      </c>
      <c r="M417" s="201">
        <f t="shared" si="58"/>
        <v>0</v>
      </c>
      <c r="N417" s="62">
        <f>+GETPIVOTDATA(" New All Ranks avg",'Averages Pivot Table'!$A$3,"State","VA","Category",9,"Category2","Two-Year")</f>
        <v>0</v>
      </c>
      <c r="O417" s="201">
        <f t="shared" si="59"/>
        <v>0</v>
      </c>
    </row>
    <row r="418" spans="1:19" ht="12.95" customHeight="1">
      <c r="A418" s="11" t="s">
        <v>453</v>
      </c>
      <c r="B418" s="64">
        <f>+GETPIVOTDATA(" New Prof avg",'Averages Pivot Table'!$A$3,"State","WV","Category",9,"Category2","Two-Year")</f>
        <v>0</v>
      </c>
      <c r="C418" s="65">
        <f t="shared" si="60"/>
        <v>0</v>
      </c>
      <c r="D418" s="64">
        <f>+GETPIVOTDATA(" New Asc. avg",'Averages Pivot Table'!$A$3,"State","WV","Category",9,"Category2","Two-Year")</f>
        <v>0</v>
      </c>
      <c r="E418" s="65">
        <f t="shared" si="60"/>
        <v>0</v>
      </c>
      <c r="F418" s="64">
        <f>+GETPIVOTDATA(" New Ast. avg",'Averages Pivot Table'!$A$3,"State","WV","Category",9,"Category2","Two-Year")</f>
        <v>0</v>
      </c>
      <c r="G418" s="65">
        <f t="shared" si="55"/>
        <v>0</v>
      </c>
      <c r="H418" s="64">
        <f>+GETPIVOTDATA(" New Inst. avg",'Averages Pivot Table'!$A$3,"State","WV","Category",9,"Category2","Two-Year")</f>
        <v>0</v>
      </c>
      <c r="I418" s="202">
        <f t="shared" si="56"/>
        <v>0</v>
      </c>
      <c r="J418" s="64">
        <f>+GETPIVOTDATA(" New Undesg. avg",'Averages Pivot Table'!$A$3,"State","WV","Category",9,"Category2","Two-Year")</f>
        <v>0</v>
      </c>
      <c r="K418" s="65">
        <f t="shared" si="57"/>
        <v>0</v>
      </c>
      <c r="L418" s="64">
        <f>+GETPIVOTDATA(" New Single Rnk avg",'Averages Pivot Table'!$A$3,"State","WV","Category",9,"Category2","Two-Year")</f>
        <v>0</v>
      </c>
      <c r="M418" s="202">
        <f t="shared" si="58"/>
        <v>0</v>
      </c>
      <c r="N418" s="64">
        <f>+GETPIVOTDATA(" New All Ranks avg",'Averages Pivot Table'!$A$3,"State","WV","Category",9,"Category2","Two-Year")</f>
        <v>0</v>
      </c>
      <c r="O418" s="202">
        <f t="shared" si="59"/>
        <v>0</v>
      </c>
    </row>
    <row r="419" spans="1:19" ht="30" customHeight="1">
      <c r="A419" s="628" t="s">
        <v>323</v>
      </c>
      <c r="B419" s="628"/>
      <c r="C419" s="628"/>
      <c r="D419" s="628"/>
      <c r="E419" s="628"/>
      <c r="F419" s="628"/>
      <c r="G419" s="628"/>
      <c r="H419" s="628"/>
      <c r="I419" s="628"/>
      <c r="J419" s="628"/>
      <c r="K419" s="628"/>
      <c r="L419" s="628"/>
      <c r="M419" s="628"/>
      <c r="N419" s="628"/>
      <c r="O419" s="628"/>
    </row>
    <row r="420" spans="1:19">
      <c r="O420" s="244" t="s">
        <v>1166</v>
      </c>
    </row>
    <row r="421" spans="1:19" ht="18">
      <c r="A421" s="618" t="s">
        <v>790</v>
      </c>
      <c r="B421" s="618"/>
      <c r="C421" s="618"/>
      <c r="D421" s="618"/>
      <c r="E421" s="618"/>
      <c r="F421" s="618"/>
      <c r="G421" s="618"/>
      <c r="H421" s="618"/>
      <c r="I421" s="618"/>
      <c r="J421" s="618"/>
      <c r="K421" s="618"/>
      <c r="L421" s="618"/>
      <c r="M421" s="618"/>
      <c r="N421" s="618"/>
      <c r="O421" s="618"/>
    </row>
    <row r="422" spans="1:19">
      <c r="A422" s="23"/>
      <c r="B422" s="5"/>
      <c r="C422" s="5"/>
      <c r="D422" s="5"/>
      <c r="E422" s="5"/>
      <c r="F422" s="5"/>
      <c r="G422" s="5"/>
      <c r="H422" s="5"/>
      <c r="I422" s="159"/>
      <c r="J422" s="5"/>
      <c r="K422" s="5"/>
      <c r="L422" s="5"/>
      <c r="M422" s="159"/>
      <c r="N422" s="5"/>
      <c r="O422" s="159"/>
    </row>
    <row r="423" spans="1:19">
      <c r="A423" s="619" t="s">
        <v>454</v>
      </c>
      <c r="B423" s="619"/>
      <c r="C423" s="619"/>
      <c r="D423" s="619"/>
      <c r="E423" s="619"/>
      <c r="F423" s="619"/>
      <c r="G423" s="619"/>
      <c r="H423" s="619"/>
      <c r="I423" s="619"/>
      <c r="J423" s="619"/>
      <c r="K423" s="619"/>
      <c r="L423" s="619"/>
      <c r="M423" s="619"/>
      <c r="N423" s="619"/>
      <c r="O423" s="619"/>
    </row>
    <row r="424" spans="1:19">
      <c r="A424" s="619" t="s">
        <v>1149</v>
      </c>
      <c r="B424" s="619"/>
      <c r="C424" s="619"/>
      <c r="D424" s="619"/>
      <c r="E424" s="619"/>
      <c r="F424" s="619"/>
      <c r="G424" s="619"/>
      <c r="H424" s="619"/>
      <c r="I424" s="619"/>
      <c r="J424" s="619"/>
      <c r="K424" s="619"/>
      <c r="L424" s="619"/>
      <c r="M424" s="619"/>
      <c r="N424" s="619"/>
      <c r="O424" s="619"/>
    </row>
    <row r="425" spans="1:19">
      <c r="A425" s="12"/>
      <c r="B425" s="12"/>
      <c r="C425" s="12"/>
      <c r="D425" s="12"/>
      <c r="E425" s="12"/>
      <c r="F425" s="12"/>
      <c r="G425" s="12"/>
      <c r="H425" s="12"/>
      <c r="I425" s="215"/>
      <c r="J425" s="12"/>
      <c r="K425" s="12"/>
      <c r="L425" s="12"/>
      <c r="M425" s="215"/>
      <c r="N425" s="12"/>
      <c r="O425" s="215"/>
    </row>
    <row r="426" spans="1:19" ht="33" customHeight="1">
      <c r="A426" s="15"/>
      <c r="B426" s="21" t="s">
        <v>332</v>
      </c>
      <c r="C426" s="22"/>
      <c r="D426" s="141" t="s">
        <v>333</v>
      </c>
      <c r="E426" s="142"/>
      <c r="F426" s="141" t="s">
        <v>334</v>
      </c>
      <c r="G426" s="142"/>
      <c r="H426" s="21" t="s">
        <v>335</v>
      </c>
      <c r="I426" s="225"/>
      <c r="J426" s="141" t="s">
        <v>461</v>
      </c>
      <c r="K426" s="142"/>
      <c r="L426" s="22" t="s">
        <v>314</v>
      </c>
      <c r="M426" s="225"/>
      <c r="N426" s="22" t="s">
        <v>316</v>
      </c>
      <c r="O426" s="225"/>
    </row>
    <row r="427" spans="1:19">
      <c r="A427" s="16"/>
      <c r="B427" s="19" t="s">
        <v>336</v>
      </c>
      <c r="C427" s="18" t="s">
        <v>427</v>
      </c>
      <c r="D427" s="19" t="s">
        <v>336</v>
      </c>
      <c r="E427" s="18" t="s">
        <v>427</v>
      </c>
      <c r="F427" s="19" t="s">
        <v>336</v>
      </c>
      <c r="G427" s="18" t="s">
        <v>427</v>
      </c>
      <c r="H427" s="19" t="s">
        <v>336</v>
      </c>
      <c r="I427" s="226" t="s">
        <v>427</v>
      </c>
      <c r="J427" s="19" t="s">
        <v>336</v>
      </c>
      <c r="K427" s="18" t="s">
        <v>427</v>
      </c>
      <c r="L427" s="19" t="s">
        <v>336</v>
      </c>
      <c r="M427" s="226" t="s">
        <v>427</v>
      </c>
      <c r="N427" s="19" t="s">
        <v>336</v>
      </c>
      <c r="O427" s="226" t="s">
        <v>427</v>
      </c>
    </row>
    <row r="428" spans="1:19" s="156" customFormat="1" ht="18" customHeight="1">
      <c r="A428" s="168" t="s">
        <v>456</v>
      </c>
      <c r="B428" s="172">
        <f>+GETPIVOTDATA(" New Prof avg",'Averages Pivot Table'!$A$3,"Category",10,"Category2","Two-Year")</f>
        <v>60300.113744657538</v>
      </c>
      <c r="C428" s="172"/>
      <c r="D428" s="172">
        <f>+GETPIVOTDATA(" New Asc. avg",'Averages Pivot Table'!$A$3,"Category",10,"Category2","Two-Year")</f>
        <v>51929.230337804875</v>
      </c>
      <c r="E428" s="172"/>
      <c r="F428" s="172">
        <f>+GETPIVOTDATA(" New Ast. avg",'Averages Pivot Table'!$A$3,"Category",10,"Category2","Two-Year")</f>
        <v>45430.005362790704</v>
      </c>
      <c r="G428" s="172"/>
      <c r="H428" s="172">
        <f>+GETPIVOTDATA(" New Inst. avg",'Averages Pivot Table'!$A$3,"Category",10,"Category2","Two-Year")</f>
        <v>39395.313046469251</v>
      </c>
      <c r="I428" s="229"/>
      <c r="J428" s="172">
        <f>+GETPIVOTDATA(" New Undesg. avg",'Averages Pivot Table'!$A$3,"Category",10,"Category2","Two-Year")</f>
        <v>40209.629288235294</v>
      </c>
      <c r="K428" s="172"/>
      <c r="L428" s="172">
        <f>+GETPIVOTDATA(" New Single Rnk avg",'Averages Pivot Table'!$A$3,"Category",10,"Category2","Two-Year")</f>
        <v>45990.012924820032</v>
      </c>
      <c r="M428" s="229"/>
      <c r="N428" s="172">
        <f>+GETPIVOTDATA(" New All Ranks avg",'Averages Pivot Table'!$A$3,"Category",10,"Category2","Two-Year")</f>
        <v>46014.70414731004</v>
      </c>
      <c r="O428" s="216"/>
      <c r="Q428" s="193"/>
      <c r="R428" s="193"/>
      <c r="S428" s="193"/>
    </row>
    <row r="429" spans="1:19" ht="12.95" customHeight="1">
      <c r="A429" s="12"/>
      <c r="B429" s="9"/>
      <c r="C429" s="17"/>
      <c r="D429" s="9"/>
      <c r="E429" s="17"/>
      <c r="F429" s="9"/>
      <c r="G429" s="17"/>
      <c r="H429" s="9"/>
      <c r="I429" s="233"/>
      <c r="J429" s="9"/>
      <c r="K429" s="17"/>
      <c r="L429" s="9"/>
      <c r="M429" s="233"/>
      <c r="N429" s="9"/>
      <c r="O429" s="217"/>
    </row>
    <row r="430" spans="1:19" ht="12.95" customHeight="1">
      <c r="A430" s="12" t="s">
        <v>439</v>
      </c>
      <c r="B430" s="62">
        <f>+GETPIVOTDATA(" New Prof avg",'Averages Pivot Table'!$A$3,"State","AL","Category",10,"Category2","Two-Year")</f>
        <v>0</v>
      </c>
      <c r="C430" s="130">
        <f>IF(B430&gt;0,(RANK(B430,B$430:B$448)),0)</f>
        <v>0</v>
      </c>
      <c r="D430" s="62">
        <f>+GETPIVOTDATA(" New Asc. avg",'Averages Pivot Table'!$A$3,"State","AL","Category",10,"Category2","Two-Year")</f>
        <v>0</v>
      </c>
      <c r="E430" s="130">
        <f>IF(D430&gt;0,(RANK(D430,D$430:D$448)),0)</f>
        <v>0</v>
      </c>
      <c r="F430" s="62">
        <f>+GETPIVOTDATA(" New Ast. avg",'Averages Pivot Table'!$A$3,"State","AL","Category",10,"Category2","Two-Year")</f>
        <v>0</v>
      </c>
      <c r="G430" s="130">
        <f t="shared" ref="G430:G448" si="61">IF(F430&gt;0,(RANK(F430,F$430:F$448)),0)</f>
        <v>0</v>
      </c>
      <c r="H430" s="62">
        <f>+GETPIVOTDATA(" New Inst. avg",'Averages Pivot Table'!$A$3,"State","AL","Category",10,"Category2","Two-Year")</f>
        <v>0</v>
      </c>
      <c r="I430" s="201">
        <f t="shared" ref="I430:I448" si="62">IF(H430&gt;0,(RANK(H430,H$430:H$448)),0)</f>
        <v>0</v>
      </c>
      <c r="J430" s="62">
        <f>+GETPIVOTDATA(" New Undesg. avg",'Averages Pivot Table'!$A$3,"State","AL","Category",10,"Category2","Two-Year")</f>
        <v>0</v>
      </c>
      <c r="K430" s="130">
        <f t="shared" ref="K430:K448" si="63">IF(J430&gt;0,(RANK(J430,J$430:J$448)),0)</f>
        <v>0</v>
      </c>
      <c r="L430" s="62">
        <f>+GETPIVOTDATA(" New Single Rnk avg",'Averages Pivot Table'!$A$3,"State","AL","Category",10,"Category2","Two-Year")</f>
        <v>52201.459242424244</v>
      </c>
      <c r="M430" s="201">
        <f t="shared" ref="M430:M448" si="64">IF(L430&gt;0,(RANK(L430,L$430:L$448)),0)</f>
        <v>2</v>
      </c>
      <c r="N430" s="62">
        <f>+GETPIVOTDATA(" New All Ranks avg",'Averages Pivot Table'!$A$3,"State","AL","Category",10,"Category2","Two-Year")</f>
        <v>52201.459242424244</v>
      </c>
      <c r="O430" s="201">
        <f t="shared" ref="O430:O448" si="65">IF(N430&gt;0,(RANK(N430,N$430:N$448)),0)</f>
        <v>4</v>
      </c>
    </row>
    <row r="431" spans="1:19" ht="12.95" customHeight="1">
      <c r="A431" s="12" t="s">
        <v>440</v>
      </c>
      <c r="B431" s="62">
        <f>+GETPIVOTDATA(" New Prof avg",'Averages Pivot Table'!$A$3,"State","AR","Category",10,"Category2","Two-Year")</f>
        <v>0</v>
      </c>
      <c r="C431" s="130">
        <f t="shared" ref="C431:E448" si="66">IF(B431&gt;0,(RANK(B431,B$430:B$448)),0)</f>
        <v>0</v>
      </c>
      <c r="D431" s="62">
        <f>+GETPIVOTDATA(" New Asc. avg",'Averages Pivot Table'!$A$3,"State","AR","Category",10,"Category2","Two-Year")</f>
        <v>0</v>
      </c>
      <c r="E431" s="130">
        <f t="shared" si="66"/>
        <v>0</v>
      </c>
      <c r="F431" s="62">
        <f>+GETPIVOTDATA(" New Ast. avg",'Averages Pivot Table'!$A$3,"State","AR","Category",10,"Category2","Two-Year")</f>
        <v>42794.331193749997</v>
      </c>
      <c r="G431" s="130">
        <f t="shared" si="61"/>
        <v>8</v>
      </c>
      <c r="H431" s="62">
        <f>+GETPIVOTDATA(" New Inst. avg",'Averages Pivot Table'!$A$3,"State","AR","Category",10,"Category2","Two-Year")</f>
        <v>39614.895417948719</v>
      </c>
      <c r="I431" s="201">
        <f t="shared" si="62"/>
        <v>5</v>
      </c>
      <c r="J431" s="62">
        <f>+GETPIVOTDATA(" New Undesg. avg",'Averages Pivot Table'!$A$3,"State","AR","Category",10,"Category2","Two-Year")</f>
        <v>0</v>
      </c>
      <c r="K431" s="130">
        <f t="shared" si="63"/>
        <v>0</v>
      </c>
      <c r="L431" s="62">
        <f>+GETPIVOTDATA(" New Single Rnk avg",'Averages Pivot Table'!$A$3,"State","AR","Category",10,"Category2","Two-Year")</f>
        <v>42034.877662025319</v>
      </c>
      <c r="M431" s="201">
        <f t="shared" si="64"/>
        <v>7</v>
      </c>
      <c r="N431" s="62">
        <f>+GETPIVOTDATA(" New All Ranks avg",'Averages Pivot Table'!$A$3,"State","AR","Category",10,"Category2","Two-Year")</f>
        <v>41852.148659777784</v>
      </c>
      <c r="O431" s="201">
        <f t="shared" si="65"/>
        <v>16</v>
      </c>
    </row>
    <row r="432" spans="1:19" ht="12.95" customHeight="1">
      <c r="A432" s="12" t="s">
        <v>455</v>
      </c>
      <c r="B432" s="62">
        <f>+GETPIVOTDATA(" New Prof avg",'Averages Pivot Table'!$A$3,"State","DE","Category",10,"Category2","Two-Year")</f>
        <v>0</v>
      </c>
      <c r="C432" s="130">
        <f t="shared" si="66"/>
        <v>0</v>
      </c>
      <c r="D432" s="62">
        <f>+GETPIVOTDATA(" New Asc. avg",'Averages Pivot Table'!$A$3,"State","DE","Category",10,"Category2","Two-Year")</f>
        <v>0</v>
      </c>
      <c r="E432" s="130">
        <f t="shared" si="66"/>
        <v>0</v>
      </c>
      <c r="F432" s="62">
        <f>+GETPIVOTDATA(" New Ast. avg",'Averages Pivot Table'!$A$3,"State","DE","Category",10,"Category2","Two-Year")</f>
        <v>0</v>
      </c>
      <c r="G432" s="130">
        <f t="shared" si="61"/>
        <v>0</v>
      </c>
      <c r="H432" s="62">
        <f>+GETPIVOTDATA(" New Inst. avg",'Averages Pivot Table'!$A$3,"State","DE","Category",10,"Category2","Two-Year")</f>
        <v>0</v>
      </c>
      <c r="I432" s="201">
        <f t="shared" si="62"/>
        <v>0</v>
      </c>
      <c r="J432" s="62">
        <f>+GETPIVOTDATA(" New Undesg. avg",'Averages Pivot Table'!$A$3,"State","DE","Category",10,"Category2","Two-Year")</f>
        <v>0</v>
      </c>
      <c r="K432" s="130">
        <f t="shared" si="63"/>
        <v>0</v>
      </c>
      <c r="L432" s="62">
        <f>+GETPIVOTDATA(" New Single Rnk avg",'Averages Pivot Table'!$A$3,"State","DE","Category",10,"Category2","Two-Year")</f>
        <v>63715.690800000004</v>
      </c>
      <c r="M432" s="201">
        <f t="shared" si="64"/>
        <v>1</v>
      </c>
      <c r="N432" s="62">
        <f>+GETPIVOTDATA(" New All Ranks avg",'Averages Pivot Table'!$A$3,"State","DE","Category",10,"Category2","Two-Year")</f>
        <v>63715.690800000004</v>
      </c>
      <c r="O432" s="201">
        <f t="shared" si="65"/>
        <v>1</v>
      </c>
    </row>
    <row r="433" spans="1:15" ht="12.95" customHeight="1">
      <c r="A433" s="12" t="s">
        <v>441</v>
      </c>
      <c r="B433" s="62">
        <f>+GETPIVOTDATA(" New Prof avg",'Averages Pivot Table'!$A$3,"State","FL","Category",10,"Category2","Two-Year")</f>
        <v>0</v>
      </c>
      <c r="C433" s="130">
        <f t="shared" si="66"/>
        <v>0</v>
      </c>
      <c r="D433" s="62">
        <f>+GETPIVOTDATA(" New Asc. avg",'Averages Pivot Table'!$A$3,"State","FL","Category",10,"Category2","Two-Year")</f>
        <v>0</v>
      </c>
      <c r="E433" s="130">
        <f t="shared" si="66"/>
        <v>0</v>
      </c>
      <c r="F433" s="62">
        <f>+GETPIVOTDATA(" New Ast. avg",'Averages Pivot Table'!$A$3,"State","FL","Category",10,"Category2","Two-Year")</f>
        <v>0</v>
      </c>
      <c r="G433" s="130">
        <f t="shared" si="61"/>
        <v>0</v>
      </c>
      <c r="H433" s="62">
        <f>+GETPIVOTDATA(" New Inst. avg",'Averages Pivot Table'!$A$3,"State","FL","Category",10,"Category2","Two-Year")</f>
        <v>0</v>
      </c>
      <c r="I433" s="201">
        <f t="shared" si="62"/>
        <v>0</v>
      </c>
      <c r="J433" s="62">
        <f>+GETPIVOTDATA(" New Undesg. avg",'Averages Pivot Table'!$A$3,"State","FL","Category",10,"Category2","Two-Year")</f>
        <v>0</v>
      </c>
      <c r="K433" s="130">
        <f t="shared" si="63"/>
        <v>0</v>
      </c>
      <c r="L433" s="62">
        <f>+GETPIVOTDATA(" New Single Rnk avg",'Averages Pivot Table'!$A$3,"State","FL","Category",10,"Category2","Two-Year")</f>
        <v>50101.859649122809</v>
      </c>
      <c r="M433" s="201">
        <f t="shared" si="64"/>
        <v>3</v>
      </c>
      <c r="N433" s="62">
        <f>+GETPIVOTDATA(" New All Ranks avg",'Averages Pivot Table'!$A$3,"State","FL","Category",10,"Category2","Two-Year")</f>
        <v>50101.859649122809</v>
      </c>
      <c r="O433" s="201">
        <f t="shared" si="65"/>
        <v>5</v>
      </c>
    </row>
    <row r="434" spans="1:15" ht="12.95" customHeight="1">
      <c r="A434" s="12"/>
      <c r="B434" s="62"/>
      <c r="C434" s="130">
        <f t="shared" si="66"/>
        <v>0</v>
      </c>
      <c r="D434" s="62"/>
      <c r="E434" s="130">
        <f t="shared" si="66"/>
        <v>0</v>
      </c>
      <c r="F434" s="62"/>
      <c r="G434" s="130">
        <f t="shared" si="61"/>
        <v>0</v>
      </c>
      <c r="H434" s="62"/>
      <c r="I434" s="201">
        <f t="shared" si="62"/>
        <v>0</v>
      </c>
      <c r="J434" s="62"/>
      <c r="K434" s="130">
        <f t="shared" si="63"/>
        <v>0</v>
      </c>
      <c r="L434" s="62"/>
      <c r="M434" s="201">
        <f t="shared" si="64"/>
        <v>0</v>
      </c>
      <c r="N434" s="62"/>
      <c r="O434" s="201">
        <f t="shared" si="65"/>
        <v>0</v>
      </c>
    </row>
    <row r="435" spans="1:15" ht="12.95" customHeight="1">
      <c r="A435" s="12" t="s">
        <v>442</v>
      </c>
      <c r="B435" s="62">
        <f>+GETPIVOTDATA(" New Prof avg",'Averages Pivot Table'!$A$3,"State","GA","Category",10,"Category2","Two-Year")</f>
        <v>61046.056900000003</v>
      </c>
      <c r="C435" s="130">
        <f t="shared" si="66"/>
        <v>5</v>
      </c>
      <c r="D435" s="62">
        <f>+GETPIVOTDATA(" New Asc. avg",'Averages Pivot Table'!$A$3,"State","GA","Category",10,"Category2","Two-Year")</f>
        <v>52482.337162790704</v>
      </c>
      <c r="E435" s="130">
        <f t="shared" si="66"/>
        <v>5</v>
      </c>
      <c r="F435" s="62">
        <f>+GETPIVOTDATA(" New Ast. avg",'Averages Pivot Table'!$A$3,"State","GA","Category",10,"Category2","Two-Year")</f>
        <v>44277.278947368424</v>
      </c>
      <c r="G435" s="130">
        <f t="shared" si="61"/>
        <v>6</v>
      </c>
      <c r="H435" s="62">
        <f>+GETPIVOTDATA(" New Inst. avg",'Averages Pivot Table'!$A$3,"State","GA","Category",10,"Category2","Two-Year")</f>
        <v>37285.96</v>
      </c>
      <c r="I435" s="201">
        <f t="shared" si="62"/>
        <v>8</v>
      </c>
      <c r="J435" s="62">
        <f>+GETPIVOTDATA(" New Undesg. avg",'Averages Pivot Table'!$A$3,"State","GA","Category",10,"Category2","Two-Year")</f>
        <v>29999.994999999999</v>
      </c>
      <c r="K435" s="130">
        <f t="shared" si="63"/>
        <v>3</v>
      </c>
      <c r="L435" s="62">
        <f>+GETPIVOTDATA(" New Single Rnk avg",'Averages Pivot Table'!$A$3,"State","GA","Category",10,"Category2","Two-Year")</f>
        <v>0</v>
      </c>
      <c r="M435" s="201">
        <f t="shared" si="64"/>
        <v>0</v>
      </c>
      <c r="N435" s="62">
        <f>+GETPIVOTDATA(" New All Ranks avg",'Averages Pivot Table'!$A$3,"State","GA","Category",10,"Category2","Two-Year")</f>
        <v>44524.043983246076</v>
      </c>
      <c r="O435" s="201">
        <f t="shared" si="65"/>
        <v>12</v>
      </c>
    </row>
    <row r="436" spans="1:15" ht="12.95" customHeight="1">
      <c r="A436" s="12" t="s">
        <v>443</v>
      </c>
      <c r="B436" s="62">
        <f>+GETPIVOTDATA(" New Prof avg",'Averages Pivot Table'!$A$3,"State","KY","Category",10,"Category2","Two-Year")</f>
        <v>58227.144441999997</v>
      </c>
      <c r="C436" s="130">
        <f t="shared" si="66"/>
        <v>6</v>
      </c>
      <c r="D436" s="62">
        <f>+GETPIVOTDATA(" New Asc. avg",'Averages Pivot Table'!$A$3,"State","KY","Category",10,"Category2","Two-Year")</f>
        <v>47276.520793103453</v>
      </c>
      <c r="E436" s="130">
        <f t="shared" si="66"/>
        <v>9</v>
      </c>
      <c r="F436" s="62">
        <f>+GETPIVOTDATA(" New Ast. avg",'Averages Pivot Table'!$A$3,"State","KY","Category",10,"Category2","Two-Year")</f>
        <v>40467.893691666664</v>
      </c>
      <c r="G436" s="130">
        <f t="shared" si="61"/>
        <v>10</v>
      </c>
      <c r="H436" s="62">
        <f>+GETPIVOTDATA(" New Inst. avg",'Averages Pivot Table'!$A$3,"State","KY","Category",10,"Category2","Two-Year")</f>
        <v>38126.220893023252</v>
      </c>
      <c r="I436" s="201">
        <f t="shared" si="62"/>
        <v>7</v>
      </c>
      <c r="J436" s="62">
        <f>+GETPIVOTDATA(" New Undesg. avg",'Averages Pivot Table'!$A$3,"State","KY","Category",10,"Category2","Two-Year")</f>
        <v>0</v>
      </c>
      <c r="K436" s="130">
        <f t="shared" si="63"/>
        <v>0</v>
      </c>
      <c r="L436" s="62">
        <f>+GETPIVOTDATA(" New Single Rnk avg",'Averages Pivot Table'!$A$3,"State","KY","Category",10,"Category2","Two-Year")</f>
        <v>0</v>
      </c>
      <c r="M436" s="201">
        <f t="shared" si="64"/>
        <v>0</v>
      </c>
      <c r="N436" s="62">
        <f>+GETPIVOTDATA(" New All Ranks avg",'Averages Pivot Table'!$A$3,"State","KY","Category",10,"Category2","Two-Year")</f>
        <v>49668.487098666672</v>
      </c>
      <c r="O436" s="201">
        <f t="shared" si="65"/>
        <v>6</v>
      </c>
    </row>
    <row r="437" spans="1:15" ht="12.95" customHeight="1">
      <c r="A437" s="12" t="s">
        <v>444</v>
      </c>
      <c r="B437" s="62">
        <f>+GETPIVOTDATA(" New Prof avg",'Averages Pivot Table'!$A$3,"State","LA","Category",10,"Category2","Two-Year")</f>
        <v>53192.893199999999</v>
      </c>
      <c r="C437" s="130">
        <f t="shared" si="66"/>
        <v>9</v>
      </c>
      <c r="D437" s="62">
        <f>+GETPIVOTDATA(" New Asc. avg",'Averages Pivot Table'!$A$3,"State","LA","Category",10,"Category2","Two-Year")</f>
        <v>49059.907590697672</v>
      </c>
      <c r="E437" s="130">
        <f t="shared" si="66"/>
        <v>7</v>
      </c>
      <c r="F437" s="62">
        <f>+GETPIVOTDATA(" New Ast. avg",'Averages Pivot Table'!$A$3,"State","LA","Category",10,"Category2","Two-Year")</f>
        <v>43269.9058358209</v>
      </c>
      <c r="G437" s="130">
        <f t="shared" si="61"/>
        <v>7</v>
      </c>
      <c r="H437" s="62">
        <f>+GETPIVOTDATA(" New Inst. avg",'Averages Pivot Table'!$A$3,"State","LA","Category",10,"Category2","Two-Year")</f>
        <v>36994.990340229881</v>
      </c>
      <c r="I437" s="201">
        <f t="shared" si="62"/>
        <v>9</v>
      </c>
      <c r="J437" s="62">
        <f>+GETPIVOTDATA(" New Undesg. avg",'Averages Pivot Table'!$A$3,"State","LA","Category",10,"Category2","Two-Year")</f>
        <v>0</v>
      </c>
      <c r="K437" s="130">
        <f t="shared" si="63"/>
        <v>0</v>
      </c>
      <c r="L437" s="62">
        <f>+GETPIVOTDATA(" New Single Rnk avg",'Averages Pivot Table'!$A$3,"State","LA","Category",10,"Category2","Two-Year")</f>
        <v>0</v>
      </c>
      <c r="M437" s="201">
        <f t="shared" si="64"/>
        <v>0</v>
      </c>
      <c r="N437" s="62">
        <f>+GETPIVOTDATA(" New All Ranks avg",'Averages Pivot Table'!$A$3,"State","LA","Category",10,"Category2","Two-Year")</f>
        <v>42470.149945714293</v>
      </c>
      <c r="O437" s="201">
        <f t="shared" si="65"/>
        <v>15</v>
      </c>
    </row>
    <row r="438" spans="1:15" ht="12.95" customHeight="1">
      <c r="A438" s="12" t="s">
        <v>445</v>
      </c>
      <c r="B438" s="62">
        <f>+GETPIVOTDATA(" New Prof avg",'Averages Pivot Table'!$A$3,"State","MD","Category",10,"Category2","Two-Year")</f>
        <v>69976.515969230764</v>
      </c>
      <c r="C438" s="130">
        <f t="shared" si="66"/>
        <v>1</v>
      </c>
      <c r="D438" s="62">
        <f>+GETPIVOTDATA(" New Asc. avg",'Averages Pivot Table'!$A$3,"State","MD","Category",10,"Category2","Two-Year")</f>
        <v>62538.324138888885</v>
      </c>
      <c r="E438" s="130">
        <f t="shared" si="66"/>
        <v>1</v>
      </c>
      <c r="F438" s="62">
        <f>+GETPIVOTDATA(" New Ast. avg",'Averages Pivot Table'!$A$3,"State","MD","Category",10,"Category2","Two-Year")</f>
        <v>52106.221780952379</v>
      </c>
      <c r="G438" s="130">
        <f t="shared" si="61"/>
        <v>1</v>
      </c>
      <c r="H438" s="62">
        <f>+GETPIVOTDATA(" New Inst. avg",'Averages Pivot Table'!$A$3,"State","MD","Category",10,"Category2","Two-Year")</f>
        <v>50496.235955555552</v>
      </c>
      <c r="I438" s="201">
        <f t="shared" si="62"/>
        <v>1</v>
      </c>
      <c r="J438" s="62">
        <f>+GETPIVOTDATA(" New Undesg. avg",'Averages Pivot Table'!$A$3,"State","MD","Category",10,"Category2","Two-Year")</f>
        <v>0</v>
      </c>
      <c r="K438" s="130">
        <f t="shared" si="63"/>
        <v>0</v>
      </c>
      <c r="L438" s="62">
        <f>+GETPIVOTDATA(" New Single Rnk avg",'Averages Pivot Table'!$A$3,"State","MD","Category",10,"Category2","Two-Year")</f>
        <v>0</v>
      </c>
      <c r="M438" s="201">
        <f t="shared" si="64"/>
        <v>0</v>
      </c>
      <c r="N438" s="62">
        <f>+GETPIVOTDATA(" New All Ranks avg",'Averages Pivot Table'!$A$3,"State","MD","Category",10,"Category2","Two-Year")</f>
        <v>60503.105001587297</v>
      </c>
      <c r="O438" s="201">
        <f t="shared" si="65"/>
        <v>2</v>
      </c>
    </row>
    <row r="439" spans="1:15" ht="12.95" customHeight="1">
      <c r="A439" s="12"/>
      <c r="B439" s="62"/>
      <c r="C439" s="130">
        <f t="shared" si="66"/>
        <v>0</v>
      </c>
      <c r="D439" s="62"/>
      <c r="E439" s="130">
        <f t="shared" si="66"/>
        <v>0</v>
      </c>
      <c r="F439" s="62"/>
      <c r="G439" s="130">
        <f t="shared" si="61"/>
        <v>0</v>
      </c>
      <c r="H439" s="62"/>
      <c r="I439" s="201">
        <f t="shared" si="62"/>
        <v>0</v>
      </c>
      <c r="J439" s="62"/>
      <c r="K439" s="130">
        <f t="shared" si="63"/>
        <v>0</v>
      </c>
      <c r="L439" s="62"/>
      <c r="M439" s="201">
        <f t="shared" si="64"/>
        <v>0</v>
      </c>
      <c r="N439" s="62"/>
      <c r="O439" s="201">
        <f t="shared" si="65"/>
        <v>0</v>
      </c>
    </row>
    <row r="440" spans="1:15" ht="12.95" customHeight="1">
      <c r="A440" s="12" t="s">
        <v>446</v>
      </c>
      <c r="B440" s="62">
        <f>+GETPIVOTDATA(" New Prof avg",'Averages Pivot Table'!$A$3,"State","MS","Category",10,"Category2","Two-Year")</f>
        <v>0</v>
      </c>
      <c r="C440" s="130">
        <f t="shared" si="66"/>
        <v>0</v>
      </c>
      <c r="D440" s="62">
        <f>+GETPIVOTDATA(" New Asc. avg",'Averages Pivot Table'!$A$3,"State","MS","Category",10,"Category2","Two-Year")</f>
        <v>0</v>
      </c>
      <c r="E440" s="130">
        <f t="shared" si="66"/>
        <v>0</v>
      </c>
      <c r="F440" s="62">
        <f>+GETPIVOTDATA(" New Ast. avg",'Averages Pivot Table'!$A$3,"State","MS","Category",10,"Category2","Two-Year")</f>
        <v>0</v>
      </c>
      <c r="G440" s="130">
        <f t="shared" si="61"/>
        <v>0</v>
      </c>
      <c r="H440" s="62">
        <f>+GETPIVOTDATA(" New Inst. avg",'Averages Pivot Table'!$A$3,"State","MS","Category",10,"Category2","Two-Year")</f>
        <v>0</v>
      </c>
      <c r="I440" s="201">
        <f t="shared" si="62"/>
        <v>0</v>
      </c>
      <c r="J440" s="62">
        <f>+GETPIVOTDATA(" New Undesg. avg",'Averages Pivot Table'!$A$3,"State","MS","Category",10,"Category2","Two-Year")</f>
        <v>0</v>
      </c>
      <c r="K440" s="130">
        <f t="shared" si="63"/>
        <v>0</v>
      </c>
      <c r="L440" s="62">
        <f>+GETPIVOTDATA(" New Single Rnk avg",'Averages Pivot Table'!$A$3,"State","MS","Category",10,"Category2","Two-Year")</f>
        <v>46379.342922758617</v>
      </c>
      <c r="M440" s="201">
        <f t="shared" si="64"/>
        <v>4</v>
      </c>
      <c r="N440" s="62">
        <f>+GETPIVOTDATA(" New All Ranks avg",'Averages Pivot Table'!$A$3,"State","MS","Category",10,"Category2","Two-Year")</f>
        <v>46379.342922758617</v>
      </c>
      <c r="O440" s="201">
        <f t="shared" si="65"/>
        <v>9</v>
      </c>
    </row>
    <row r="441" spans="1:15" ht="12.95" customHeight="1">
      <c r="A441" s="12" t="s">
        <v>447</v>
      </c>
      <c r="B441" s="62">
        <f>+GETPIVOTDATA(" New Prof avg",'Averages Pivot Table'!$A$3,"State","NC","Category",10,"Category2","Two-Year")</f>
        <v>0</v>
      </c>
      <c r="C441" s="130">
        <f t="shared" si="66"/>
        <v>0</v>
      </c>
      <c r="D441" s="62">
        <f>+GETPIVOTDATA(" New Asc. avg",'Averages Pivot Table'!$A$3,"State","NC","Category",10,"Category2","Two-Year")</f>
        <v>0</v>
      </c>
      <c r="E441" s="130">
        <f t="shared" si="66"/>
        <v>0</v>
      </c>
      <c r="F441" s="62">
        <f>+GETPIVOTDATA(" New Ast. avg",'Averages Pivot Table'!$A$3,"State","NC","Category",10,"Category2","Two-Year")</f>
        <v>0</v>
      </c>
      <c r="G441" s="130">
        <f t="shared" si="61"/>
        <v>0</v>
      </c>
      <c r="H441" s="62">
        <f>+GETPIVOTDATA(" New Inst. avg",'Averages Pivot Table'!$A$3,"State","NC","Category",10,"Category2","Two-Year")</f>
        <v>0</v>
      </c>
      <c r="I441" s="201">
        <f t="shared" si="62"/>
        <v>0</v>
      </c>
      <c r="J441" s="62">
        <f>+GETPIVOTDATA(" New Undesg. avg",'Averages Pivot Table'!$A$3,"State","NC","Category",10,"Category2","Two-Year")</f>
        <v>0</v>
      </c>
      <c r="K441" s="130">
        <f t="shared" si="63"/>
        <v>0</v>
      </c>
      <c r="L441" s="62">
        <f>+GETPIVOTDATA(" New Single Rnk avg",'Averages Pivot Table'!$A$3,"State","NC","Category",10,"Category2","Two-Year")</f>
        <v>45986.983667409055</v>
      </c>
      <c r="M441" s="201">
        <f t="shared" si="64"/>
        <v>5</v>
      </c>
      <c r="N441" s="62">
        <f>+GETPIVOTDATA(" New All Ranks avg",'Averages Pivot Table'!$A$3,"State","NC","Category",10,"Category2","Two-Year")</f>
        <v>45986.983667409055</v>
      </c>
      <c r="O441" s="201">
        <f t="shared" si="65"/>
        <v>10</v>
      </c>
    </row>
    <row r="442" spans="1:15" ht="12.95" customHeight="1">
      <c r="A442" s="12" t="s">
        <v>448</v>
      </c>
      <c r="B442" s="62">
        <f>+GETPIVOTDATA(" New Prof avg",'Averages Pivot Table'!$A$3,"State","OK","Category",10,"Category2","Two-Year")</f>
        <v>0</v>
      </c>
      <c r="C442" s="130">
        <f t="shared" si="66"/>
        <v>0</v>
      </c>
      <c r="D442" s="62">
        <f>+GETPIVOTDATA(" New Asc. avg",'Averages Pivot Table'!$A$3,"State","OK","Category",10,"Category2","Two-Year")</f>
        <v>0</v>
      </c>
      <c r="E442" s="130">
        <f t="shared" si="66"/>
        <v>0</v>
      </c>
      <c r="F442" s="62">
        <f>+GETPIVOTDATA(" New Ast. avg",'Averages Pivot Table'!$A$3,"State","OK","Category",10,"Category2","Two-Year")</f>
        <v>0</v>
      </c>
      <c r="G442" s="130">
        <f t="shared" si="61"/>
        <v>0</v>
      </c>
      <c r="H442" s="62">
        <f>+GETPIVOTDATA(" New Inst. avg",'Averages Pivot Table'!$A$3,"State","OK","Category",10,"Category2","Two-Year")</f>
        <v>0</v>
      </c>
      <c r="I442" s="201">
        <f t="shared" si="62"/>
        <v>0</v>
      </c>
      <c r="J442" s="62">
        <f>+GETPIVOTDATA(" New Undesg. avg",'Averages Pivot Table'!$A$3,"State","OK","Category",10,"Category2","Two-Year")</f>
        <v>0</v>
      </c>
      <c r="K442" s="130">
        <f t="shared" si="63"/>
        <v>0</v>
      </c>
      <c r="L442" s="62">
        <f>+GETPIVOTDATA(" New Single Rnk avg",'Averages Pivot Table'!$A$3,"State","OK","Category",10,"Category2","Two-Year")</f>
        <v>43035.543432978724</v>
      </c>
      <c r="M442" s="201">
        <f t="shared" si="64"/>
        <v>6</v>
      </c>
      <c r="N442" s="62">
        <f>+GETPIVOTDATA(" New All Ranks avg",'Averages Pivot Table'!$A$3,"State","OK","Category",10,"Category2","Two-Year")</f>
        <v>43035.543432978724</v>
      </c>
      <c r="O442" s="201">
        <f t="shared" si="65"/>
        <v>14</v>
      </c>
    </row>
    <row r="443" spans="1:15" ht="12.95" customHeight="1">
      <c r="A443" s="12" t="s">
        <v>449</v>
      </c>
      <c r="B443" s="62">
        <f>+GETPIVOTDATA(" New Prof avg",'Averages Pivot Table'!$A$3,"State","SC","Category",10,"Category2","Two-Year")</f>
        <v>66644.438750000001</v>
      </c>
      <c r="C443" s="130">
        <f t="shared" si="66"/>
        <v>3</v>
      </c>
      <c r="D443" s="62">
        <f>+GETPIVOTDATA(" New Asc. avg",'Averages Pivot Table'!$A$3,"State","SC","Category",10,"Category2","Two-Year")</f>
        <v>55216.265354545445</v>
      </c>
      <c r="E443" s="130">
        <f t="shared" si="66"/>
        <v>2</v>
      </c>
      <c r="F443" s="62">
        <f>+GETPIVOTDATA(" New Ast. avg",'Averages Pivot Table'!$A$3,"State","SC","Category",10,"Category2","Two-Year")</f>
        <v>46725.638974358975</v>
      </c>
      <c r="G443" s="130">
        <f t="shared" si="61"/>
        <v>3</v>
      </c>
      <c r="H443" s="62">
        <f>+GETPIVOTDATA(" New Inst. avg",'Averages Pivot Table'!$A$3,"State","SC","Category",10,"Category2","Two-Year")</f>
        <v>42026.624583333331</v>
      </c>
      <c r="I443" s="201">
        <f t="shared" si="62"/>
        <v>2</v>
      </c>
      <c r="J443" s="62">
        <f>+GETPIVOTDATA(" New Undesg. avg",'Averages Pivot Table'!$A$3,"State","SC","Category",10,"Category2","Two-Year")</f>
        <v>41454.891472868214</v>
      </c>
      <c r="K443" s="130">
        <f t="shared" si="63"/>
        <v>1</v>
      </c>
      <c r="L443" s="62">
        <f>+GETPIVOTDATA(" New Single Rnk avg",'Averages Pivot Table'!$A$3,"State","SC","Category",10,"Category2","Two-Year")</f>
        <v>0</v>
      </c>
      <c r="M443" s="201">
        <f t="shared" si="64"/>
        <v>0</v>
      </c>
      <c r="N443" s="62">
        <f>+GETPIVOTDATA(" New All Ranks avg",'Averages Pivot Table'!$A$3,"State","SC","Category",10,"Category2","Two-Year")</f>
        <v>45150.896684251966</v>
      </c>
      <c r="O443" s="201">
        <f t="shared" si="65"/>
        <v>11</v>
      </c>
    </row>
    <row r="444" spans="1:15" ht="12.95" customHeight="1">
      <c r="A444" s="12"/>
      <c r="B444" s="62"/>
      <c r="C444" s="130">
        <f t="shared" si="66"/>
        <v>0</v>
      </c>
      <c r="D444" s="62"/>
      <c r="E444" s="130">
        <f t="shared" si="66"/>
        <v>0</v>
      </c>
      <c r="F444" s="62"/>
      <c r="G444" s="130">
        <f t="shared" si="61"/>
        <v>0</v>
      </c>
      <c r="H444" s="62"/>
      <c r="I444" s="201">
        <f t="shared" si="62"/>
        <v>0</v>
      </c>
      <c r="J444" s="62"/>
      <c r="K444" s="130">
        <f t="shared" si="63"/>
        <v>0</v>
      </c>
      <c r="L444" s="62"/>
      <c r="M444" s="201">
        <f t="shared" si="64"/>
        <v>0</v>
      </c>
      <c r="N444" s="62"/>
      <c r="O444" s="201">
        <f t="shared" si="65"/>
        <v>0</v>
      </c>
    </row>
    <row r="445" spans="1:15" ht="12.95" customHeight="1">
      <c r="A445" s="12" t="s">
        <v>450</v>
      </c>
      <c r="B445" s="129">
        <f>+GETPIVOTDATA(" New Prof avg",'Averages Pivot Table'!$A$3,"State","TN","Category",10,"Category2","Two-Year")</f>
        <v>55621.321844444443</v>
      </c>
      <c r="C445" s="130">
        <f t="shared" si="66"/>
        <v>7</v>
      </c>
      <c r="D445" s="129">
        <f>+GETPIVOTDATA(" New Asc. avg",'Averages Pivot Table'!$A$3,"State","TN","Category",10,"Category2","Two-Year")</f>
        <v>47617.700838095239</v>
      </c>
      <c r="E445" s="130">
        <f t="shared" si="66"/>
        <v>8</v>
      </c>
      <c r="F445" s="129">
        <f>+GETPIVOTDATA(" New Ast. avg",'Averages Pivot Table'!$A$3,"State","TN","Category",10,"Category2","Two-Year")</f>
        <v>41888.25</v>
      </c>
      <c r="G445" s="130">
        <f t="shared" si="61"/>
        <v>9</v>
      </c>
      <c r="H445" s="129">
        <f>+GETPIVOTDATA(" New Inst. avg",'Averages Pivot Table'!$A$3,"State","TN","Category",10,"Category2","Two-Year")</f>
        <v>41981.738973333333</v>
      </c>
      <c r="I445" s="201">
        <f t="shared" si="62"/>
        <v>3</v>
      </c>
      <c r="J445" s="129">
        <f>+GETPIVOTDATA(" New Undesg. avg",'Averages Pivot Table'!$A$3,"State","TN","Category",10,"Category2","Two-Year")</f>
        <v>0</v>
      </c>
      <c r="K445" s="130">
        <f t="shared" si="63"/>
        <v>0</v>
      </c>
      <c r="L445" s="129">
        <f>+GETPIVOTDATA(" New Single Rnk avg",'Averages Pivot Table'!$A$3,"State","TN","Category",10,"Category2","Two-Year")</f>
        <v>0</v>
      </c>
      <c r="M445" s="201">
        <f t="shared" si="64"/>
        <v>0</v>
      </c>
      <c r="N445" s="62">
        <f>+GETPIVOTDATA(" New All Ranks avg",'Averages Pivot Table'!$A$3,"State","TN","Category",10,"Category2","Two-Year")</f>
        <v>46516.899977358495</v>
      </c>
      <c r="O445" s="201">
        <f t="shared" si="65"/>
        <v>8</v>
      </c>
    </row>
    <row r="446" spans="1:15" ht="12.95" customHeight="1">
      <c r="A446" s="12" t="s">
        <v>451</v>
      </c>
      <c r="B446" s="129">
        <f>+GETPIVOTDATA(" New Prof avg",'Averages Pivot Table'!$A$3,"State","TX","Category",10,"Category2","Two-Year")</f>
        <v>55459.148687640445</v>
      </c>
      <c r="C446" s="130">
        <f t="shared" si="66"/>
        <v>8</v>
      </c>
      <c r="D446" s="129">
        <f>+GETPIVOTDATA(" New Asc. avg",'Averages Pivot Table'!$A$3,"State","TX","Category",10,"Category2","Two-Year")</f>
        <v>49378.197221052629</v>
      </c>
      <c r="E446" s="130">
        <f t="shared" si="66"/>
        <v>6</v>
      </c>
      <c r="F446" s="129">
        <f>+GETPIVOTDATA(" New Ast. avg",'Averages Pivot Table'!$A$3,"State","TX","Category",10,"Category2","Two-Year")</f>
        <v>46909.435219999999</v>
      </c>
      <c r="G446" s="130">
        <f t="shared" si="61"/>
        <v>2</v>
      </c>
      <c r="H446" s="129">
        <f>+GETPIVOTDATA(" New Inst. avg",'Averages Pivot Table'!$A$3,"State","TX","Category",10,"Category2","Two-Year")</f>
        <v>39822.267738957817</v>
      </c>
      <c r="I446" s="201">
        <f t="shared" si="62"/>
        <v>4</v>
      </c>
      <c r="J446" s="129">
        <f>+GETPIVOTDATA(" New Undesg. avg",'Averages Pivot Table'!$A$3,"State","TX","Category",10,"Category2","Two-Year")</f>
        <v>0</v>
      </c>
      <c r="K446" s="130">
        <f t="shared" si="63"/>
        <v>0</v>
      </c>
      <c r="L446" s="129">
        <f>+GETPIVOTDATA(" New Single Rnk avg",'Averages Pivot Table'!$A$3,"State","TX","Category",10,"Category2","Two-Year")</f>
        <v>0</v>
      </c>
      <c r="M446" s="201">
        <f t="shared" si="64"/>
        <v>0</v>
      </c>
      <c r="N446" s="62">
        <f>+GETPIVOTDATA(" New All Ranks avg",'Averages Pivot Table'!$A$3,"State","TX","Category",10,"Category2","Two-Year")</f>
        <v>43517.247016271191</v>
      </c>
      <c r="O446" s="201">
        <f t="shared" si="65"/>
        <v>13</v>
      </c>
    </row>
    <row r="447" spans="1:15" ht="12.95" customHeight="1">
      <c r="A447" s="12" t="s">
        <v>452</v>
      </c>
      <c r="B447" s="129">
        <f>+GETPIVOTDATA(" New Prof avg",'Averages Pivot Table'!$A$3,"State","VA","Category",10,"Category2","Two-Year")</f>
        <v>68644</v>
      </c>
      <c r="C447" s="130">
        <f t="shared" si="66"/>
        <v>2</v>
      </c>
      <c r="D447" s="129">
        <f>+GETPIVOTDATA(" New Asc. avg",'Averages Pivot Table'!$A$3,"State","VA","Category",10,"Category2","Two-Year")</f>
        <v>52611</v>
      </c>
      <c r="E447" s="130">
        <f t="shared" si="66"/>
        <v>4</v>
      </c>
      <c r="F447" s="129">
        <f>+GETPIVOTDATA(" New Ast. avg",'Averages Pivot Table'!$A$3,"State","VA","Category",10,"Category2","Two-Year")</f>
        <v>44964</v>
      </c>
      <c r="G447" s="130">
        <f t="shared" si="61"/>
        <v>5</v>
      </c>
      <c r="H447" s="129">
        <f>+GETPIVOTDATA(" New Inst. avg",'Averages Pivot Table'!$A$3,"State","VA","Category",10,"Category2","Two-Year")</f>
        <v>0</v>
      </c>
      <c r="I447" s="201">
        <f t="shared" si="62"/>
        <v>0</v>
      </c>
      <c r="J447" s="129">
        <f>+GETPIVOTDATA(" New Undesg. avg",'Averages Pivot Table'!$A$3,"State","VA","Category",10,"Category2","Two-Year")</f>
        <v>0</v>
      </c>
      <c r="K447" s="130">
        <f t="shared" si="63"/>
        <v>0</v>
      </c>
      <c r="L447" s="129">
        <f>+GETPIVOTDATA(" New Single Rnk avg",'Averages Pivot Table'!$A$3,"State","VA","Category",10,"Category2","Two-Year")</f>
        <v>0</v>
      </c>
      <c r="M447" s="201">
        <f t="shared" si="64"/>
        <v>0</v>
      </c>
      <c r="N447" s="62">
        <f>+GETPIVOTDATA(" New All Ranks avg",'Averages Pivot Table'!$A$3,"State","VA","Category",10,"Category2","Two-Year")</f>
        <v>54434.63636363636</v>
      </c>
      <c r="O447" s="201">
        <f t="shared" si="65"/>
        <v>3</v>
      </c>
    </row>
    <row r="448" spans="1:15" ht="12.95" customHeight="1">
      <c r="A448" s="11" t="s">
        <v>453</v>
      </c>
      <c r="B448" s="64">
        <f>+GETPIVOTDATA(" New Prof avg",'Averages Pivot Table'!$A$3,"State","WV","Category",10,"Category2","Two-Year")</f>
        <v>62988.71161025641</v>
      </c>
      <c r="C448" s="65">
        <f t="shared" si="66"/>
        <v>4</v>
      </c>
      <c r="D448" s="64">
        <f>+GETPIVOTDATA(" New Asc. avg",'Averages Pivot Table'!$A$3,"State","WV","Category",10,"Category2","Two-Year")</f>
        <v>53666.835214814819</v>
      </c>
      <c r="E448" s="65">
        <f t="shared" si="66"/>
        <v>3</v>
      </c>
      <c r="F448" s="64">
        <f>+GETPIVOTDATA(" New Ast. avg",'Averages Pivot Table'!$A$3,"State","WV","Category",10,"Category2","Two-Year")</f>
        <v>45864.475884210529</v>
      </c>
      <c r="G448" s="65">
        <f t="shared" si="61"/>
        <v>4</v>
      </c>
      <c r="H448" s="64">
        <f>+GETPIVOTDATA(" New Inst. avg",'Averages Pivot Table'!$A$3,"State","WV","Category",10,"Category2","Two-Year")</f>
        <v>38786.130525170069</v>
      </c>
      <c r="I448" s="202">
        <f t="shared" si="62"/>
        <v>6</v>
      </c>
      <c r="J448" s="64">
        <f>+GETPIVOTDATA(" New Undesg. avg",'Averages Pivot Table'!$A$3,"State","WV","Category",10,"Category2","Two-Year")</f>
        <v>38895.035827586202</v>
      </c>
      <c r="K448" s="65">
        <f t="shared" si="63"/>
        <v>2</v>
      </c>
      <c r="L448" s="64">
        <f>+GETPIVOTDATA(" New Single Rnk avg",'Averages Pivot Table'!$A$3,"State","WV","Category",10,"Category2","Two-Year")</f>
        <v>0</v>
      </c>
      <c r="M448" s="202">
        <f t="shared" si="64"/>
        <v>0</v>
      </c>
      <c r="N448" s="64">
        <f>+GETPIVOTDATA(" New All Ranks avg",'Averages Pivot Table'!$A$3,"State","WV","Category",10,"Category2","Two-Year")</f>
        <v>47083.403043127961</v>
      </c>
      <c r="O448" s="202">
        <f t="shared" si="65"/>
        <v>7</v>
      </c>
    </row>
    <row r="449" spans="1:19" ht="30" customHeight="1">
      <c r="A449" s="628" t="s">
        <v>323</v>
      </c>
      <c r="B449" s="628"/>
      <c r="C449" s="628"/>
      <c r="D449" s="628"/>
      <c r="E449" s="628"/>
      <c r="F449" s="628"/>
      <c r="G449" s="628"/>
      <c r="H449" s="628"/>
      <c r="I449" s="628"/>
      <c r="J449" s="628"/>
      <c r="K449" s="628"/>
      <c r="L449" s="628"/>
      <c r="M449" s="628"/>
      <c r="N449" s="628"/>
      <c r="O449" s="628"/>
    </row>
    <row r="450" spans="1:19">
      <c r="O450" s="244" t="s">
        <v>1166</v>
      </c>
    </row>
    <row r="451" spans="1:19" ht="18">
      <c r="A451" s="618" t="s">
        <v>791</v>
      </c>
      <c r="B451" s="618"/>
      <c r="C451" s="618"/>
      <c r="D451" s="618"/>
      <c r="E451" s="618"/>
      <c r="F451" s="618"/>
      <c r="G451" s="618"/>
      <c r="H451" s="618"/>
      <c r="I451" s="618"/>
      <c r="J451" s="618"/>
      <c r="K451" s="618"/>
      <c r="L451" s="618"/>
      <c r="M451" s="618"/>
      <c r="N451" s="618"/>
      <c r="O451" s="618"/>
    </row>
    <row r="452" spans="1:19">
      <c r="A452" s="23"/>
      <c r="B452" s="5"/>
      <c r="C452" s="5"/>
      <c r="D452" s="5"/>
      <c r="E452" s="5"/>
      <c r="F452" s="5"/>
      <c r="G452" s="5"/>
      <c r="H452" s="5"/>
      <c r="I452" s="159"/>
      <c r="J452" s="5"/>
      <c r="K452" s="5"/>
      <c r="L452" s="5"/>
      <c r="M452" s="159"/>
      <c r="N452" s="5"/>
      <c r="O452" s="159"/>
    </row>
    <row r="453" spans="1:19">
      <c r="A453" s="619" t="s">
        <v>454</v>
      </c>
      <c r="B453" s="619"/>
      <c r="C453" s="619"/>
      <c r="D453" s="619"/>
      <c r="E453" s="619"/>
      <c r="F453" s="619"/>
      <c r="G453" s="619"/>
      <c r="H453" s="619"/>
      <c r="I453" s="619"/>
      <c r="J453" s="619"/>
      <c r="K453" s="619"/>
      <c r="L453" s="619"/>
      <c r="M453" s="619"/>
      <c r="N453" s="619"/>
      <c r="O453" s="619"/>
    </row>
    <row r="454" spans="1:19">
      <c r="A454" s="619" t="s">
        <v>1148</v>
      </c>
      <c r="B454" s="619"/>
      <c r="C454" s="619"/>
      <c r="D454" s="619"/>
      <c r="E454" s="619"/>
      <c r="F454" s="619"/>
      <c r="G454" s="619"/>
      <c r="H454" s="619"/>
      <c r="I454" s="619"/>
      <c r="J454" s="619"/>
      <c r="K454" s="619"/>
      <c r="L454" s="619"/>
      <c r="M454" s="619"/>
      <c r="N454" s="619"/>
      <c r="O454" s="619"/>
    </row>
    <row r="455" spans="1:19">
      <c r="A455" s="12"/>
      <c r="B455" s="12"/>
      <c r="C455" s="12"/>
      <c r="D455" s="12"/>
      <c r="E455" s="12"/>
      <c r="F455" s="12"/>
      <c r="G455" s="12"/>
      <c r="H455" s="12"/>
      <c r="I455" s="215"/>
      <c r="J455" s="12"/>
      <c r="K455" s="12"/>
      <c r="L455" s="12"/>
      <c r="M455" s="215"/>
      <c r="N455" s="12"/>
      <c r="O455" s="215"/>
    </row>
    <row r="456" spans="1:19" ht="30.75" customHeight="1">
      <c r="A456" s="15"/>
      <c r="B456" s="21" t="s">
        <v>332</v>
      </c>
      <c r="C456" s="22"/>
      <c r="D456" s="141" t="s">
        <v>333</v>
      </c>
      <c r="E456" s="142"/>
      <c r="F456" s="141" t="s">
        <v>334</v>
      </c>
      <c r="G456" s="142"/>
      <c r="H456" s="21" t="s">
        <v>335</v>
      </c>
      <c r="I456" s="225"/>
      <c r="J456" s="141" t="s">
        <v>461</v>
      </c>
      <c r="K456" s="142"/>
      <c r="L456" s="22" t="s">
        <v>314</v>
      </c>
      <c r="M456" s="225"/>
      <c r="N456" s="22" t="s">
        <v>316</v>
      </c>
      <c r="O456" s="225"/>
    </row>
    <row r="457" spans="1:19">
      <c r="A457" s="16"/>
      <c r="B457" s="19" t="s">
        <v>336</v>
      </c>
      <c r="C457" s="18" t="s">
        <v>427</v>
      </c>
      <c r="D457" s="19" t="s">
        <v>336</v>
      </c>
      <c r="E457" s="18" t="s">
        <v>427</v>
      </c>
      <c r="F457" s="19" t="s">
        <v>336</v>
      </c>
      <c r="G457" s="18" t="s">
        <v>427</v>
      </c>
      <c r="H457" s="19" t="s">
        <v>336</v>
      </c>
      <c r="I457" s="226" t="s">
        <v>427</v>
      </c>
      <c r="J457" s="19" t="s">
        <v>336</v>
      </c>
      <c r="K457" s="18" t="s">
        <v>427</v>
      </c>
      <c r="L457" s="19" t="s">
        <v>336</v>
      </c>
      <c r="M457" s="226" t="s">
        <v>427</v>
      </c>
      <c r="N457" s="19" t="s">
        <v>336</v>
      </c>
      <c r="O457" s="226" t="s">
        <v>427</v>
      </c>
    </row>
    <row r="458" spans="1:19" s="156" customFormat="1" ht="18" customHeight="1">
      <c r="A458" s="168" t="s">
        <v>456</v>
      </c>
      <c r="B458" s="608" t="s">
        <v>1163</v>
      </c>
      <c r="C458" s="172"/>
      <c r="D458" s="608" t="s">
        <v>1163</v>
      </c>
      <c r="E458" s="172"/>
      <c r="F458" s="608" t="s">
        <v>1163</v>
      </c>
      <c r="G458" s="172"/>
      <c r="H458" s="608" t="s">
        <v>1163</v>
      </c>
      <c r="I458" s="172"/>
      <c r="J458" s="608" t="s">
        <v>1163</v>
      </c>
      <c r="K458" s="172"/>
      <c r="L458" s="608" t="s">
        <v>1163</v>
      </c>
      <c r="M458" s="172"/>
      <c r="N458" s="608" t="s">
        <v>1163</v>
      </c>
      <c r="O458" s="172"/>
      <c r="Q458" s="193"/>
      <c r="R458" s="193"/>
      <c r="S458" s="193"/>
    </row>
    <row r="459" spans="1:19" ht="12.95" customHeight="1">
      <c r="A459" s="12"/>
      <c r="B459" s="139"/>
      <c r="C459" s="17"/>
      <c r="D459" s="139"/>
      <c r="E459" s="17"/>
      <c r="F459" s="139"/>
      <c r="G459" s="17"/>
      <c r="H459" s="139"/>
      <c r="I459" s="17"/>
      <c r="J459" s="139"/>
      <c r="K459" s="17"/>
      <c r="L459" s="139"/>
      <c r="M459" s="17"/>
      <c r="N459" s="139"/>
      <c r="O459" s="17"/>
    </row>
    <row r="460" spans="1:19" ht="12.95" customHeight="1">
      <c r="A460" s="12" t="s">
        <v>439</v>
      </c>
      <c r="B460" s="169" t="s">
        <v>1163</v>
      </c>
      <c r="C460" s="130"/>
      <c r="D460" s="169" t="s">
        <v>1163</v>
      </c>
      <c r="E460" s="130"/>
      <c r="F460" s="169" t="s">
        <v>1163</v>
      </c>
      <c r="G460" s="130"/>
      <c r="H460" s="169" t="s">
        <v>1163</v>
      </c>
      <c r="I460" s="130"/>
      <c r="J460" s="169" t="s">
        <v>1163</v>
      </c>
      <c r="K460" s="130"/>
      <c r="L460" s="169" t="s">
        <v>1163</v>
      </c>
      <c r="M460" s="130"/>
      <c r="N460" s="169" t="s">
        <v>1163</v>
      </c>
      <c r="O460" s="130"/>
    </row>
    <row r="461" spans="1:19" ht="12.95" customHeight="1">
      <c r="A461" s="12" t="s">
        <v>440</v>
      </c>
      <c r="B461" s="169" t="s">
        <v>1163</v>
      </c>
      <c r="C461" s="130"/>
      <c r="D461" s="169" t="s">
        <v>1163</v>
      </c>
      <c r="E461" s="130"/>
      <c r="F461" s="169" t="s">
        <v>1163</v>
      </c>
      <c r="G461" s="130"/>
      <c r="H461" s="169" t="s">
        <v>1163</v>
      </c>
      <c r="I461" s="130"/>
      <c r="J461" s="169" t="s">
        <v>1163</v>
      </c>
      <c r="K461" s="130"/>
      <c r="L461" s="169" t="s">
        <v>1163</v>
      </c>
      <c r="M461" s="130"/>
      <c r="N461" s="169" t="s">
        <v>1163</v>
      </c>
      <c r="O461" s="130"/>
    </row>
    <row r="462" spans="1:19" ht="12.95" customHeight="1">
      <c r="A462" s="12" t="s">
        <v>455</v>
      </c>
      <c r="B462" s="169" t="s">
        <v>1163</v>
      </c>
      <c r="C462" s="130"/>
      <c r="D462" s="169" t="s">
        <v>1163</v>
      </c>
      <c r="E462" s="130"/>
      <c r="F462" s="169" t="s">
        <v>1163</v>
      </c>
      <c r="G462" s="130"/>
      <c r="H462" s="169" t="s">
        <v>1163</v>
      </c>
      <c r="I462" s="130"/>
      <c r="J462" s="169" t="s">
        <v>1163</v>
      </c>
      <c r="K462" s="130"/>
      <c r="L462" s="169" t="s">
        <v>1163</v>
      </c>
      <c r="M462" s="130"/>
      <c r="N462" s="169" t="s">
        <v>1163</v>
      </c>
      <c r="O462" s="130"/>
    </row>
    <row r="463" spans="1:19" ht="12.95" customHeight="1">
      <c r="A463" s="12" t="s">
        <v>441</v>
      </c>
      <c r="B463" s="169" t="s">
        <v>1163</v>
      </c>
      <c r="C463" s="130"/>
      <c r="D463" s="169" t="s">
        <v>1163</v>
      </c>
      <c r="E463" s="130"/>
      <c r="F463" s="169" t="s">
        <v>1163</v>
      </c>
      <c r="G463" s="130"/>
      <c r="H463" s="169" t="s">
        <v>1163</v>
      </c>
      <c r="I463" s="130"/>
      <c r="J463" s="169" t="s">
        <v>1163</v>
      </c>
      <c r="K463" s="130"/>
      <c r="L463" s="169" t="s">
        <v>1163</v>
      </c>
      <c r="M463" s="130"/>
      <c r="N463" s="169" t="s">
        <v>1163</v>
      </c>
      <c r="O463" s="130"/>
    </row>
    <row r="464" spans="1:19" ht="12.95" customHeight="1">
      <c r="A464" s="12"/>
      <c r="B464" s="129"/>
      <c r="C464" s="130"/>
      <c r="D464" s="129"/>
      <c r="E464" s="130"/>
      <c r="F464" s="129"/>
      <c r="G464" s="130"/>
      <c r="H464" s="129"/>
      <c r="I464" s="130"/>
      <c r="J464" s="129"/>
      <c r="K464" s="130"/>
      <c r="L464" s="129"/>
      <c r="M464" s="130"/>
      <c r="N464" s="129"/>
      <c r="O464" s="130"/>
    </row>
    <row r="465" spans="1:15" ht="12.95" customHeight="1">
      <c r="A465" s="12" t="s">
        <v>442</v>
      </c>
      <c r="B465" s="169" t="s">
        <v>1163</v>
      </c>
      <c r="C465" s="130"/>
      <c r="D465" s="169" t="s">
        <v>1163</v>
      </c>
      <c r="E465" s="130"/>
      <c r="F465" s="169" t="s">
        <v>1163</v>
      </c>
      <c r="G465" s="130"/>
      <c r="H465" s="169" t="s">
        <v>1163</v>
      </c>
      <c r="I465" s="130"/>
      <c r="J465" s="169" t="s">
        <v>1163</v>
      </c>
      <c r="K465" s="130"/>
      <c r="L465" s="169" t="s">
        <v>1163</v>
      </c>
      <c r="M465" s="130"/>
      <c r="N465" s="169" t="s">
        <v>1163</v>
      </c>
      <c r="O465" s="130"/>
    </row>
    <row r="466" spans="1:15" ht="12.95" customHeight="1">
      <c r="A466" s="12" t="s">
        <v>443</v>
      </c>
      <c r="B466" s="169" t="s">
        <v>1163</v>
      </c>
      <c r="C466" s="130"/>
      <c r="D466" s="169" t="s">
        <v>1163</v>
      </c>
      <c r="E466" s="130"/>
      <c r="F466" s="169" t="s">
        <v>1163</v>
      </c>
      <c r="G466" s="130"/>
      <c r="H466" s="169" t="s">
        <v>1163</v>
      </c>
      <c r="I466" s="130"/>
      <c r="J466" s="169" t="s">
        <v>1163</v>
      </c>
      <c r="K466" s="130"/>
      <c r="L466" s="169" t="s">
        <v>1163</v>
      </c>
      <c r="M466" s="130"/>
      <c r="N466" s="169" t="s">
        <v>1163</v>
      </c>
      <c r="O466" s="130"/>
    </row>
    <row r="467" spans="1:15" ht="12.95" customHeight="1">
      <c r="A467" s="12" t="s">
        <v>444</v>
      </c>
      <c r="B467" s="169" t="s">
        <v>1163</v>
      </c>
      <c r="C467" s="130"/>
      <c r="D467" s="169" t="s">
        <v>1163</v>
      </c>
      <c r="E467" s="130"/>
      <c r="F467" s="169" t="s">
        <v>1163</v>
      </c>
      <c r="G467" s="130"/>
      <c r="H467" s="169" t="s">
        <v>1163</v>
      </c>
      <c r="I467" s="130"/>
      <c r="J467" s="169" t="s">
        <v>1163</v>
      </c>
      <c r="K467" s="130"/>
      <c r="L467" s="169" t="s">
        <v>1163</v>
      </c>
      <c r="M467" s="130"/>
      <c r="N467" s="169" t="s">
        <v>1163</v>
      </c>
      <c r="O467" s="130"/>
    </row>
    <row r="468" spans="1:15" ht="12.95" customHeight="1">
      <c r="A468" s="12" t="s">
        <v>445</v>
      </c>
      <c r="B468" s="169" t="s">
        <v>1163</v>
      </c>
      <c r="C468" s="130"/>
      <c r="D468" s="169" t="s">
        <v>1163</v>
      </c>
      <c r="E468" s="130"/>
      <c r="F468" s="169" t="s">
        <v>1163</v>
      </c>
      <c r="G468" s="130"/>
      <c r="H468" s="169" t="s">
        <v>1163</v>
      </c>
      <c r="I468" s="130"/>
      <c r="J468" s="169" t="s">
        <v>1163</v>
      </c>
      <c r="K468" s="130"/>
      <c r="L468" s="169" t="s">
        <v>1163</v>
      </c>
      <c r="M468" s="130"/>
      <c r="N468" s="169" t="s">
        <v>1163</v>
      </c>
      <c r="O468" s="130"/>
    </row>
    <row r="469" spans="1:15" ht="12.95" customHeight="1">
      <c r="A469" s="12"/>
      <c r="B469" s="129"/>
      <c r="C469" s="130"/>
      <c r="D469" s="129"/>
      <c r="E469" s="130"/>
      <c r="F469" s="129"/>
      <c r="G469" s="130"/>
      <c r="H469" s="129"/>
      <c r="I469" s="130"/>
      <c r="J469" s="129"/>
      <c r="K469" s="130"/>
      <c r="L469" s="129"/>
      <c r="M469" s="130"/>
      <c r="N469" s="129"/>
      <c r="O469" s="130"/>
    </row>
    <row r="470" spans="1:15" ht="12.95" customHeight="1">
      <c r="A470" s="12" t="s">
        <v>446</v>
      </c>
      <c r="B470" s="169" t="s">
        <v>1163</v>
      </c>
      <c r="C470" s="130"/>
      <c r="D470" s="169" t="s">
        <v>1163</v>
      </c>
      <c r="E470" s="130"/>
      <c r="F470" s="169" t="s">
        <v>1163</v>
      </c>
      <c r="G470" s="130"/>
      <c r="H470" s="169" t="s">
        <v>1163</v>
      </c>
      <c r="I470" s="130"/>
      <c r="J470" s="169" t="s">
        <v>1163</v>
      </c>
      <c r="K470" s="130"/>
      <c r="L470" s="169" t="s">
        <v>1163</v>
      </c>
      <c r="M470" s="130"/>
      <c r="N470" s="169" t="s">
        <v>1163</v>
      </c>
      <c r="O470" s="130"/>
    </row>
    <row r="471" spans="1:15" ht="12.95" customHeight="1">
      <c r="A471" s="12" t="s">
        <v>447</v>
      </c>
      <c r="B471" s="169" t="s">
        <v>1163</v>
      </c>
      <c r="C471" s="130"/>
      <c r="D471" s="169" t="s">
        <v>1163</v>
      </c>
      <c r="E471" s="130"/>
      <c r="F471" s="169" t="s">
        <v>1163</v>
      </c>
      <c r="G471" s="130"/>
      <c r="H471" s="169" t="s">
        <v>1163</v>
      </c>
      <c r="I471" s="130"/>
      <c r="J471" s="169" t="s">
        <v>1163</v>
      </c>
      <c r="K471" s="130"/>
      <c r="L471" s="169" t="s">
        <v>1163</v>
      </c>
      <c r="M471" s="130"/>
      <c r="N471" s="169" t="s">
        <v>1163</v>
      </c>
      <c r="O471" s="130"/>
    </row>
    <row r="472" spans="1:15" ht="12.95" customHeight="1">
      <c r="A472" s="12" t="s">
        <v>448</v>
      </c>
      <c r="B472" s="169" t="s">
        <v>1163</v>
      </c>
      <c r="C472" s="130"/>
      <c r="D472" s="169" t="s">
        <v>1163</v>
      </c>
      <c r="E472" s="130"/>
      <c r="F472" s="169" t="s">
        <v>1163</v>
      </c>
      <c r="G472" s="130"/>
      <c r="H472" s="169" t="s">
        <v>1163</v>
      </c>
      <c r="I472" s="130"/>
      <c r="J472" s="169" t="s">
        <v>1163</v>
      </c>
      <c r="K472" s="130"/>
      <c r="L472" s="169" t="s">
        <v>1163</v>
      </c>
      <c r="M472" s="130"/>
      <c r="N472" s="169" t="s">
        <v>1163</v>
      </c>
      <c r="O472" s="130"/>
    </row>
    <row r="473" spans="1:15" ht="12.95" customHeight="1">
      <c r="A473" s="12" t="s">
        <v>449</v>
      </c>
      <c r="B473" s="169" t="s">
        <v>1163</v>
      </c>
      <c r="C473" s="130"/>
      <c r="D473" s="169" t="s">
        <v>1163</v>
      </c>
      <c r="E473" s="130"/>
      <c r="F473" s="169" t="s">
        <v>1163</v>
      </c>
      <c r="G473" s="130"/>
      <c r="H473" s="169" t="s">
        <v>1163</v>
      </c>
      <c r="I473" s="130"/>
      <c r="J473" s="169" t="s">
        <v>1163</v>
      </c>
      <c r="K473" s="130"/>
      <c r="L473" s="169" t="s">
        <v>1163</v>
      </c>
      <c r="M473" s="130"/>
      <c r="N473" s="169" t="s">
        <v>1163</v>
      </c>
      <c r="O473" s="130"/>
    </row>
    <row r="474" spans="1:15" ht="12.95" customHeight="1">
      <c r="A474" s="12"/>
      <c r="B474" s="129"/>
      <c r="C474" s="130"/>
      <c r="D474" s="129"/>
      <c r="E474" s="130"/>
      <c r="F474" s="129"/>
      <c r="G474" s="130"/>
      <c r="H474" s="129"/>
      <c r="I474" s="130"/>
      <c r="J474" s="129"/>
      <c r="K474" s="130"/>
      <c r="L474" s="129"/>
      <c r="M474" s="130"/>
      <c r="N474" s="129"/>
      <c r="O474" s="130"/>
    </row>
    <row r="475" spans="1:15" ht="12.95" customHeight="1">
      <c r="A475" s="12" t="s">
        <v>450</v>
      </c>
      <c r="B475" s="169" t="s">
        <v>1163</v>
      </c>
      <c r="C475" s="130"/>
      <c r="D475" s="169" t="s">
        <v>1163</v>
      </c>
      <c r="E475" s="130"/>
      <c r="F475" s="169" t="s">
        <v>1163</v>
      </c>
      <c r="G475" s="130"/>
      <c r="H475" s="169" t="s">
        <v>1163</v>
      </c>
      <c r="I475" s="130"/>
      <c r="J475" s="169" t="s">
        <v>1163</v>
      </c>
      <c r="K475" s="130"/>
      <c r="L475" s="169" t="s">
        <v>1163</v>
      </c>
      <c r="M475" s="130"/>
      <c r="N475" s="169" t="s">
        <v>1163</v>
      </c>
      <c r="O475" s="130"/>
    </row>
    <row r="476" spans="1:15" ht="12.95" customHeight="1">
      <c r="A476" s="12" t="s">
        <v>451</v>
      </c>
      <c r="B476" s="169" t="s">
        <v>1163</v>
      </c>
      <c r="C476" s="130"/>
      <c r="D476" s="169" t="s">
        <v>1163</v>
      </c>
      <c r="E476" s="130"/>
      <c r="F476" s="169" t="s">
        <v>1163</v>
      </c>
      <c r="G476" s="130"/>
      <c r="H476" s="169" t="s">
        <v>1163</v>
      </c>
      <c r="I476" s="130"/>
      <c r="J476" s="169" t="s">
        <v>1163</v>
      </c>
      <c r="K476" s="130"/>
      <c r="L476" s="169" t="s">
        <v>1163</v>
      </c>
      <c r="M476" s="130"/>
      <c r="N476" s="169" t="s">
        <v>1163</v>
      </c>
      <c r="O476" s="130"/>
    </row>
    <row r="477" spans="1:15" ht="12.95" customHeight="1">
      <c r="A477" s="12" t="s">
        <v>452</v>
      </c>
      <c r="B477" s="169" t="s">
        <v>1163</v>
      </c>
      <c r="C477" s="130"/>
      <c r="D477" s="169" t="s">
        <v>1163</v>
      </c>
      <c r="E477" s="130"/>
      <c r="F477" s="169" t="s">
        <v>1163</v>
      </c>
      <c r="G477" s="130"/>
      <c r="H477" s="169" t="s">
        <v>1163</v>
      </c>
      <c r="I477" s="130"/>
      <c r="J477" s="169" t="s">
        <v>1163</v>
      </c>
      <c r="K477" s="130"/>
      <c r="L477" s="169" t="s">
        <v>1163</v>
      </c>
      <c r="M477" s="130"/>
      <c r="N477" s="169" t="s">
        <v>1163</v>
      </c>
      <c r="O477" s="130"/>
    </row>
    <row r="478" spans="1:15" ht="12.95" customHeight="1">
      <c r="A478" s="11" t="s">
        <v>453</v>
      </c>
      <c r="B478" s="609" t="s">
        <v>1163</v>
      </c>
      <c r="C478" s="65"/>
      <c r="D478" s="609" t="s">
        <v>1163</v>
      </c>
      <c r="E478" s="65"/>
      <c r="F478" s="609" t="s">
        <v>1163</v>
      </c>
      <c r="G478" s="65"/>
      <c r="H478" s="609" t="s">
        <v>1163</v>
      </c>
      <c r="I478" s="65"/>
      <c r="J478" s="609" t="s">
        <v>1163</v>
      </c>
      <c r="K478" s="65"/>
      <c r="L478" s="609" t="s">
        <v>1163</v>
      </c>
      <c r="M478" s="65"/>
      <c r="N478" s="609" t="s">
        <v>1163</v>
      </c>
      <c r="O478" s="65"/>
    </row>
    <row r="479" spans="1:15" ht="30" customHeight="1">
      <c r="A479" s="628" t="s">
        <v>323</v>
      </c>
      <c r="B479" s="628"/>
      <c r="C479" s="628"/>
      <c r="D479" s="628"/>
      <c r="E479" s="628"/>
      <c r="F479" s="628"/>
      <c r="G479" s="628"/>
      <c r="H479" s="628"/>
      <c r="I479" s="628"/>
      <c r="J479" s="628"/>
      <c r="K479" s="628"/>
      <c r="L479" s="628"/>
      <c r="M479" s="628"/>
      <c r="N479" s="628"/>
      <c r="O479" s="628"/>
    </row>
    <row r="480" spans="1:15">
      <c r="O480" s="244" t="s">
        <v>1166</v>
      </c>
    </row>
    <row r="481" spans="1:19" ht="18">
      <c r="A481" s="618" t="s">
        <v>792</v>
      </c>
      <c r="B481" s="618"/>
      <c r="C481" s="618"/>
      <c r="D481" s="618"/>
      <c r="E481" s="618"/>
      <c r="F481" s="618"/>
      <c r="G481" s="618"/>
      <c r="H481" s="618"/>
      <c r="I481" s="618"/>
      <c r="J481" s="618"/>
      <c r="K481" s="618"/>
      <c r="L481" s="618"/>
      <c r="M481" s="618"/>
      <c r="N481" s="618"/>
      <c r="O481" s="618"/>
    </row>
    <row r="482" spans="1:19">
      <c r="A482" s="23"/>
      <c r="B482" s="5"/>
      <c r="C482" s="5"/>
      <c r="D482" s="5"/>
      <c r="E482" s="5"/>
      <c r="F482" s="5"/>
      <c r="G482" s="5"/>
      <c r="H482" s="5"/>
      <c r="I482" s="159"/>
      <c r="J482" s="5"/>
      <c r="K482" s="5"/>
      <c r="L482" s="5"/>
      <c r="M482" s="159"/>
      <c r="N482" s="5"/>
      <c r="O482" s="159"/>
    </row>
    <row r="483" spans="1:19">
      <c r="A483" s="619" t="s">
        <v>454</v>
      </c>
      <c r="B483" s="619"/>
      <c r="C483" s="619"/>
      <c r="D483" s="619"/>
      <c r="E483" s="619"/>
      <c r="F483" s="619"/>
      <c r="G483" s="619"/>
      <c r="H483" s="619"/>
      <c r="I483" s="619"/>
      <c r="J483" s="619"/>
      <c r="K483" s="619"/>
      <c r="L483" s="619"/>
      <c r="M483" s="619"/>
      <c r="N483" s="619"/>
      <c r="O483" s="619"/>
    </row>
    <row r="484" spans="1:19">
      <c r="A484" s="619" t="s">
        <v>1147</v>
      </c>
      <c r="B484" s="619"/>
      <c r="C484" s="619"/>
      <c r="D484" s="619"/>
      <c r="E484" s="619"/>
      <c r="F484" s="619"/>
      <c r="G484" s="619"/>
      <c r="H484" s="619"/>
      <c r="I484" s="619"/>
      <c r="J484" s="619"/>
      <c r="K484" s="619"/>
      <c r="L484" s="619"/>
      <c r="M484" s="619"/>
      <c r="N484" s="619"/>
      <c r="O484" s="619"/>
    </row>
    <row r="485" spans="1:19">
      <c r="A485" s="12"/>
      <c r="B485" s="5"/>
      <c r="C485" s="5"/>
      <c r="D485" s="5"/>
      <c r="E485" s="5"/>
      <c r="F485" s="5"/>
      <c r="G485" s="5"/>
      <c r="H485" s="5"/>
      <c r="I485" s="159"/>
      <c r="J485" s="5"/>
      <c r="K485" s="5"/>
      <c r="L485" s="5"/>
      <c r="M485" s="159"/>
      <c r="N485" s="5"/>
      <c r="O485" s="159"/>
    </row>
    <row r="486" spans="1:19" ht="31.5" customHeight="1">
      <c r="A486" s="15"/>
      <c r="B486" s="21" t="s">
        <v>332</v>
      </c>
      <c r="C486" s="22"/>
      <c r="D486" s="141" t="s">
        <v>333</v>
      </c>
      <c r="E486" s="142"/>
      <c r="F486" s="141" t="s">
        <v>334</v>
      </c>
      <c r="G486" s="142"/>
      <c r="H486" s="21" t="s">
        <v>335</v>
      </c>
      <c r="I486" s="225"/>
      <c r="J486" s="141" t="s">
        <v>461</v>
      </c>
      <c r="K486" s="142"/>
      <c r="L486" s="22" t="s">
        <v>314</v>
      </c>
      <c r="M486" s="225"/>
      <c r="N486" s="22" t="s">
        <v>316</v>
      </c>
      <c r="O486" s="225"/>
    </row>
    <row r="487" spans="1:19">
      <c r="A487" s="25"/>
      <c r="B487" s="19" t="s">
        <v>336</v>
      </c>
      <c r="C487" s="18" t="s">
        <v>427</v>
      </c>
      <c r="D487" s="19" t="s">
        <v>336</v>
      </c>
      <c r="E487" s="18" t="s">
        <v>427</v>
      </c>
      <c r="F487" s="19" t="s">
        <v>336</v>
      </c>
      <c r="G487" s="18" t="s">
        <v>427</v>
      </c>
      <c r="H487" s="19" t="s">
        <v>336</v>
      </c>
      <c r="I487" s="226" t="s">
        <v>427</v>
      </c>
      <c r="J487" s="19" t="s">
        <v>336</v>
      </c>
      <c r="K487" s="18" t="s">
        <v>427</v>
      </c>
      <c r="L487" s="19" t="s">
        <v>336</v>
      </c>
      <c r="M487" s="226" t="s">
        <v>427</v>
      </c>
      <c r="N487" s="19" t="s">
        <v>336</v>
      </c>
      <c r="O487" s="226" t="s">
        <v>427</v>
      </c>
    </row>
    <row r="488" spans="1:19" s="156" customFormat="1" ht="18" customHeight="1">
      <c r="A488" s="168" t="s">
        <v>456</v>
      </c>
      <c r="B488" s="172">
        <f>+GETPIVOTDATA(" New Prof avg",'Averages Pivot Table'!$A$3,"Category2","Technical Institutes")</f>
        <v>45853.201814814813</v>
      </c>
      <c r="C488" s="172"/>
      <c r="D488" s="172">
        <f>+GETPIVOTDATA(" New Asc. avg",'Averages Pivot Table'!$A$3,"Category2","Technical Institutes")</f>
        <v>45923.7217704918</v>
      </c>
      <c r="E488" s="172"/>
      <c r="F488" s="172">
        <f>+GETPIVOTDATA(" New Ast. avg",'Averages Pivot Table'!$A$3,"Category2","Technical Institutes")</f>
        <v>43218.397081578943</v>
      </c>
      <c r="G488" s="172"/>
      <c r="H488" s="172">
        <f>+GETPIVOTDATA(" New Inst. avg",'Averages Pivot Table'!$A$3,"Category2","Technical Institutes")</f>
        <v>38790.093369404196</v>
      </c>
      <c r="I488" s="229"/>
      <c r="J488" s="172">
        <f>+GETPIVOTDATA(" New Undesg. avg",'Averages Pivot Table'!$A$3,"Category2","Technical Institutes")</f>
        <v>26200</v>
      </c>
      <c r="K488" s="172"/>
      <c r="L488" s="172">
        <f>+GETPIVOTDATA(" New Single Rnk avg",'Averages Pivot Table'!$A$3,"Category2","Technical Institutes")</f>
        <v>44779.090365721706</v>
      </c>
      <c r="M488" s="229"/>
      <c r="N488" s="172">
        <f>+GETPIVOTDATA(" New All Ranks avg",'Averages Pivot Table'!$A$3,"Category2","Technical Institutes")</f>
        <v>44097.216963692648</v>
      </c>
      <c r="O488" s="216"/>
      <c r="Q488" s="193"/>
      <c r="R488" s="193"/>
      <c r="S488" s="193"/>
    </row>
    <row r="489" spans="1:19" ht="12.95" customHeight="1">
      <c r="A489" s="12"/>
      <c r="B489" s="9"/>
      <c r="C489" s="17"/>
      <c r="D489" s="9"/>
      <c r="E489" s="17"/>
      <c r="F489" s="9"/>
      <c r="G489" s="17"/>
      <c r="H489" s="9"/>
      <c r="I489" s="233"/>
      <c r="J489" s="9"/>
      <c r="K489" s="17"/>
      <c r="L489" s="9"/>
      <c r="M489" s="233"/>
      <c r="N489" s="9"/>
      <c r="O489" s="217"/>
    </row>
    <row r="490" spans="1:19" ht="12.95" customHeight="1">
      <c r="A490" s="12" t="s">
        <v>439</v>
      </c>
      <c r="B490" s="62">
        <f>+GETPIVOTDATA(" New Prof avg",'Averages Pivot Table'!$A$3,"State","AL","Category2","Technical Institutes")</f>
        <v>0</v>
      </c>
      <c r="C490" s="130">
        <f>IF(B490&gt;0,(RANK(B490,B$490:B$508)),0)</f>
        <v>0</v>
      </c>
      <c r="D490" s="62">
        <f>+GETPIVOTDATA(" New Asc. avg",'Averages Pivot Table'!$A$3,"State","AL","Category2","Technical Institutes")</f>
        <v>0</v>
      </c>
      <c r="E490" s="130">
        <f>IF(D490&gt;0,(RANK(D490,D$490:D$508)),0)</f>
        <v>0</v>
      </c>
      <c r="F490" s="62">
        <f>+GETPIVOTDATA(" New Ast. avg",'Averages Pivot Table'!$A$3,"State","AL","Category2","Technical Institutes")</f>
        <v>0</v>
      </c>
      <c r="G490" s="130">
        <f t="shared" ref="G490:G508" si="67">IF(F490&gt;0,(RANK(F490,F$490:F$508)),0)</f>
        <v>0</v>
      </c>
      <c r="H490" s="62">
        <f>+GETPIVOTDATA(" New Inst. avg",'Averages Pivot Table'!$A$3,"State","AL","Category2","Technical Institutes")</f>
        <v>0</v>
      </c>
      <c r="I490" s="201">
        <f t="shared" ref="I490:I508" si="68">IF(H490&gt;0,(RANK(H490,H$490:H$508)),0)</f>
        <v>0</v>
      </c>
      <c r="J490" s="62">
        <f>+GETPIVOTDATA(" New Undesg. avg",'Averages Pivot Table'!$A$3,"State","AL","Category2","Technical Institutes")</f>
        <v>0</v>
      </c>
      <c r="K490" s="130">
        <f t="shared" ref="K490:K508" si="69">IF(J490&gt;0,(RANK(J490,J$490:J$508)),0)</f>
        <v>0</v>
      </c>
      <c r="L490" s="62">
        <f>+GETPIVOTDATA(" New Single Rnk avg",'Averages Pivot Table'!$A$3,"State","AL","Category2","Technical Institutes")</f>
        <v>53421.884542857144</v>
      </c>
      <c r="M490" s="201">
        <f t="shared" ref="M490:M508" si="70">IF(L490&gt;0,(RANK(L490,L$490:L$508)),0)</f>
        <v>1</v>
      </c>
      <c r="N490" s="62">
        <f>+GETPIVOTDATA(" New All Ranks avg",'Averages Pivot Table'!$A$3,"State","AL","Category2","Technical Institutes")</f>
        <v>53421.884542857144</v>
      </c>
      <c r="O490" s="201">
        <f t="shared" ref="O490:O508" si="71">IF(N490&gt;0,(RANK(N490,N$490:N$508)),0)</f>
        <v>1</v>
      </c>
    </row>
    <row r="491" spans="1:19" ht="12.95" customHeight="1">
      <c r="A491" s="12" t="s">
        <v>440</v>
      </c>
      <c r="B491" s="62">
        <f>+GETPIVOTDATA(" New Prof avg",'Averages Pivot Table'!$A$3,"State","AR","Category2","Technical Institutes")</f>
        <v>0</v>
      </c>
      <c r="C491" s="130">
        <f t="shared" ref="C491:E508" si="72">IF(B491&gt;0,(RANK(B491,B$490:B$508)),0)</f>
        <v>0</v>
      </c>
      <c r="D491" s="62">
        <f>+GETPIVOTDATA(" New Asc. avg",'Averages Pivot Table'!$A$3,"State","AR","Category2","Technical Institutes")</f>
        <v>0</v>
      </c>
      <c r="E491" s="130">
        <f t="shared" si="72"/>
        <v>0</v>
      </c>
      <c r="F491" s="62">
        <f>+GETPIVOTDATA(" New Ast. avg",'Averages Pivot Table'!$A$3,"State","AR","Category2","Technical Institutes")</f>
        <v>0</v>
      </c>
      <c r="G491" s="130">
        <f t="shared" si="67"/>
        <v>0</v>
      </c>
      <c r="H491" s="62">
        <f>+GETPIVOTDATA(" New Inst. avg",'Averages Pivot Table'!$A$3,"State","AR","Category2","Technical Institutes")</f>
        <v>0</v>
      </c>
      <c r="I491" s="201">
        <f t="shared" si="68"/>
        <v>0</v>
      </c>
      <c r="J491" s="62">
        <f>+GETPIVOTDATA(" New Undesg. avg",'Averages Pivot Table'!$A$3,"State","AR","Category2","Technical Institutes")</f>
        <v>0</v>
      </c>
      <c r="K491" s="130">
        <f t="shared" si="69"/>
        <v>0</v>
      </c>
      <c r="L491" s="62">
        <f>+GETPIVOTDATA(" New Single Rnk avg",'Averages Pivot Table'!$A$3,"State","AR","Category2","Technical Institutes")</f>
        <v>0</v>
      </c>
      <c r="M491" s="201">
        <f t="shared" si="70"/>
        <v>0</v>
      </c>
      <c r="N491" s="62">
        <f>+GETPIVOTDATA(" New All Ranks avg",'Averages Pivot Table'!$A$3,"State","AR","Category2","Technical Institutes")</f>
        <v>0</v>
      </c>
      <c r="O491" s="201">
        <f t="shared" si="71"/>
        <v>0</v>
      </c>
    </row>
    <row r="492" spans="1:19" ht="12.95" customHeight="1">
      <c r="A492" s="12" t="s">
        <v>455</v>
      </c>
      <c r="B492" s="62">
        <f>+GETPIVOTDATA(" New Prof avg",'Averages Pivot Table'!$A$3,"State","DE","Category2","Technical Institutes")</f>
        <v>0</v>
      </c>
      <c r="C492" s="130">
        <f t="shared" si="72"/>
        <v>0</v>
      </c>
      <c r="D492" s="62">
        <f>+GETPIVOTDATA(" New Asc. avg",'Averages Pivot Table'!$A$3,"State","DE","Category2","Technical Institutes")</f>
        <v>0</v>
      </c>
      <c r="E492" s="130">
        <f t="shared" si="72"/>
        <v>0</v>
      </c>
      <c r="F492" s="62">
        <f>+GETPIVOTDATA(" New Ast. avg",'Averages Pivot Table'!$A$3,"State","DE","Category2","Technical Institutes")</f>
        <v>0</v>
      </c>
      <c r="G492" s="130">
        <f t="shared" si="67"/>
        <v>0</v>
      </c>
      <c r="H492" s="62">
        <f>+GETPIVOTDATA(" New Inst. avg",'Averages Pivot Table'!$A$3,"State","DE","Category2","Technical Institutes")</f>
        <v>0</v>
      </c>
      <c r="I492" s="201">
        <f t="shared" si="68"/>
        <v>0</v>
      </c>
      <c r="J492" s="62">
        <f>+GETPIVOTDATA(" New Undesg. avg",'Averages Pivot Table'!$A$3,"State","DE","Category2","Technical Institutes")</f>
        <v>0</v>
      </c>
      <c r="K492" s="130">
        <f t="shared" si="69"/>
        <v>0</v>
      </c>
      <c r="L492" s="62">
        <f>+GETPIVOTDATA(" New Single Rnk avg",'Averages Pivot Table'!$A$3,"State","DE","Category2","Technical Institutes")</f>
        <v>0</v>
      </c>
      <c r="M492" s="201">
        <f t="shared" si="70"/>
        <v>0</v>
      </c>
      <c r="N492" s="62">
        <f>+GETPIVOTDATA(" New All Ranks avg",'Averages Pivot Table'!$A$3,"State","DE","Category2","Technical Institutes")</f>
        <v>0</v>
      </c>
      <c r="O492" s="201">
        <f t="shared" si="71"/>
        <v>0</v>
      </c>
    </row>
    <row r="493" spans="1:19" ht="12.95" customHeight="1">
      <c r="A493" s="12" t="s">
        <v>441</v>
      </c>
      <c r="B493" s="62">
        <f>+GETPIVOTDATA(" New Prof avg",'Averages Pivot Table'!$A$3,"State","FL","Category2","Technical Institutes")</f>
        <v>0</v>
      </c>
      <c r="C493" s="130">
        <f t="shared" si="72"/>
        <v>0</v>
      </c>
      <c r="D493" s="62">
        <f>+GETPIVOTDATA(" New Asc. avg",'Averages Pivot Table'!$A$3,"State","FL","Category2","Technical Institutes")</f>
        <v>0</v>
      </c>
      <c r="E493" s="130">
        <f t="shared" si="72"/>
        <v>0</v>
      </c>
      <c r="F493" s="62">
        <f>+GETPIVOTDATA(" New Ast. avg",'Averages Pivot Table'!$A$3,"State","FL","Category2","Technical Institutes")</f>
        <v>0</v>
      </c>
      <c r="G493" s="130">
        <f t="shared" si="67"/>
        <v>0</v>
      </c>
      <c r="H493" s="62">
        <f>+GETPIVOTDATA(" New Inst. avg",'Averages Pivot Table'!$A$3,"State","FL","Category2","Technical Institutes")</f>
        <v>0</v>
      </c>
      <c r="I493" s="201">
        <f t="shared" si="68"/>
        <v>0</v>
      </c>
      <c r="J493" s="62">
        <f>+GETPIVOTDATA(" New Undesg. avg",'Averages Pivot Table'!$A$3,"State","FL","Category2","Technical Institutes")</f>
        <v>0</v>
      </c>
      <c r="K493" s="130">
        <f t="shared" si="69"/>
        <v>0</v>
      </c>
      <c r="L493" s="62">
        <f>+GETPIVOTDATA(" New Single Rnk avg",'Averages Pivot Table'!$A$3,"State","FL","Category2","Technical Institutes")</f>
        <v>0</v>
      </c>
      <c r="M493" s="201">
        <f t="shared" si="70"/>
        <v>0</v>
      </c>
      <c r="N493" s="62">
        <f>+GETPIVOTDATA(" New All Ranks avg",'Averages Pivot Table'!$A$3,"State","FL","Category2","Technical Institutes")</f>
        <v>0</v>
      </c>
      <c r="O493" s="201">
        <f t="shared" si="71"/>
        <v>0</v>
      </c>
    </row>
    <row r="494" spans="1:19" ht="12.95" customHeight="1">
      <c r="A494" s="12"/>
      <c r="B494" s="62"/>
      <c r="C494" s="130">
        <f t="shared" si="72"/>
        <v>0</v>
      </c>
      <c r="D494" s="62"/>
      <c r="E494" s="130">
        <f t="shared" si="72"/>
        <v>0</v>
      </c>
      <c r="F494" s="62"/>
      <c r="G494" s="130">
        <f t="shared" si="67"/>
        <v>0</v>
      </c>
      <c r="H494" s="62"/>
      <c r="I494" s="201">
        <f t="shared" si="68"/>
        <v>0</v>
      </c>
      <c r="J494" s="62"/>
      <c r="K494" s="130">
        <f t="shared" si="69"/>
        <v>0</v>
      </c>
      <c r="L494" s="62"/>
      <c r="M494" s="201">
        <f t="shared" si="70"/>
        <v>0</v>
      </c>
      <c r="N494" s="62"/>
      <c r="O494" s="201">
        <f t="shared" si="71"/>
        <v>0</v>
      </c>
    </row>
    <row r="495" spans="1:19" ht="12.95" customHeight="1">
      <c r="A495" s="12" t="s">
        <v>442</v>
      </c>
      <c r="B495" s="62">
        <f>+GETPIVOTDATA(" New Prof avg",'Averages Pivot Table'!$A$3,"State","GA","Category2","Technical Institutes")</f>
        <v>0</v>
      </c>
      <c r="C495" s="130">
        <f t="shared" si="72"/>
        <v>0</v>
      </c>
      <c r="D495" s="62">
        <f>+GETPIVOTDATA(" New Asc. avg",'Averages Pivot Table'!$A$3,"State","GA","Category2","Technical Institutes")</f>
        <v>0</v>
      </c>
      <c r="E495" s="130">
        <f t="shared" si="72"/>
        <v>0</v>
      </c>
      <c r="F495" s="62">
        <f>+GETPIVOTDATA(" New Ast. avg",'Averages Pivot Table'!$A$3,"State","GA","Category2","Technical Institutes")</f>
        <v>0</v>
      </c>
      <c r="G495" s="130">
        <f t="shared" si="67"/>
        <v>0</v>
      </c>
      <c r="H495" s="62">
        <f>+GETPIVOTDATA(" New Inst. avg",'Averages Pivot Table'!$A$3,"State","GA","Category2","Technical Institutes")</f>
        <v>0</v>
      </c>
      <c r="I495" s="201">
        <f t="shared" si="68"/>
        <v>0</v>
      </c>
      <c r="J495" s="62">
        <f>+GETPIVOTDATA(" New Undesg. avg",'Averages Pivot Table'!$A$3,"State","GA","Category2","Technical Institutes")</f>
        <v>0</v>
      </c>
      <c r="K495" s="130">
        <f t="shared" si="69"/>
        <v>0</v>
      </c>
      <c r="L495" s="62">
        <f>+GETPIVOTDATA(" New Single Rnk avg",'Averages Pivot Table'!$A$3,"State","GA","Category2","Technical Institutes")</f>
        <v>45023.665847234421</v>
      </c>
      <c r="M495" s="201">
        <f t="shared" si="70"/>
        <v>3</v>
      </c>
      <c r="N495" s="62">
        <f>+GETPIVOTDATA(" New All Ranks avg",'Averages Pivot Table'!$A$3,"State","GA","Category2","Technical Institutes")</f>
        <v>45023.665847234421</v>
      </c>
      <c r="O495" s="201">
        <f t="shared" si="71"/>
        <v>3</v>
      </c>
    </row>
    <row r="496" spans="1:19" ht="12.95" customHeight="1">
      <c r="A496" s="12" t="s">
        <v>443</v>
      </c>
      <c r="B496" s="62">
        <f>+GETPIVOTDATA(" New Prof avg",'Averages Pivot Table'!$A$3,"State","KY","Category2","Technical Institutes")</f>
        <v>61578.059739999997</v>
      </c>
      <c r="C496" s="130">
        <f t="shared" si="72"/>
        <v>1</v>
      </c>
      <c r="D496" s="62">
        <f>+GETPIVOTDATA(" New Asc. avg",'Averages Pivot Table'!$A$3,"State","KY","Category2","Technical Institutes")</f>
        <v>49410.908539999997</v>
      </c>
      <c r="E496" s="130">
        <f t="shared" si="72"/>
        <v>1</v>
      </c>
      <c r="F496" s="62">
        <f>+GETPIVOTDATA(" New Ast. avg",'Averages Pivot Table'!$A$3,"State","KY","Category2","Technical Institutes")</f>
        <v>44244.25603783784</v>
      </c>
      <c r="G496" s="130">
        <f t="shared" si="67"/>
        <v>1</v>
      </c>
      <c r="H496" s="62">
        <f>+GETPIVOTDATA(" New Inst. avg",'Averages Pivot Table'!$A$3,"State","KY","Category2","Technical Institutes")</f>
        <v>38518.710143661971</v>
      </c>
      <c r="I496" s="201">
        <f t="shared" si="68"/>
        <v>2</v>
      </c>
      <c r="J496" s="62">
        <f>+GETPIVOTDATA(" New Undesg. avg",'Averages Pivot Table'!$A$3,"State","KY","Category2","Technical Institutes")</f>
        <v>0</v>
      </c>
      <c r="K496" s="130">
        <f t="shared" si="69"/>
        <v>0</v>
      </c>
      <c r="L496" s="62">
        <f>+GETPIVOTDATA(" New Single Rnk avg",'Averages Pivot Table'!$A$3,"State","KY","Category2","Technical Institutes")</f>
        <v>0</v>
      </c>
      <c r="M496" s="201">
        <f t="shared" si="70"/>
        <v>0</v>
      </c>
      <c r="N496" s="62">
        <f>+GETPIVOTDATA(" New All Ranks avg",'Averages Pivot Table'!$A$3,"State","KY","Category2","Technical Institutes")</f>
        <v>44076.473624050632</v>
      </c>
      <c r="O496" s="201">
        <f t="shared" si="71"/>
        <v>4</v>
      </c>
    </row>
    <row r="497" spans="1:15" ht="12.95" customHeight="1">
      <c r="A497" s="12" t="s">
        <v>444</v>
      </c>
      <c r="B497" s="62">
        <f>+GETPIVOTDATA(" New Prof avg",'Averages Pivot Table'!$A$3,"State","LA","Category2","Technical Institutes")</f>
        <v>44248.624475510202</v>
      </c>
      <c r="C497" s="130">
        <f t="shared" si="72"/>
        <v>2</v>
      </c>
      <c r="D497" s="62">
        <f>+GETPIVOTDATA(" New Asc. avg",'Averages Pivot Table'!$A$3,"State","LA","Category2","Technical Institutes")</f>
        <v>39281.461257142859</v>
      </c>
      <c r="E497" s="130">
        <f t="shared" si="72"/>
        <v>2</v>
      </c>
      <c r="F497" s="62">
        <f>+GETPIVOTDATA(" New Ast. avg",'Averages Pivot Table'!$A$3,"State","LA","Category2","Technical Institutes")</f>
        <v>42245.146276923078</v>
      </c>
      <c r="G497" s="130">
        <f t="shared" si="67"/>
        <v>2</v>
      </c>
      <c r="H497" s="62">
        <f>+GETPIVOTDATA(" New Inst. avg",'Averages Pivot Table'!$A$3,"State","LA","Category2","Technical Institutes")</f>
        <v>38825.126476727281</v>
      </c>
      <c r="I497" s="201">
        <f t="shared" si="68"/>
        <v>1</v>
      </c>
      <c r="J497" s="62">
        <f>+GETPIVOTDATA(" New Undesg. avg",'Averages Pivot Table'!$A$3,"State","LA","Category2","Technical Institutes")</f>
        <v>26200</v>
      </c>
      <c r="K497" s="130">
        <f t="shared" si="69"/>
        <v>1</v>
      </c>
      <c r="L497" s="62">
        <f>+GETPIVOTDATA(" New Single Rnk avg",'Averages Pivot Table'!$A$3,"State","LA","Category2","Technical Institutes")</f>
        <v>40167.582183206105</v>
      </c>
      <c r="M497" s="201">
        <f t="shared" si="70"/>
        <v>4</v>
      </c>
      <c r="N497" s="62">
        <f>+GETPIVOTDATA(" New All Ranks avg",'Averages Pivot Table'!$A$3,"State","LA","Category2","Technical Institutes")</f>
        <v>39888.010683912697</v>
      </c>
      <c r="O497" s="201">
        <f t="shared" si="71"/>
        <v>5</v>
      </c>
    </row>
    <row r="498" spans="1:15" ht="12.95" customHeight="1">
      <c r="A498" s="12" t="s">
        <v>445</v>
      </c>
      <c r="B498" s="62">
        <f>+GETPIVOTDATA(" New Prof avg",'Averages Pivot Table'!$A$3,"State","MD","Category2","Technical Institutes")</f>
        <v>0</v>
      </c>
      <c r="C498" s="130">
        <f t="shared" si="72"/>
        <v>0</v>
      </c>
      <c r="D498" s="62">
        <f>+GETPIVOTDATA(" New Asc. avg",'Averages Pivot Table'!$A$3,"State","MD","Category2","Technical Institutes")</f>
        <v>0</v>
      </c>
      <c r="E498" s="130">
        <f t="shared" si="72"/>
        <v>0</v>
      </c>
      <c r="F498" s="62">
        <f>+GETPIVOTDATA(" New Ast. avg",'Averages Pivot Table'!$A$3,"State","MD","Category2","Technical Institutes")</f>
        <v>0</v>
      </c>
      <c r="G498" s="130">
        <f t="shared" si="67"/>
        <v>0</v>
      </c>
      <c r="H498" s="62">
        <f>+GETPIVOTDATA(" New Inst. avg",'Averages Pivot Table'!$A$3,"State","MD","Category2","Technical Institutes")</f>
        <v>0</v>
      </c>
      <c r="I498" s="201">
        <f t="shared" si="68"/>
        <v>0</v>
      </c>
      <c r="J498" s="62">
        <f>+GETPIVOTDATA(" New Undesg. avg",'Averages Pivot Table'!$A$3,"State","MD","Category2","Technical Institutes")</f>
        <v>0</v>
      </c>
      <c r="K498" s="130">
        <f t="shared" si="69"/>
        <v>0</v>
      </c>
      <c r="L498" s="62">
        <f>+GETPIVOTDATA(" New Single Rnk avg",'Averages Pivot Table'!$A$3,"State","MD","Category2","Technical Institutes")</f>
        <v>0</v>
      </c>
      <c r="M498" s="201">
        <f t="shared" si="70"/>
        <v>0</v>
      </c>
      <c r="N498" s="62">
        <f>+GETPIVOTDATA(" New All Ranks avg",'Averages Pivot Table'!$A$3,"State","MD","Category2","Technical Institutes")</f>
        <v>0</v>
      </c>
      <c r="O498" s="201">
        <f t="shared" si="71"/>
        <v>0</v>
      </c>
    </row>
    <row r="499" spans="1:15" ht="12.95" customHeight="1">
      <c r="A499" s="12"/>
      <c r="B499" s="62"/>
      <c r="C499" s="130">
        <f t="shared" si="72"/>
        <v>0</v>
      </c>
      <c r="D499" s="62"/>
      <c r="E499" s="130">
        <f t="shared" si="72"/>
        <v>0</v>
      </c>
      <c r="F499" s="62"/>
      <c r="G499" s="130">
        <f t="shared" si="67"/>
        <v>0</v>
      </c>
      <c r="H499" s="62"/>
      <c r="I499" s="201">
        <f t="shared" si="68"/>
        <v>0</v>
      </c>
      <c r="J499" s="62"/>
      <c r="K499" s="130">
        <f t="shared" si="69"/>
        <v>0</v>
      </c>
      <c r="L499" s="62"/>
      <c r="M499" s="201">
        <f t="shared" si="70"/>
        <v>0</v>
      </c>
      <c r="N499" s="62"/>
      <c r="O499" s="201">
        <f t="shared" si="71"/>
        <v>0</v>
      </c>
    </row>
    <row r="500" spans="1:15" ht="12.95" customHeight="1">
      <c r="A500" s="12" t="s">
        <v>446</v>
      </c>
      <c r="B500" s="62">
        <f>+GETPIVOTDATA(" New Prof avg",'Averages Pivot Table'!$A$3,"State","MS","Category2","Technical Institutes")</f>
        <v>0</v>
      </c>
      <c r="C500" s="130">
        <f t="shared" si="72"/>
        <v>0</v>
      </c>
      <c r="D500" s="62">
        <f>+GETPIVOTDATA(" New Asc. avg",'Averages Pivot Table'!$A$3,"State","MS","Category2","Technical Institutes")</f>
        <v>0</v>
      </c>
      <c r="E500" s="130">
        <f t="shared" si="72"/>
        <v>0</v>
      </c>
      <c r="F500" s="62">
        <f>+GETPIVOTDATA(" New Ast. avg",'Averages Pivot Table'!$A$3,"State","MS","Category2","Technical Institutes")</f>
        <v>0</v>
      </c>
      <c r="G500" s="130">
        <f t="shared" si="67"/>
        <v>0</v>
      </c>
      <c r="H500" s="62">
        <f>+GETPIVOTDATA(" New Inst. avg",'Averages Pivot Table'!$A$3,"State","MS","Category2","Technical Institutes")</f>
        <v>0</v>
      </c>
      <c r="I500" s="201">
        <f t="shared" si="68"/>
        <v>0</v>
      </c>
      <c r="J500" s="62">
        <f>+GETPIVOTDATA(" New Undesg. avg",'Averages Pivot Table'!$A$3,"State","MS","Category2","Technical Institutes")</f>
        <v>0</v>
      </c>
      <c r="K500" s="130">
        <f t="shared" si="69"/>
        <v>0</v>
      </c>
      <c r="L500" s="62">
        <f>+GETPIVOTDATA(" New Single Rnk avg",'Averages Pivot Table'!$A$3,"State","MS","Category2","Technical Institutes")</f>
        <v>0</v>
      </c>
      <c r="M500" s="201">
        <f t="shared" si="70"/>
        <v>0</v>
      </c>
      <c r="N500" s="62">
        <f>+GETPIVOTDATA(" New All Ranks avg",'Averages Pivot Table'!$A$3,"State","MS","Category2","Technical Institutes")</f>
        <v>0</v>
      </c>
      <c r="O500" s="201">
        <f t="shared" si="71"/>
        <v>0</v>
      </c>
    </row>
    <row r="501" spans="1:15" ht="12.95" customHeight="1">
      <c r="A501" s="12" t="s">
        <v>447</v>
      </c>
      <c r="B501" s="62">
        <f>+GETPIVOTDATA(" New Prof avg",'Averages Pivot Table'!$A$3,"State","NC","Category2","Technical Institutes")</f>
        <v>0</v>
      </c>
      <c r="C501" s="130">
        <f t="shared" si="72"/>
        <v>0</v>
      </c>
      <c r="D501" s="62">
        <f>+GETPIVOTDATA(" New Asc. avg",'Averages Pivot Table'!$A$3,"State","NC","Category2","Technical Institutes")</f>
        <v>0</v>
      </c>
      <c r="E501" s="130">
        <f t="shared" si="72"/>
        <v>0</v>
      </c>
      <c r="F501" s="62">
        <f>+GETPIVOTDATA(" New Ast. avg",'Averages Pivot Table'!$A$3,"State","NC","Category2","Technical Institutes")</f>
        <v>0</v>
      </c>
      <c r="G501" s="130">
        <f t="shared" si="67"/>
        <v>0</v>
      </c>
      <c r="H501" s="62">
        <f>+GETPIVOTDATA(" New Inst. avg",'Averages Pivot Table'!$A$3,"State","NC","Category2","Technical Institutes")</f>
        <v>0</v>
      </c>
      <c r="I501" s="201">
        <f t="shared" si="68"/>
        <v>0</v>
      </c>
      <c r="J501" s="62">
        <f>+GETPIVOTDATA(" New Undesg. avg",'Averages Pivot Table'!$A$3,"State","NC","Category2","Technical Institutes")</f>
        <v>0</v>
      </c>
      <c r="K501" s="130">
        <f t="shared" si="69"/>
        <v>0</v>
      </c>
      <c r="L501" s="62">
        <f>+GETPIVOTDATA(" New Single Rnk avg",'Averages Pivot Table'!$A$3,"State","NC","Category2","Technical Institutes")</f>
        <v>0</v>
      </c>
      <c r="M501" s="201">
        <f t="shared" si="70"/>
        <v>0</v>
      </c>
      <c r="N501" s="62">
        <f>+GETPIVOTDATA(" New All Ranks avg",'Averages Pivot Table'!$A$3,"State","NC","Category2","Technical Institutes")</f>
        <v>0</v>
      </c>
      <c r="O501" s="201">
        <f t="shared" si="71"/>
        <v>0</v>
      </c>
    </row>
    <row r="502" spans="1:15" ht="12.95" customHeight="1">
      <c r="A502" s="12" t="s">
        <v>448</v>
      </c>
      <c r="B502" s="62">
        <f>+GETPIVOTDATA(" New Prof avg",'Averages Pivot Table'!$A$3,"State","OK","Category2","Technical Institutes")</f>
        <v>0</v>
      </c>
      <c r="C502" s="130">
        <f t="shared" si="72"/>
        <v>0</v>
      </c>
      <c r="D502" s="62">
        <f>+GETPIVOTDATA(" New Asc. avg",'Averages Pivot Table'!$A$3,"State","OK","Category2","Technical Institutes")</f>
        <v>0</v>
      </c>
      <c r="E502" s="130">
        <f t="shared" si="72"/>
        <v>0</v>
      </c>
      <c r="F502" s="62">
        <f>+GETPIVOTDATA(" New Ast. avg",'Averages Pivot Table'!$A$3,"State","OK","Category2","Technical Institutes")</f>
        <v>0</v>
      </c>
      <c r="G502" s="130">
        <f t="shared" si="67"/>
        <v>0</v>
      </c>
      <c r="H502" s="62">
        <f>+GETPIVOTDATA(" New Inst. avg",'Averages Pivot Table'!$A$3,"State","OK","Category2","Technical Institutes")</f>
        <v>0</v>
      </c>
      <c r="I502" s="201">
        <f t="shared" si="68"/>
        <v>0</v>
      </c>
      <c r="J502" s="62">
        <f>+GETPIVOTDATA(" New Undesg. avg",'Averages Pivot Table'!$A$3,"State","OK","Category2","Technical Institutes")</f>
        <v>0</v>
      </c>
      <c r="K502" s="130">
        <f t="shared" si="69"/>
        <v>0</v>
      </c>
      <c r="L502" s="62">
        <f>+GETPIVOTDATA(" New Single Rnk avg",'Averages Pivot Table'!$A$3,"State","OK","Category2","Technical Institutes")</f>
        <v>48882.789532329502</v>
      </c>
      <c r="M502" s="201">
        <f t="shared" si="70"/>
        <v>2</v>
      </c>
      <c r="N502" s="62">
        <f>+GETPIVOTDATA(" New All Ranks avg",'Averages Pivot Table'!$A$3,"State","OK","Category2","Technical Institutes")</f>
        <v>48882.789532329502</v>
      </c>
      <c r="O502" s="201">
        <f t="shared" si="71"/>
        <v>2</v>
      </c>
    </row>
    <row r="503" spans="1:15" ht="12.95" customHeight="1">
      <c r="A503" s="12" t="s">
        <v>449</v>
      </c>
      <c r="B503" s="62">
        <f>+GETPIVOTDATA(" New Prof avg",'Averages Pivot Table'!$A$3,"State","SC","Category2","Technical Institutes")</f>
        <v>0</v>
      </c>
      <c r="C503" s="130">
        <f t="shared" si="72"/>
        <v>0</v>
      </c>
      <c r="D503" s="62">
        <f>+GETPIVOTDATA(" New Asc. avg",'Averages Pivot Table'!$A$3,"State","SC","Category2","Technical Institutes")</f>
        <v>0</v>
      </c>
      <c r="E503" s="130">
        <f t="shared" si="72"/>
        <v>0</v>
      </c>
      <c r="F503" s="62">
        <f>+GETPIVOTDATA(" New Ast. avg",'Averages Pivot Table'!$A$3,"State","SC","Category2","Technical Institutes")</f>
        <v>0</v>
      </c>
      <c r="G503" s="130">
        <f t="shared" si="67"/>
        <v>0</v>
      </c>
      <c r="H503" s="62">
        <f>+GETPIVOTDATA(" New Inst. avg",'Averages Pivot Table'!$A$3,"State","SC","Category2","Technical Institutes")</f>
        <v>0</v>
      </c>
      <c r="I503" s="201">
        <f t="shared" si="68"/>
        <v>0</v>
      </c>
      <c r="J503" s="62">
        <f>+GETPIVOTDATA(" New Undesg. avg",'Averages Pivot Table'!$A$3,"State","SC","Category2","Technical Institutes")</f>
        <v>0</v>
      </c>
      <c r="K503" s="130">
        <f t="shared" si="69"/>
        <v>0</v>
      </c>
      <c r="L503" s="62">
        <f>+GETPIVOTDATA(" New Single Rnk avg",'Averages Pivot Table'!$A$3,"State","SC","Category2","Technical Institutes")</f>
        <v>0</v>
      </c>
      <c r="M503" s="201">
        <f t="shared" si="70"/>
        <v>0</v>
      </c>
      <c r="N503" s="62">
        <f>+GETPIVOTDATA(" New All Ranks avg",'Averages Pivot Table'!$A$3,"State","SC","Category2","Technical Institutes")</f>
        <v>0</v>
      </c>
      <c r="O503" s="201">
        <f t="shared" si="71"/>
        <v>0</v>
      </c>
    </row>
    <row r="504" spans="1:15" ht="12.95" customHeight="1">
      <c r="A504" s="12"/>
      <c r="B504" s="62"/>
      <c r="C504" s="130">
        <f t="shared" si="72"/>
        <v>0</v>
      </c>
      <c r="D504" s="62"/>
      <c r="E504" s="130">
        <f t="shared" si="72"/>
        <v>0</v>
      </c>
      <c r="F504" s="62"/>
      <c r="G504" s="130">
        <f t="shared" si="67"/>
        <v>0</v>
      </c>
      <c r="H504" s="62"/>
      <c r="I504" s="201">
        <f t="shared" si="68"/>
        <v>0</v>
      </c>
      <c r="J504" s="62"/>
      <c r="K504" s="130">
        <f t="shared" si="69"/>
        <v>0</v>
      </c>
      <c r="L504" s="62"/>
      <c r="M504" s="201">
        <f t="shared" si="70"/>
        <v>0</v>
      </c>
      <c r="N504" s="62"/>
      <c r="O504" s="201">
        <f t="shared" si="71"/>
        <v>0</v>
      </c>
    </row>
    <row r="505" spans="1:15" ht="12.95" customHeight="1">
      <c r="A505" s="12" t="s">
        <v>450</v>
      </c>
      <c r="B505" s="129">
        <f>+GETPIVOTDATA(" New Prof avg",'Averages Pivot Table'!$A$3,"State","TN","Category2","Technical Institutes")</f>
        <v>0</v>
      </c>
      <c r="C505" s="130">
        <f t="shared" si="72"/>
        <v>0</v>
      </c>
      <c r="D505" s="129">
        <f>+GETPIVOTDATA(" New Asc. avg",'Averages Pivot Table'!$A$3,"State","TN","Category2","Technical Institutes")</f>
        <v>0</v>
      </c>
      <c r="E505" s="130">
        <f t="shared" si="72"/>
        <v>0</v>
      </c>
      <c r="F505" s="129">
        <f>+GETPIVOTDATA(" New Ast. avg",'Averages Pivot Table'!$A$3,"State","TN","Category2","Technical Institutes")</f>
        <v>0</v>
      </c>
      <c r="G505" s="130">
        <f t="shared" si="67"/>
        <v>0</v>
      </c>
      <c r="H505" s="129">
        <f>+GETPIVOTDATA(" New Inst. avg",'Averages Pivot Table'!$A$3,"State","TN","Category2","Technical Institutes")</f>
        <v>0</v>
      </c>
      <c r="I505" s="201">
        <f t="shared" si="68"/>
        <v>0</v>
      </c>
      <c r="J505" s="129">
        <f>+GETPIVOTDATA(" New Undesg. avg",'Averages Pivot Table'!$A$3,"State","TN","Category2","Technical Institutes")</f>
        <v>0</v>
      </c>
      <c r="K505" s="130">
        <f t="shared" si="69"/>
        <v>0</v>
      </c>
      <c r="L505" s="129">
        <f>+GETPIVOTDATA(" New Single Rnk avg",'Averages Pivot Table'!$A$3,"State","TN","Category2","Technical Institutes")</f>
        <v>36905.217244990548</v>
      </c>
      <c r="M505" s="201">
        <f t="shared" si="70"/>
        <v>5</v>
      </c>
      <c r="N505" s="62">
        <f>+GETPIVOTDATA(" New All Ranks avg",'Averages Pivot Table'!$A$3,"State","TN","Category2","Technical Institutes")</f>
        <v>36905.217244990548</v>
      </c>
      <c r="O505" s="201">
        <f t="shared" si="71"/>
        <v>6</v>
      </c>
    </row>
    <row r="506" spans="1:15" ht="12.95" customHeight="1">
      <c r="A506" s="12" t="s">
        <v>451</v>
      </c>
      <c r="B506" s="129">
        <f>+GETPIVOTDATA(" New Prof avg",'Averages Pivot Table'!$A$3,"State","TX","Category2","Technical Institutes")</f>
        <v>0</v>
      </c>
      <c r="C506" s="130">
        <f t="shared" si="72"/>
        <v>0</v>
      </c>
      <c r="D506" s="129">
        <f>+GETPIVOTDATA(" New Asc. avg",'Averages Pivot Table'!$A$3,"State","TX","Category2","Technical Institutes")</f>
        <v>0</v>
      </c>
      <c r="E506" s="130">
        <f t="shared" si="72"/>
        <v>0</v>
      </c>
      <c r="F506" s="129">
        <f>+GETPIVOTDATA(" New Ast. avg",'Averages Pivot Table'!$A$3,"State","TX","Category2","Technical Institutes")</f>
        <v>0</v>
      </c>
      <c r="G506" s="130">
        <f t="shared" si="67"/>
        <v>0</v>
      </c>
      <c r="H506" s="129">
        <f>+GETPIVOTDATA(" New Inst. avg",'Averages Pivot Table'!$A$3,"State","TX","Category2","Technical Institutes")</f>
        <v>0</v>
      </c>
      <c r="I506" s="201">
        <f t="shared" si="68"/>
        <v>0</v>
      </c>
      <c r="J506" s="129">
        <f>+GETPIVOTDATA(" New Undesg. avg",'Averages Pivot Table'!$A$3,"State","TX","Category2","Technical Institutes")</f>
        <v>0</v>
      </c>
      <c r="K506" s="130">
        <f t="shared" si="69"/>
        <v>0</v>
      </c>
      <c r="L506" s="129">
        <f>+GETPIVOTDATA(" New Single Rnk avg",'Averages Pivot Table'!$A$3,"State","TX","Category2","Technical Institutes")</f>
        <v>0</v>
      </c>
      <c r="M506" s="201">
        <f t="shared" si="70"/>
        <v>0</v>
      </c>
      <c r="N506" s="62">
        <f>+GETPIVOTDATA(" New All Ranks avg",'Averages Pivot Table'!$A$3,"State","TX","Category2","Technical Institutes")</f>
        <v>0</v>
      </c>
      <c r="O506" s="201">
        <f t="shared" si="71"/>
        <v>0</v>
      </c>
    </row>
    <row r="507" spans="1:15" ht="12.95" customHeight="1">
      <c r="A507" s="12" t="s">
        <v>452</v>
      </c>
      <c r="B507" s="129">
        <f>+GETPIVOTDATA(" New Prof avg",'Averages Pivot Table'!$A$3,"State","VA","Category2","Technical Institutes")</f>
        <v>0</v>
      </c>
      <c r="C507" s="130">
        <f t="shared" si="72"/>
        <v>0</v>
      </c>
      <c r="D507" s="129">
        <f>+GETPIVOTDATA(" New Asc. avg",'Averages Pivot Table'!$A$3,"State","VA","Category2","Technical Institutes")</f>
        <v>0</v>
      </c>
      <c r="E507" s="130">
        <f t="shared" si="72"/>
        <v>0</v>
      </c>
      <c r="F507" s="129">
        <f>+GETPIVOTDATA(" New Ast. avg",'Averages Pivot Table'!$A$3,"State","VA","Category2","Technical Institutes")</f>
        <v>0</v>
      </c>
      <c r="G507" s="130">
        <f t="shared" si="67"/>
        <v>0</v>
      </c>
      <c r="H507" s="129">
        <f>+GETPIVOTDATA(" New Inst. avg",'Averages Pivot Table'!$A$3,"State","VA","Category2","Technical Institutes")</f>
        <v>0</v>
      </c>
      <c r="I507" s="201">
        <f t="shared" si="68"/>
        <v>0</v>
      </c>
      <c r="J507" s="129">
        <f>+GETPIVOTDATA(" New Undesg. avg",'Averages Pivot Table'!$A$3,"State","VA","Category2","Technical Institutes")</f>
        <v>0</v>
      </c>
      <c r="K507" s="130">
        <f t="shared" si="69"/>
        <v>0</v>
      </c>
      <c r="L507" s="129">
        <f>+GETPIVOTDATA(" New Single Rnk avg",'Averages Pivot Table'!$A$3,"State","VA","Category2","Technical Institutes")</f>
        <v>0</v>
      </c>
      <c r="M507" s="201">
        <f t="shared" si="70"/>
        <v>0</v>
      </c>
      <c r="N507" s="62">
        <f>+GETPIVOTDATA(" New All Ranks avg",'Averages Pivot Table'!$A$3,"State","VA","Category2","Technical Institutes")</f>
        <v>0</v>
      </c>
      <c r="O507" s="201">
        <f t="shared" si="71"/>
        <v>0</v>
      </c>
    </row>
    <row r="508" spans="1:15" ht="12.95" customHeight="1">
      <c r="A508" s="11" t="s">
        <v>453</v>
      </c>
      <c r="B508" s="64">
        <f>+GETPIVOTDATA(" New Prof avg",'Averages Pivot Table'!$A$3,"State","WV","Category2","Technical Institutes")</f>
        <v>0</v>
      </c>
      <c r="C508" s="65">
        <f t="shared" si="72"/>
        <v>0</v>
      </c>
      <c r="D508" s="64">
        <f>+GETPIVOTDATA(" New Asc. avg",'Averages Pivot Table'!$A$3,"State","WV","Category2","Technical Institutes")</f>
        <v>0</v>
      </c>
      <c r="E508" s="65">
        <f t="shared" si="72"/>
        <v>0</v>
      </c>
      <c r="F508" s="64">
        <f>+GETPIVOTDATA(" New Ast. avg",'Averages Pivot Table'!$A$3,"State","WV","Category2","Technical Institutes")</f>
        <v>0</v>
      </c>
      <c r="G508" s="65">
        <f t="shared" si="67"/>
        <v>0</v>
      </c>
      <c r="H508" s="64">
        <f>+GETPIVOTDATA(" New Inst. avg",'Averages Pivot Table'!$A$3,"State","WV","Category2","Technical Institutes")</f>
        <v>0</v>
      </c>
      <c r="I508" s="202">
        <f t="shared" si="68"/>
        <v>0</v>
      </c>
      <c r="J508" s="64">
        <f>+GETPIVOTDATA(" New Undesg. avg",'Averages Pivot Table'!$A$3,"State","WV","Category2","Technical Institutes")</f>
        <v>0</v>
      </c>
      <c r="K508" s="65">
        <f t="shared" si="69"/>
        <v>0</v>
      </c>
      <c r="L508" s="64">
        <f>+GETPIVOTDATA(" New Single Rnk avg",'Averages Pivot Table'!$A$3,"State","WV","Category2","Technical Institutes")</f>
        <v>0</v>
      </c>
      <c r="M508" s="202">
        <f t="shared" si="70"/>
        <v>0</v>
      </c>
      <c r="N508" s="64">
        <f>+GETPIVOTDATA(" New All Ranks avg",'Averages Pivot Table'!$A$3,"State","WV","Category2","Technical Institutes")</f>
        <v>0</v>
      </c>
      <c r="O508" s="202">
        <f t="shared" si="71"/>
        <v>0</v>
      </c>
    </row>
    <row r="509" spans="1:15" ht="30" customHeight="1">
      <c r="A509" s="628" t="s">
        <v>323</v>
      </c>
      <c r="B509" s="628"/>
      <c r="C509" s="628"/>
      <c r="D509" s="628"/>
      <c r="E509" s="628"/>
      <c r="F509" s="628"/>
      <c r="G509" s="628"/>
      <c r="H509" s="628"/>
      <c r="I509" s="628"/>
      <c r="J509" s="628"/>
      <c r="K509" s="628"/>
      <c r="L509" s="628"/>
      <c r="M509" s="628"/>
      <c r="N509" s="628"/>
      <c r="O509" s="628"/>
    </row>
    <row r="510" spans="1:15">
      <c r="O510" s="244" t="s">
        <v>1166</v>
      </c>
    </row>
    <row r="511" spans="1:15" ht="18">
      <c r="A511" s="618" t="s">
        <v>793</v>
      </c>
      <c r="B511" s="618"/>
      <c r="C511" s="618"/>
      <c r="D511" s="618"/>
      <c r="E511" s="618"/>
      <c r="F511" s="618"/>
      <c r="G511" s="618"/>
      <c r="H511" s="618"/>
      <c r="I511" s="618"/>
      <c r="J511" s="618"/>
      <c r="K511" s="618"/>
      <c r="L511" s="618"/>
      <c r="M511" s="618"/>
      <c r="N511" s="618"/>
      <c r="O511" s="618"/>
    </row>
    <row r="512" spans="1:15">
      <c r="A512" s="23"/>
      <c r="B512" s="5"/>
      <c r="C512" s="5"/>
      <c r="D512" s="5"/>
      <c r="E512" s="5"/>
      <c r="F512" s="5"/>
      <c r="G512" s="5"/>
      <c r="H512" s="5"/>
      <c r="I512" s="159"/>
      <c r="J512" s="5"/>
      <c r="K512" s="5"/>
      <c r="L512" s="5"/>
      <c r="M512" s="159"/>
      <c r="N512" s="5"/>
      <c r="O512" s="159"/>
    </row>
    <row r="513" spans="1:19">
      <c r="A513" s="619" t="s">
        <v>454</v>
      </c>
      <c r="B513" s="619"/>
      <c r="C513" s="619"/>
      <c r="D513" s="619"/>
      <c r="E513" s="619"/>
      <c r="F513" s="619"/>
      <c r="G513" s="619"/>
      <c r="H513" s="619"/>
      <c r="I513" s="619"/>
      <c r="J513" s="619"/>
      <c r="K513" s="619"/>
      <c r="L513" s="619"/>
      <c r="M513" s="619"/>
      <c r="N513" s="619"/>
      <c r="O513" s="619"/>
    </row>
    <row r="514" spans="1:19">
      <c r="A514" s="619" t="s">
        <v>1146</v>
      </c>
      <c r="B514" s="619"/>
      <c r="C514" s="619"/>
      <c r="D514" s="619"/>
      <c r="E514" s="619"/>
      <c r="F514" s="619"/>
      <c r="G514" s="619"/>
      <c r="H514" s="619"/>
      <c r="I514" s="619"/>
      <c r="J514" s="619"/>
      <c r="K514" s="619"/>
      <c r="L514" s="619"/>
      <c r="M514" s="619"/>
      <c r="N514" s="619"/>
      <c r="O514" s="619"/>
    </row>
    <row r="515" spans="1:19">
      <c r="A515" s="12"/>
      <c r="B515" s="5"/>
      <c r="C515" s="5"/>
      <c r="D515" s="5"/>
      <c r="E515" s="5"/>
      <c r="F515" s="5"/>
      <c r="G515" s="5"/>
      <c r="H515" s="5"/>
      <c r="I515" s="159"/>
      <c r="J515" s="5"/>
      <c r="K515" s="5"/>
      <c r="L515" s="5"/>
      <c r="M515" s="159"/>
      <c r="N515" s="5"/>
      <c r="O515" s="159"/>
    </row>
    <row r="516" spans="1:19" ht="31.5" customHeight="1">
      <c r="A516" s="15"/>
      <c r="B516" s="21" t="s">
        <v>332</v>
      </c>
      <c r="C516" s="22"/>
      <c r="D516" s="141" t="s">
        <v>333</v>
      </c>
      <c r="E516" s="142"/>
      <c r="F516" s="141" t="s">
        <v>334</v>
      </c>
      <c r="G516" s="142"/>
      <c r="H516" s="21" t="s">
        <v>335</v>
      </c>
      <c r="I516" s="225"/>
      <c r="J516" s="141" t="s">
        <v>461</v>
      </c>
      <c r="K516" s="142"/>
      <c r="L516" s="22" t="s">
        <v>314</v>
      </c>
      <c r="M516" s="225"/>
      <c r="N516" s="22" t="s">
        <v>316</v>
      </c>
      <c r="O516" s="225"/>
    </row>
    <row r="517" spans="1:19">
      <c r="A517" s="25"/>
      <c r="B517" s="19" t="s">
        <v>336</v>
      </c>
      <c r="C517" s="18" t="s">
        <v>427</v>
      </c>
      <c r="D517" s="19" t="s">
        <v>336</v>
      </c>
      <c r="E517" s="18" t="s">
        <v>427</v>
      </c>
      <c r="F517" s="19" t="s">
        <v>336</v>
      </c>
      <c r="G517" s="18" t="s">
        <v>427</v>
      </c>
      <c r="H517" s="19" t="s">
        <v>336</v>
      </c>
      <c r="I517" s="226" t="s">
        <v>427</v>
      </c>
      <c r="J517" s="19" t="s">
        <v>336</v>
      </c>
      <c r="K517" s="18" t="s">
        <v>427</v>
      </c>
      <c r="L517" s="19" t="s">
        <v>336</v>
      </c>
      <c r="M517" s="226" t="s">
        <v>427</v>
      </c>
      <c r="N517" s="19" t="s">
        <v>336</v>
      </c>
      <c r="O517" s="226" t="s">
        <v>427</v>
      </c>
    </row>
    <row r="518" spans="1:19" s="156" customFormat="1" ht="18" customHeight="1">
      <c r="A518" s="168" t="s">
        <v>456</v>
      </c>
      <c r="B518" s="172">
        <f>+GETPIVOTDATA(" New Prof avg",'Averages Pivot Table'!$A$3,"Category",12,"Category2","Technical Institutes")</f>
        <v>61578.059739999997</v>
      </c>
      <c r="C518" s="172"/>
      <c r="D518" s="172">
        <f>+GETPIVOTDATA(" New Asc. avg",'Averages Pivot Table'!$A$3,"Category",12,"Category2","Technical Institutes")</f>
        <v>49410.908539999997</v>
      </c>
      <c r="E518" s="172"/>
      <c r="F518" s="172">
        <f>+GETPIVOTDATA(" New Ast. avg",'Averages Pivot Table'!$A$3,"Category",12,"Category2","Technical Institutes")</f>
        <v>44244.25603783784</v>
      </c>
      <c r="G518" s="172"/>
      <c r="H518" s="172">
        <f>+GETPIVOTDATA(" New Inst. avg",'Averages Pivot Table'!$A$3,"Category",12,"Category2","Technical Institutes")</f>
        <v>39667.732794160584</v>
      </c>
      <c r="I518" s="229"/>
      <c r="J518" s="172">
        <f>+GETPIVOTDATA(" New Undesg. avg",'Averages Pivot Table'!$A$3,"Category",12,"Category2","Technical Institutes")</f>
        <v>0</v>
      </c>
      <c r="K518" s="172"/>
      <c r="L518" s="172">
        <f>+GETPIVOTDATA(" New Single Rnk avg",'Averages Pivot Table'!$A$3,"Category",12,"Category2","Technical Institutes")</f>
        <v>46085.950839939258</v>
      </c>
      <c r="M518" s="229"/>
      <c r="N518" s="172">
        <f>+GETPIVOTDATA(" New All Ranks avg",'Averages Pivot Table'!$A$3,"Category",12,"Category2","Technical Institutes")</f>
        <v>45855.188354653605</v>
      </c>
      <c r="O518" s="216"/>
      <c r="Q518" s="193"/>
      <c r="R518" s="193"/>
      <c r="S518" s="193"/>
    </row>
    <row r="519" spans="1:19" ht="12.95" customHeight="1">
      <c r="A519" s="12"/>
      <c r="B519" s="9"/>
      <c r="C519" s="17"/>
      <c r="D519" s="9"/>
      <c r="E519" s="17"/>
      <c r="F519" s="9"/>
      <c r="G519" s="17"/>
      <c r="H519" s="9"/>
      <c r="I519" s="233"/>
      <c r="J519" s="9"/>
      <c r="K519" s="17"/>
      <c r="L519" s="9"/>
      <c r="M519" s="233"/>
      <c r="N519" s="9"/>
      <c r="O519" s="217"/>
    </row>
    <row r="520" spans="1:19" ht="12.95" customHeight="1">
      <c r="A520" s="12" t="s">
        <v>439</v>
      </c>
      <c r="B520" s="62">
        <f>+GETPIVOTDATA(" New Prof avg",'Averages Pivot Table'!$A$3,"State","AL","Category",12,"Category2","Technical Institutes")</f>
        <v>0</v>
      </c>
      <c r="C520" s="130">
        <f>IF(B520&gt;0,(RANK(B520,B$520:B$538)),0)</f>
        <v>0</v>
      </c>
      <c r="D520" s="62">
        <f>+GETPIVOTDATA(" New Asc. avg",'Averages Pivot Table'!$A$3,"State","AL","Category",12,"Category2","Technical Institutes")</f>
        <v>0</v>
      </c>
      <c r="E520" s="130">
        <f>IF(D520&gt;0,(RANK(D520,D$520:D$538)),0)</f>
        <v>0</v>
      </c>
      <c r="F520" s="62">
        <f>+GETPIVOTDATA(" New Ast. avg",'Averages Pivot Table'!$A$3,"State","AL","Category",12,"Category2","Technical Institutes")</f>
        <v>0</v>
      </c>
      <c r="G520" s="130">
        <f t="shared" ref="G520:G538" si="73">IF(F520&gt;0,(RANK(F520,F$520:F$538)),0)</f>
        <v>0</v>
      </c>
      <c r="H520" s="62">
        <f>+GETPIVOTDATA(" New Inst. avg",'Averages Pivot Table'!$A$3,"State","AL","Category",12,"Category2","Technical Institutes")</f>
        <v>0</v>
      </c>
      <c r="I520" s="201">
        <f t="shared" ref="I520:I538" si="74">IF(H520&gt;0,(RANK(H520,H$520:H$538)),0)</f>
        <v>0</v>
      </c>
      <c r="J520" s="62">
        <f>+GETPIVOTDATA(" New Undesg. avg",'Averages Pivot Table'!$A$3,"State","AL","Category",12,"Category2","Technical Institutes")</f>
        <v>0</v>
      </c>
      <c r="K520" s="130">
        <f t="shared" ref="K520:K538" si="75">IF(J520&gt;0,(RANK(J520,J$520:J$538)),0)</f>
        <v>0</v>
      </c>
      <c r="L520" s="62">
        <f>+GETPIVOTDATA(" New Single Rnk avg",'Averages Pivot Table'!$A$3,"State","AL","Category",12,"Category2","Technical Institutes")</f>
        <v>54504.933505263158</v>
      </c>
      <c r="M520" s="201">
        <f t="shared" ref="M520:M538" si="76">IF(L520&gt;0,(RANK(L520,L$520:L$538)),0)</f>
        <v>1</v>
      </c>
      <c r="N520" s="62">
        <f>+GETPIVOTDATA(" New All Ranks avg",'Averages Pivot Table'!$A$3,"State","AL","Category",12,"Category2","Technical Institutes")</f>
        <v>54504.933505263158</v>
      </c>
      <c r="O520" s="201">
        <f t="shared" ref="O520:O538" si="77">IF(N520&gt;0,(RANK(N520,N$520:N$538)),0)</f>
        <v>1</v>
      </c>
    </row>
    <row r="521" spans="1:19" ht="12.95" customHeight="1">
      <c r="A521" s="12" t="s">
        <v>440</v>
      </c>
      <c r="B521" s="62">
        <f>+GETPIVOTDATA(" New Prof avg",'Averages Pivot Table'!$A$3,"State","AR","Category",12,"Category2","Technical Institutes")</f>
        <v>0</v>
      </c>
      <c r="C521" s="130">
        <f t="shared" ref="C521:E538" si="78">IF(B521&gt;0,(RANK(B521,B$520:B$538)),0)</f>
        <v>0</v>
      </c>
      <c r="D521" s="62">
        <f>+GETPIVOTDATA(" New Asc. avg",'Averages Pivot Table'!$A$3,"State","AR","Category",12,"Category2","Technical Institutes")</f>
        <v>0</v>
      </c>
      <c r="E521" s="130">
        <f t="shared" si="78"/>
        <v>0</v>
      </c>
      <c r="F521" s="62">
        <f>+GETPIVOTDATA(" New Ast. avg",'Averages Pivot Table'!$A$3,"State","AR","Category",12,"Category2","Technical Institutes")</f>
        <v>0</v>
      </c>
      <c r="G521" s="130">
        <f t="shared" si="73"/>
        <v>0</v>
      </c>
      <c r="H521" s="62">
        <f>+GETPIVOTDATA(" New Inst. avg",'Averages Pivot Table'!$A$3,"State","AR","Category",12,"Category2","Technical Institutes")</f>
        <v>0</v>
      </c>
      <c r="I521" s="201">
        <f t="shared" si="74"/>
        <v>0</v>
      </c>
      <c r="J521" s="62">
        <f>+GETPIVOTDATA(" New Undesg. avg",'Averages Pivot Table'!$A$3,"State","AR","Category",12,"Category2","Technical Institutes")</f>
        <v>0</v>
      </c>
      <c r="K521" s="130">
        <f t="shared" si="75"/>
        <v>0</v>
      </c>
      <c r="L521" s="62">
        <f>+GETPIVOTDATA(" New Single Rnk avg",'Averages Pivot Table'!$A$3,"State","AR","Category",12,"Category2","Technical Institutes")</f>
        <v>0</v>
      </c>
      <c r="M521" s="201">
        <f t="shared" si="76"/>
        <v>0</v>
      </c>
      <c r="N521" s="62">
        <f>+GETPIVOTDATA(" New All Ranks avg",'Averages Pivot Table'!$A$3,"State","AR","Category",12,"Category2","Technical Institutes")</f>
        <v>0</v>
      </c>
      <c r="O521" s="201">
        <f t="shared" si="77"/>
        <v>0</v>
      </c>
    </row>
    <row r="522" spans="1:19" ht="12.95" customHeight="1">
      <c r="A522" s="12" t="s">
        <v>455</v>
      </c>
      <c r="B522" s="62">
        <f>+GETPIVOTDATA(" New Prof avg",'Averages Pivot Table'!$A$3,"State","DE","Category",12,"Category2","Technical Institutes")</f>
        <v>0</v>
      </c>
      <c r="C522" s="130">
        <f t="shared" si="78"/>
        <v>0</v>
      </c>
      <c r="D522" s="62">
        <f>+GETPIVOTDATA(" New Asc. avg",'Averages Pivot Table'!$A$3,"State","DE","Category",12,"Category2","Technical Institutes")</f>
        <v>0</v>
      </c>
      <c r="E522" s="130">
        <f t="shared" si="78"/>
        <v>0</v>
      </c>
      <c r="F522" s="62">
        <f>+GETPIVOTDATA(" New Ast. avg",'Averages Pivot Table'!$A$3,"State","DE","Category",12,"Category2","Technical Institutes")</f>
        <v>0</v>
      </c>
      <c r="G522" s="130">
        <f t="shared" si="73"/>
        <v>0</v>
      </c>
      <c r="H522" s="62">
        <f>+GETPIVOTDATA(" New Inst. avg",'Averages Pivot Table'!$A$3,"State","DE","Category",12,"Category2","Technical Institutes")</f>
        <v>0</v>
      </c>
      <c r="I522" s="201">
        <f t="shared" si="74"/>
        <v>0</v>
      </c>
      <c r="J522" s="62">
        <f>+GETPIVOTDATA(" New Undesg. avg",'Averages Pivot Table'!$A$3,"State","DE","Category",12,"Category2","Technical Institutes")</f>
        <v>0</v>
      </c>
      <c r="K522" s="130">
        <f t="shared" si="75"/>
        <v>0</v>
      </c>
      <c r="L522" s="62">
        <f>+GETPIVOTDATA(" New Single Rnk avg",'Averages Pivot Table'!$A$3,"State","DE","Category",12,"Category2","Technical Institutes")</f>
        <v>0</v>
      </c>
      <c r="M522" s="201">
        <f t="shared" si="76"/>
        <v>0</v>
      </c>
      <c r="N522" s="62">
        <f>+GETPIVOTDATA(" New All Ranks avg",'Averages Pivot Table'!$A$3,"State","DE","Category",12,"Category2","Technical Institutes")</f>
        <v>0</v>
      </c>
      <c r="O522" s="201">
        <f t="shared" si="77"/>
        <v>0</v>
      </c>
    </row>
    <row r="523" spans="1:19" ht="12.95" customHeight="1">
      <c r="A523" s="12" t="s">
        <v>441</v>
      </c>
      <c r="B523" s="62">
        <f>+GETPIVOTDATA(" New Prof avg",'Averages Pivot Table'!$A$3,"State","FL","Category",12,"Category2","Technical Institutes")</f>
        <v>0</v>
      </c>
      <c r="C523" s="130">
        <f t="shared" si="78"/>
        <v>0</v>
      </c>
      <c r="D523" s="62">
        <f>+GETPIVOTDATA(" New Asc. avg",'Averages Pivot Table'!$A$3,"State","FL","Category",12,"Category2","Technical Institutes")</f>
        <v>0</v>
      </c>
      <c r="E523" s="130">
        <f t="shared" si="78"/>
        <v>0</v>
      </c>
      <c r="F523" s="62">
        <f>+GETPIVOTDATA(" New Ast. avg",'Averages Pivot Table'!$A$3,"State","FL","Category",12,"Category2","Technical Institutes")</f>
        <v>0</v>
      </c>
      <c r="G523" s="130">
        <f t="shared" si="73"/>
        <v>0</v>
      </c>
      <c r="H523" s="62">
        <f>+GETPIVOTDATA(" New Inst. avg",'Averages Pivot Table'!$A$3,"State","FL","Category",12,"Category2","Technical Institutes")</f>
        <v>0</v>
      </c>
      <c r="I523" s="201">
        <f t="shared" si="74"/>
        <v>0</v>
      </c>
      <c r="J523" s="62">
        <f>+GETPIVOTDATA(" New Undesg. avg",'Averages Pivot Table'!$A$3,"State","FL","Category",12,"Category2","Technical Institutes")</f>
        <v>0</v>
      </c>
      <c r="K523" s="130">
        <f t="shared" si="75"/>
        <v>0</v>
      </c>
      <c r="L523" s="62">
        <f>+GETPIVOTDATA(" New Single Rnk avg",'Averages Pivot Table'!$A$3,"State","FL","Category",12,"Category2","Technical Institutes")</f>
        <v>0</v>
      </c>
      <c r="M523" s="201">
        <f t="shared" si="76"/>
        <v>0</v>
      </c>
      <c r="N523" s="62">
        <f>+GETPIVOTDATA(" New All Ranks avg",'Averages Pivot Table'!$A$3,"State","FL","Category",12,"Category2","Technical Institutes")</f>
        <v>0</v>
      </c>
      <c r="O523" s="201">
        <f t="shared" si="77"/>
        <v>0</v>
      </c>
    </row>
    <row r="524" spans="1:19" ht="12.95" customHeight="1">
      <c r="A524" s="12"/>
      <c r="B524" s="62"/>
      <c r="C524" s="130">
        <f t="shared" si="78"/>
        <v>0</v>
      </c>
      <c r="D524" s="62"/>
      <c r="E524" s="130">
        <f t="shared" si="78"/>
        <v>0</v>
      </c>
      <c r="F524" s="62"/>
      <c r="G524" s="130">
        <f t="shared" si="73"/>
        <v>0</v>
      </c>
      <c r="H524" s="62"/>
      <c r="I524" s="201">
        <f t="shared" si="74"/>
        <v>0</v>
      </c>
      <c r="J524" s="62"/>
      <c r="K524" s="130">
        <f t="shared" si="75"/>
        <v>0</v>
      </c>
      <c r="L524" s="62"/>
      <c r="M524" s="201">
        <f t="shared" si="76"/>
        <v>0</v>
      </c>
      <c r="N524" s="62"/>
      <c r="O524" s="201">
        <f t="shared" si="77"/>
        <v>0</v>
      </c>
    </row>
    <row r="525" spans="1:19" ht="12.95" customHeight="1">
      <c r="A525" s="12" t="s">
        <v>442</v>
      </c>
      <c r="B525" s="62">
        <f>+GETPIVOTDATA(" New Prof avg",'Averages Pivot Table'!$A$3,"State","GA","Category",12,"Category2","Technical Institutes")</f>
        <v>0</v>
      </c>
      <c r="C525" s="130">
        <f t="shared" si="78"/>
        <v>0</v>
      </c>
      <c r="D525" s="62">
        <f>+GETPIVOTDATA(" New Asc. avg",'Averages Pivot Table'!$A$3,"State","GA","Category",12,"Category2","Technical Institutes")</f>
        <v>0</v>
      </c>
      <c r="E525" s="130">
        <f t="shared" si="78"/>
        <v>0</v>
      </c>
      <c r="F525" s="62">
        <f>+GETPIVOTDATA(" New Ast. avg",'Averages Pivot Table'!$A$3,"State","GA","Category",12,"Category2","Technical Institutes")</f>
        <v>0</v>
      </c>
      <c r="G525" s="130">
        <f t="shared" si="73"/>
        <v>0</v>
      </c>
      <c r="H525" s="62">
        <f>+GETPIVOTDATA(" New Inst. avg",'Averages Pivot Table'!$A$3,"State","GA","Category",12,"Category2","Technical Institutes")</f>
        <v>0</v>
      </c>
      <c r="I525" s="201">
        <f t="shared" si="74"/>
        <v>0</v>
      </c>
      <c r="J525" s="62">
        <f>+GETPIVOTDATA(" New Undesg. avg",'Averages Pivot Table'!$A$3,"State","GA","Category",12,"Category2","Technical Institutes")</f>
        <v>0</v>
      </c>
      <c r="K525" s="130">
        <f t="shared" si="75"/>
        <v>0</v>
      </c>
      <c r="L525" s="62">
        <f>+GETPIVOTDATA(" New Single Rnk avg",'Averages Pivot Table'!$A$3,"State","GA","Category",12,"Category2","Technical Institutes")</f>
        <v>45125.410549044027</v>
      </c>
      <c r="M525" s="201">
        <f t="shared" si="76"/>
        <v>3</v>
      </c>
      <c r="N525" s="62">
        <f>+GETPIVOTDATA(" New All Ranks avg",'Averages Pivot Table'!$A$3,"State","GA","Category",12,"Category2","Technical Institutes")</f>
        <v>45125.410549044027</v>
      </c>
      <c r="O525" s="201">
        <f t="shared" si="77"/>
        <v>3</v>
      </c>
    </row>
    <row r="526" spans="1:19" ht="12.95" customHeight="1">
      <c r="A526" s="12" t="s">
        <v>443</v>
      </c>
      <c r="B526" s="62">
        <f>+GETPIVOTDATA(" New Prof avg",'Averages Pivot Table'!$A$3,"State","KY","Category",12,"Category2","Technical Institutes")</f>
        <v>61578.059739999997</v>
      </c>
      <c r="C526" s="130">
        <f t="shared" si="78"/>
        <v>1</v>
      </c>
      <c r="D526" s="62">
        <f>+GETPIVOTDATA(" New Asc. avg",'Averages Pivot Table'!$A$3,"State","KY","Category",12,"Category2","Technical Institutes")</f>
        <v>49410.908539999997</v>
      </c>
      <c r="E526" s="130">
        <f t="shared" si="78"/>
        <v>1</v>
      </c>
      <c r="F526" s="62">
        <f>+GETPIVOTDATA(" New Ast. avg",'Averages Pivot Table'!$A$3,"State","KY","Category",12,"Category2","Technical Institutes")</f>
        <v>44244.25603783784</v>
      </c>
      <c r="G526" s="130">
        <f t="shared" si="73"/>
        <v>1</v>
      </c>
      <c r="H526" s="62">
        <f>+GETPIVOTDATA(" New Inst. avg",'Averages Pivot Table'!$A$3,"State","KY","Category",12,"Category2","Technical Institutes")</f>
        <v>38518.710143661971</v>
      </c>
      <c r="I526" s="201">
        <f t="shared" si="74"/>
        <v>2</v>
      </c>
      <c r="J526" s="62">
        <f>+GETPIVOTDATA(" New Undesg. avg",'Averages Pivot Table'!$A$3,"State","KY","Category",12,"Category2","Technical Institutes")</f>
        <v>0</v>
      </c>
      <c r="K526" s="130">
        <f t="shared" si="75"/>
        <v>0</v>
      </c>
      <c r="L526" s="62">
        <f>+GETPIVOTDATA(" New Single Rnk avg",'Averages Pivot Table'!$A$3,"State","KY","Category",12,"Category2","Technical Institutes")</f>
        <v>0</v>
      </c>
      <c r="M526" s="201">
        <f t="shared" si="76"/>
        <v>0</v>
      </c>
      <c r="N526" s="62">
        <f>+GETPIVOTDATA(" New All Ranks avg",'Averages Pivot Table'!$A$3,"State","KY","Category",12,"Category2","Technical Institutes")</f>
        <v>44076.473624050632</v>
      </c>
      <c r="O526" s="201">
        <f t="shared" si="77"/>
        <v>4</v>
      </c>
    </row>
    <row r="527" spans="1:19" ht="12.95" customHeight="1">
      <c r="A527" s="12" t="s">
        <v>444</v>
      </c>
      <c r="B527" s="62">
        <f>+GETPIVOTDATA(" New Prof avg",'Averages Pivot Table'!$A$3,"State","LA","Category",12,"Category2","Technical Institutes")</f>
        <v>0</v>
      </c>
      <c r="C527" s="130">
        <f t="shared" si="78"/>
        <v>0</v>
      </c>
      <c r="D527" s="62">
        <f>+GETPIVOTDATA(" New Asc. avg",'Averages Pivot Table'!$A$3,"State","LA","Category",12,"Category2","Technical Institutes")</f>
        <v>0</v>
      </c>
      <c r="E527" s="130">
        <f t="shared" si="78"/>
        <v>0</v>
      </c>
      <c r="F527" s="62">
        <f>+GETPIVOTDATA(" New Ast. avg",'Averages Pivot Table'!$A$3,"State","LA","Category",12,"Category2","Technical Institutes")</f>
        <v>0</v>
      </c>
      <c r="G527" s="130">
        <f t="shared" si="73"/>
        <v>0</v>
      </c>
      <c r="H527" s="62">
        <f>+GETPIVOTDATA(" New Inst. avg",'Averages Pivot Table'!$A$3,"State","LA","Category",12,"Category2","Technical Institutes")</f>
        <v>40903.802615151515</v>
      </c>
      <c r="I527" s="201">
        <f t="shared" si="74"/>
        <v>1</v>
      </c>
      <c r="J527" s="62">
        <f>+GETPIVOTDATA(" New Undesg. avg",'Averages Pivot Table'!$A$3,"State","LA","Category",12,"Category2","Technical Institutes")</f>
        <v>0</v>
      </c>
      <c r="K527" s="130">
        <f t="shared" si="75"/>
        <v>0</v>
      </c>
      <c r="L527" s="62">
        <f>+GETPIVOTDATA(" New Single Rnk avg",'Averages Pivot Table'!$A$3,"State","LA","Category",12,"Category2","Technical Institutes")</f>
        <v>0</v>
      </c>
      <c r="M527" s="201">
        <f t="shared" si="76"/>
        <v>0</v>
      </c>
      <c r="N527" s="62">
        <f>+GETPIVOTDATA(" New All Ranks avg",'Averages Pivot Table'!$A$3,"State","LA","Category",12,"Category2","Technical Institutes")</f>
        <v>40903.802615151515</v>
      </c>
      <c r="O527" s="201">
        <f t="shared" si="77"/>
        <v>5</v>
      </c>
    </row>
    <row r="528" spans="1:19" ht="12.95" customHeight="1">
      <c r="A528" s="12" t="s">
        <v>445</v>
      </c>
      <c r="B528" s="62">
        <f>+GETPIVOTDATA(" New Prof avg",'Averages Pivot Table'!$A$3,"State","MD","Category",12,"Category2","Technical Institutes")</f>
        <v>0</v>
      </c>
      <c r="C528" s="130">
        <f t="shared" si="78"/>
        <v>0</v>
      </c>
      <c r="D528" s="62">
        <f>+GETPIVOTDATA(" New Asc. avg",'Averages Pivot Table'!$A$3,"State","MD","Category",12,"Category2","Technical Institutes")</f>
        <v>0</v>
      </c>
      <c r="E528" s="130">
        <f t="shared" si="78"/>
        <v>0</v>
      </c>
      <c r="F528" s="62">
        <f>+GETPIVOTDATA(" New Ast. avg",'Averages Pivot Table'!$A$3,"State","MD","Category",12,"Category2","Technical Institutes")</f>
        <v>0</v>
      </c>
      <c r="G528" s="130">
        <f t="shared" si="73"/>
        <v>0</v>
      </c>
      <c r="H528" s="62">
        <f>+GETPIVOTDATA(" New Inst. avg",'Averages Pivot Table'!$A$3,"State","MD","Category",12,"Category2","Technical Institutes")</f>
        <v>0</v>
      </c>
      <c r="I528" s="201">
        <f t="shared" si="74"/>
        <v>0</v>
      </c>
      <c r="J528" s="62">
        <f>+GETPIVOTDATA(" New Undesg. avg",'Averages Pivot Table'!$A$3,"State","MD","Category",12,"Category2","Technical Institutes")</f>
        <v>0</v>
      </c>
      <c r="K528" s="130">
        <f t="shared" si="75"/>
        <v>0</v>
      </c>
      <c r="L528" s="62">
        <f>+GETPIVOTDATA(" New Single Rnk avg",'Averages Pivot Table'!$A$3,"State","MD","Category",12,"Category2","Technical Institutes")</f>
        <v>0</v>
      </c>
      <c r="M528" s="201">
        <f t="shared" si="76"/>
        <v>0</v>
      </c>
      <c r="N528" s="62">
        <f>+GETPIVOTDATA(" New All Ranks avg",'Averages Pivot Table'!$A$3,"State","MD","Category",12,"Category2","Technical Institutes")</f>
        <v>0</v>
      </c>
      <c r="O528" s="201">
        <f t="shared" si="77"/>
        <v>0</v>
      </c>
    </row>
    <row r="529" spans="1:15" ht="12.95" customHeight="1">
      <c r="A529" s="12"/>
      <c r="B529" s="62"/>
      <c r="C529" s="130">
        <f t="shared" si="78"/>
        <v>0</v>
      </c>
      <c r="D529" s="62"/>
      <c r="E529" s="130">
        <f t="shared" si="78"/>
        <v>0</v>
      </c>
      <c r="F529" s="62"/>
      <c r="G529" s="130">
        <f t="shared" si="73"/>
        <v>0</v>
      </c>
      <c r="H529" s="62"/>
      <c r="I529" s="201">
        <f t="shared" si="74"/>
        <v>0</v>
      </c>
      <c r="J529" s="62"/>
      <c r="K529" s="130">
        <f t="shared" si="75"/>
        <v>0</v>
      </c>
      <c r="L529" s="62"/>
      <c r="M529" s="201">
        <f t="shared" si="76"/>
        <v>0</v>
      </c>
      <c r="N529" s="62"/>
      <c r="O529" s="201">
        <f t="shared" si="77"/>
        <v>0</v>
      </c>
    </row>
    <row r="530" spans="1:15" ht="12.95" customHeight="1">
      <c r="A530" s="12" t="s">
        <v>446</v>
      </c>
      <c r="B530" s="62">
        <f>+GETPIVOTDATA(" New Prof avg",'Averages Pivot Table'!$A$3,"State","MS","Category",12,"Category2","Technical Institutes")</f>
        <v>0</v>
      </c>
      <c r="C530" s="130">
        <f t="shared" si="78"/>
        <v>0</v>
      </c>
      <c r="D530" s="62">
        <f>+GETPIVOTDATA(" New Asc. avg",'Averages Pivot Table'!$A$3,"State","MS","Category",12,"Category2","Technical Institutes")</f>
        <v>0</v>
      </c>
      <c r="E530" s="130">
        <f t="shared" si="78"/>
        <v>0</v>
      </c>
      <c r="F530" s="62">
        <f>+GETPIVOTDATA(" New Ast. avg",'Averages Pivot Table'!$A$3,"State","MS","Category",12,"Category2","Technical Institutes")</f>
        <v>0</v>
      </c>
      <c r="G530" s="130">
        <f t="shared" si="73"/>
        <v>0</v>
      </c>
      <c r="H530" s="62">
        <f>+GETPIVOTDATA(" New Inst. avg",'Averages Pivot Table'!$A$3,"State","MS","Category",12,"Category2","Technical Institutes")</f>
        <v>0</v>
      </c>
      <c r="I530" s="201">
        <f t="shared" si="74"/>
        <v>0</v>
      </c>
      <c r="J530" s="62">
        <f>+GETPIVOTDATA(" New Undesg. avg",'Averages Pivot Table'!$A$3,"State","MS","Category",12,"Category2","Technical Institutes")</f>
        <v>0</v>
      </c>
      <c r="K530" s="130">
        <f t="shared" si="75"/>
        <v>0</v>
      </c>
      <c r="L530" s="62">
        <f>+GETPIVOTDATA(" New Single Rnk avg",'Averages Pivot Table'!$A$3,"State","MS","Category",12,"Category2","Technical Institutes")</f>
        <v>0</v>
      </c>
      <c r="M530" s="201">
        <f t="shared" si="76"/>
        <v>0</v>
      </c>
      <c r="N530" s="62">
        <f>+GETPIVOTDATA(" New All Ranks avg",'Averages Pivot Table'!$A$3,"State","MS","Category",12,"Category2","Technical Institutes")</f>
        <v>0</v>
      </c>
      <c r="O530" s="201">
        <f t="shared" si="77"/>
        <v>0</v>
      </c>
    </row>
    <row r="531" spans="1:15" ht="12.95" customHeight="1">
      <c r="A531" s="12" t="s">
        <v>447</v>
      </c>
      <c r="B531" s="62">
        <f>+GETPIVOTDATA(" New Prof avg",'Averages Pivot Table'!$A$3,"State","NC","Category",12,"Category2","Technical Institutes")</f>
        <v>0</v>
      </c>
      <c r="C531" s="130">
        <f t="shared" si="78"/>
        <v>0</v>
      </c>
      <c r="D531" s="62">
        <f>+GETPIVOTDATA(" New Asc. avg",'Averages Pivot Table'!$A$3,"State","NC","Category",12,"Category2","Technical Institutes")</f>
        <v>0</v>
      </c>
      <c r="E531" s="130">
        <f t="shared" si="78"/>
        <v>0</v>
      </c>
      <c r="F531" s="62">
        <f>+GETPIVOTDATA(" New Ast. avg",'Averages Pivot Table'!$A$3,"State","NC","Category",12,"Category2","Technical Institutes")</f>
        <v>0</v>
      </c>
      <c r="G531" s="130">
        <f t="shared" si="73"/>
        <v>0</v>
      </c>
      <c r="H531" s="62">
        <f>+GETPIVOTDATA(" New Inst. avg",'Averages Pivot Table'!$A$3,"State","NC","Category",12,"Category2","Technical Institutes")</f>
        <v>0</v>
      </c>
      <c r="I531" s="201">
        <f t="shared" si="74"/>
        <v>0</v>
      </c>
      <c r="J531" s="62">
        <f>+GETPIVOTDATA(" New Undesg. avg",'Averages Pivot Table'!$A$3,"State","NC","Category",12,"Category2","Technical Institutes")</f>
        <v>0</v>
      </c>
      <c r="K531" s="130">
        <f t="shared" si="75"/>
        <v>0</v>
      </c>
      <c r="L531" s="62">
        <f>+GETPIVOTDATA(" New Single Rnk avg",'Averages Pivot Table'!$A$3,"State","NC","Category",12,"Category2","Technical Institutes")</f>
        <v>0</v>
      </c>
      <c r="M531" s="201">
        <f t="shared" si="76"/>
        <v>0</v>
      </c>
      <c r="N531" s="62">
        <f>+GETPIVOTDATA(" New All Ranks avg",'Averages Pivot Table'!$A$3,"State","NC","Category",12,"Category2","Technical Institutes")</f>
        <v>0</v>
      </c>
      <c r="O531" s="201">
        <f t="shared" si="77"/>
        <v>0</v>
      </c>
    </row>
    <row r="532" spans="1:15" ht="12.95" customHeight="1">
      <c r="A532" s="12" t="s">
        <v>448</v>
      </c>
      <c r="B532" s="62">
        <f>+GETPIVOTDATA(" New Prof avg",'Averages Pivot Table'!$A$3,"State","OK","Category",12,"Category2","Technical Institutes")</f>
        <v>0</v>
      </c>
      <c r="C532" s="130">
        <f t="shared" si="78"/>
        <v>0</v>
      </c>
      <c r="D532" s="62">
        <f>+GETPIVOTDATA(" New Asc. avg",'Averages Pivot Table'!$A$3,"State","OK","Category",12,"Category2","Technical Institutes")</f>
        <v>0</v>
      </c>
      <c r="E532" s="130">
        <f t="shared" si="78"/>
        <v>0</v>
      </c>
      <c r="F532" s="62">
        <f>+GETPIVOTDATA(" New Ast. avg",'Averages Pivot Table'!$A$3,"State","OK","Category",12,"Category2","Technical Institutes")</f>
        <v>0</v>
      </c>
      <c r="G532" s="130">
        <f t="shared" si="73"/>
        <v>0</v>
      </c>
      <c r="H532" s="62">
        <f>+GETPIVOTDATA(" New Inst. avg",'Averages Pivot Table'!$A$3,"State","OK","Category",12,"Category2","Technical Institutes")</f>
        <v>0</v>
      </c>
      <c r="I532" s="201">
        <f t="shared" si="74"/>
        <v>0</v>
      </c>
      <c r="J532" s="62">
        <f>+GETPIVOTDATA(" New Undesg. avg",'Averages Pivot Table'!$A$3,"State","OK","Category",12,"Category2","Technical Institutes")</f>
        <v>0</v>
      </c>
      <c r="K532" s="130">
        <f t="shared" si="75"/>
        <v>0</v>
      </c>
      <c r="L532" s="62">
        <f>+GETPIVOTDATA(" New Single Rnk avg",'Averages Pivot Table'!$A$3,"State","OK","Category",12,"Category2","Technical Institutes")</f>
        <v>51006.379421359226</v>
      </c>
      <c r="M532" s="201">
        <f t="shared" si="76"/>
        <v>2</v>
      </c>
      <c r="N532" s="62">
        <f>+GETPIVOTDATA(" New All Ranks avg",'Averages Pivot Table'!$A$3,"State","OK","Category",12,"Category2","Technical Institutes")</f>
        <v>51006.379421359226</v>
      </c>
      <c r="O532" s="201">
        <f t="shared" si="77"/>
        <v>2</v>
      </c>
    </row>
    <row r="533" spans="1:15" ht="12.95" customHeight="1">
      <c r="A533" s="12" t="s">
        <v>449</v>
      </c>
      <c r="B533" s="62">
        <f>+GETPIVOTDATA(" New Prof avg",'Averages Pivot Table'!$A$3,"State","SC","Category",12,"Category2","Technical Institutes")</f>
        <v>0</v>
      </c>
      <c r="C533" s="130">
        <f t="shared" si="78"/>
        <v>0</v>
      </c>
      <c r="D533" s="62">
        <f>+GETPIVOTDATA(" New Asc. avg",'Averages Pivot Table'!$A$3,"State","SC","Category",12,"Category2","Technical Institutes")</f>
        <v>0</v>
      </c>
      <c r="E533" s="130">
        <f t="shared" si="78"/>
        <v>0</v>
      </c>
      <c r="F533" s="62">
        <f>+GETPIVOTDATA(" New Ast. avg",'Averages Pivot Table'!$A$3,"State","SC","Category",12,"Category2","Technical Institutes")</f>
        <v>0</v>
      </c>
      <c r="G533" s="130">
        <f t="shared" si="73"/>
        <v>0</v>
      </c>
      <c r="H533" s="62">
        <f>+GETPIVOTDATA(" New Inst. avg",'Averages Pivot Table'!$A$3,"State","SC","Category",12,"Category2","Technical Institutes")</f>
        <v>0</v>
      </c>
      <c r="I533" s="201">
        <f t="shared" si="74"/>
        <v>0</v>
      </c>
      <c r="J533" s="62">
        <f>+GETPIVOTDATA(" New Undesg. avg",'Averages Pivot Table'!$A$3,"State","SC","Category",12,"Category2","Technical Institutes")</f>
        <v>0</v>
      </c>
      <c r="K533" s="130">
        <f t="shared" si="75"/>
        <v>0</v>
      </c>
      <c r="L533" s="62">
        <f>+GETPIVOTDATA(" New Single Rnk avg",'Averages Pivot Table'!$A$3,"State","SC","Category",12,"Category2","Technical Institutes")</f>
        <v>0</v>
      </c>
      <c r="M533" s="201">
        <f t="shared" si="76"/>
        <v>0</v>
      </c>
      <c r="N533" s="62">
        <f>+GETPIVOTDATA(" New All Ranks avg",'Averages Pivot Table'!$A$3,"State","SC","Category",12,"Category2","Technical Institutes")</f>
        <v>0</v>
      </c>
      <c r="O533" s="201">
        <f t="shared" si="77"/>
        <v>0</v>
      </c>
    </row>
    <row r="534" spans="1:15" ht="12.95" customHeight="1">
      <c r="A534" s="12"/>
      <c r="B534" s="62"/>
      <c r="C534" s="130">
        <f t="shared" si="78"/>
        <v>0</v>
      </c>
      <c r="D534" s="62"/>
      <c r="E534" s="130">
        <f t="shared" si="78"/>
        <v>0</v>
      </c>
      <c r="F534" s="62"/>
      <c r="G534" s="130">
        <f t="shared" si="73"/>
        <v>0</v>
      </c>
      <c r="H534" s="62"/>
      <c r="I534" s="201">
        <f t="shared" si="74"/>
        <v>0</v>
      </c>
      <c r="J534" s="62"/>
      <c r="K534" s="130">
        <f t="shared" si="75"/>
        <v>0</v>
      </c>
      <c r="L534" s="62"/>
      <c r="M534" s="201">
        <f t="shared" si="76"/>
        <v>0</v>
      </c>
      <c r="N534" s="62"/>
      <c r="O534" s="201">
        <f t="shared" si="77"/>
        <v>0</v>
      </c>
    </row>
    <row r="535" spans="1:15" ht="12.95" customHeight="1">
      <c r="A535" s="12" t="s">
        <v>450</v>
      </c>
      <c r="B535" s="129">
        <f>+GETPIVOTDATA(" New Prof avg",'Averages Pivot Table'!$A$3,"State","TN","Category",12,"Category2","Technical Institutes")</f>
        <v>0</v>
      </c>
      <c r="C535" s="130">
        <f t="shared" si="78"/>
        <v>0</v>
      </c>
      <c r="D535" s="129">
        <f>+GETPIVOTDATA(" New Asc. avg",'Averages Pivot Table'!$A$3,"State","TN","Category",12,"Category2","Technical Institutes")</f>
        <v>0</v>
      </c>
      <c r="E535" s="130">
        <f t="shared" si="78"/>
        <v>0</v>
      </c>
      <c r="F535" s="129">
        <f>+GETPIVOTDATA(" New Ast. avg",'Averages Pivot Table'!$A$3,"State","TN","Category",12,"Category2","Technical Institutes")</f>
        <v>0</v>
      </c>
      <c r="G535" s="130">
        <f t="shared" si="73"/>
        <v>0</v>
      </c>
      <c r="H535" s="129">
        <f>+GETPIVOTDATA(" New Inst. avg",'Averages Pivot Table'!$A$3,"State","TN","Category",12,"Category2","Technical Institutes")</f>
        <v>0</v>
      </c>
      <c r="I535" s="201">
        <f t="shared" si="74"/>
        <v>0</v>
      </c>
      <c r="J535" s="129">
        <f>+GETPIVOTDATA(" New Undesg. avg",'Averages Pivot Table'!$A$3,"State","TN","Category",12,"Category2","Technical Institutes")</f>
        <v>0</v>
      </c>
      <c r="K535" s="130">
        <f t="shared" si="75"/>
        <v>0</v>
      </c>
      <c r="L535" s="129">
        <f>+GETPIVOTDATA(" New Single Rnk avg",'Averages Pivot Table'!$A$3,"State","TN","Category",12,"Category2","Technical Institutes")</f>
        <v>0</v>
      </c>
      <c r="M535" s="201">
        <f t="shared" si="76"/>
        <v>0</v>
      </c>
      <c r="N535" s="62">
        <f>+GETPIVOTDATA(" New All Ranks avg",'Averages Pivot Table'!$A$3,"State","TN","Category",12,"Category2","Technical Institutes")</f>
        <v>0</v>
      </c>
      <c r="O535" s="201">
        <f t="shared" si="77"/>
        <v>0</v>
      </c>
    </row>
    <row r="536" spans="1:15" ht="12.95" customHeight="1">
      <c r="A536" s="12" t="s">
        <v>451</v>
      </c>
      <c r="B536" s="129">
        <f>+GETPIVOTDATA(" New Prof avg",'Averages Pivot Table'!$A$3,"State","TX","Category",12,"Category2","Technical Institutes")</f>
        <v>0</v>
      </c>
      <c r="C536" s="130">
        <f t="shared" si="78"/>
        <v>0</v>
      </c>
      <c r="D536" s="129">
        <f>+GETPIVOTDATA(" New Asc. avg",'Averages Pivot Table'!$A$3,"State","TX","Category",12,"Category2","Technical Institutes")</f>
        <v>0</v>
      </c>
      <c r="E536" s="130">
        <f t="shared" si="78"/>
        <v>0</v>
      </c>
      <c r="F536" s="129">
        <f>+GETPIVOTDATA(" New Ast. avg",'Averages Pivot Table'!$A$3,"State","TX","Category",12,"Category2","Technical Institutes")</f>
        <v>0</v>
      </c>
      <c r="G536" s="130">
        <f t="shared" si="73"/>
        <v>0</v>
      </c>
      <c r="H536" s="129">
        <f>+GETPIVOTDATA(" New Inst. avg",'Averages Pivot Table'!$A$3,"State","TX","Category",12,"Category2","Technical Institutes")</f>
        <v>0</v>
      </c>
      <c r="I536" s="201">
        <f t="shared" si="74"/>
        <v>0</v>
      </c>
      <c r="J536" s="129">
        <f>+GETPIVOTDATA(" New Undesg. avg",'Averages Pivot Table'!$A$3,"State","TX","Category",12,"Category2","Technical Institutes")</f>
        <v>0</v>
      </c>
      <c r="K536" s="130">
        <f t="shared" si="75"/>
        <v>0</v>
      </c>
      <c r="L536" s="129">
        <f>+GETPIVOTDATA(" New Single Rnk avg",'Averages Pivot Table'!$A$3,"State","TX","Category",12,"Category2","Technical Institutes")</f>
        <v>0</v>
      </c>
      <c r="M536" s="201">
        <f t="shared" si="76"/>
        <v>0</v>
      </c>
      <c r="N536" s="62">
        <f>+GETPIVOTDATA(" New All Ranks avg",'Averages Pivot Table'!$A$3,"State","TX","Category",12,"Category2","Technical Institutes")</f>
        <v>0</v>
      </c>
      <c r="O536" s="201">
        <f t="shared" si="77"/>
        <v>0</v>
      </c>
    </row>
    <row r="537" spans="1:15" ht="12.95" customHeight="1">
      <c r="A537" s="12" t="s">
        <v>452</v>
      </c>
      <c r="B537" s="129">
        <f>+GETPIVOTDATA(" New Prof avg",'Averages Pivot Table'!$A$3,"State","VA","Category",12,"Category2","Technical Institutes")</f>
        <v>0</v>
      </c>
      <c r="C537" s="130">
        <f t="shared" si="78"/>
        <v>0</v>
      </c>
      <c r="D537" s="129">
        <f>+GETPIVOTDATA(" New Asc. avg",'Averages Pivot Table'!$A$3,"State","VA","Category",12,"Category2","Technical Institutes")</f>
        <v>0</v>
      </c>
      <c r="E537" s="130">
        <f t="shared" si="78"/>
        <v>0</v>
      </c>
      <c r="F537" s="129">
        <f>+GETPIVOTDATA(" New Ast. avg",'Averages Pivot Table'!$A$3,"State","VA","Category",12,"Category2","Technical Institutes")</f>
        <v>0</v>
      </c>
      <c r="G537" s="130">
        <f t="shared" si="73"/>
        <v>0</v>
      </c>
      <c r="H537" s="129">
        <f>+GETPIVOTDATA(" New Inst. avg",'Averages Pivot Table'!$A$3,"State","VA","Category",12,"Category2","Technical Institutes")</f>
        <v>0</v>
      </c>
      <c r="I537" s="201">
        <f t="shared" si="74"/>
        <v>0</v>
      </c>
      <c r="J537" s="129">
        <f>+GETPIVOTDATA(" New Undesg. avg",'Averages Pivot Table'!$A$3,"State","VA","Category",12,"Category2","Technical Institutes")</f>
        <v>0</v>
      </c>
      <c r="K537" s="130">
        <f t="shared" si="75"/>
        <v>0</v>
      </c>
      <c r="L537" s="129">
        <f>+GETPIVOTDATA(" New Single Rnk avg",'Averages Pivot Table'!$A$3,"State","VA","Category",12,"Category2","Technical Institutes")</f>
        <v>0</v>
      </c>
      <c r="M537" s="201">
        <f t="shared" si="76"/>
        <v>0</v>
      </c>
      <c r="N537" s="62">
        <f>+GETPIVOTDATA(" New All Ranks avg",'Averages Pivot Table'!$A$3,"State","VA","Category",12,"Category2","Technical Institutes")</f>
        <v>0</v>
      </c>
      <c r="O537" s="201">
        <f t="shared" si="77"/>
        <v>0</v>
      </c>
    </row>
    <row r="538" spans="1:15" ht="12.95" customHeight="1">
      <c r="A538" s="11" t="s">
        <v>453</v>
      </c>
      <c r="B538" s="64">
        <f>+GETPIVOTDATA(" New Prof avg",'Averages Pivot Table'!$A$3,"State","WV","Category",12,"Category2","Technical Institutes")</f>
        <v>0</v>
      </c>
      <c r="C538" s="65">
        <f t="shared" si="78"/>
        <v>0</v>
      </c>
      <c r="D538" s="64">
        <f>+GETPIVOTDATA(" New Asc. avg",'Averages Pivot Table'!$A$3,"State","WV","Category",12,"Category2","Technical Institutes")</f>
        <v>0</v>
      </c>
      <c r="E538" s="65">
        <f t="shared" si="78"/>
        <v>0</v>
      </c>
      <c r="F538" s="64">
        <f>+GETPIVOTDATA(" New Ast. avg",'Averages Pivot Table'!$A$3,"State","WV","Category",12,"Category2","Technical Institutes")</f>
        <v>0</v>
      </c>
      <c r="G538" s="65">
        <f t="shared" si="73"/>
        <v>0</v>
      </c>
      <c r="H538" s="64">
        <f>+GETPIVOTDATA(" New Inst. avg",'Averages Pivot Table'!$A$3,"State","WV","Category",12,"Category2","Technical Institutes")</f>
        <v>0</v>
      </c>
      <c r="I538" s="202">
        <f t="shared" si="74"/>
        <v>0</v>
      </c>
      <c r="J538" s="64">
        <f>+GETPIVOTDATA(" New Undesg. avg",'Averages Pivot Table'!$A$3,"State","WV","Category",12,"Category2","Technical Institutes")</f>
        <v>0</v>
      </c>
      <c r="K538" s="65">
        <f t="shared" si="75"/>
        <v>0</v>
      </c>
      <c r="L538" s="64">
        <f>+GETPIVOTDATA(" New Single Rnk avg",'Averages Pivot Table'!$A$3,"State","WV","Category",12,"Category2","Technical Institutes")</f>
        <v>0</v>
      </c>
      <c r="M538" s="202">
        <f t="shared" si="76"/>
        <v>0</v>
      </c>
      <c r="N538" s="64">
        <f>+GETPIVOTDATA(" New All Ranks avg",'Averages Pivot Table'!$A$3,"State","WV","Category",12,"Category2","Technical Institutes")</f>
        <v>0</v>
      </c>
      <c r="O538" s="202">
        <f t="shared" si="77"/>
        <v>0</v>
      </c>
    </row>
    <row r="539" spans="1:15" ht="30" customHeight="1">
      <c r="A539" s="628" t="s">
        <v>323</v>
      </c>
      <c r="B539" s="628"/>
      <c r="C539" s="628"/>
      <c r="D539" s="628"/>
      <c r="E539" s="628"/>
      <c r="F539" s="628"/>
      <c r="G539" s="628"/>
      <c r="H539" s="628"/>
      <c r="I539" s="628"/>
      <c r="J539" s="628"/>
      <c r="K539" s="628"/>
      <c r="L539" s="628"/>
      <c r="M539" s="628"/>
      <c r="N539" s="628"/>
      <c r="O539" s="628"/>
    </row>
    <row r="540" spans="1:15">
      <c r="O540" s="244" t="s">
        <v>1166</v>
      </c>
    </row>
    <row r="541" spans="1:15" ht="18">
      <c r="A541" s="618" t="s">
        <v>794</v>
      </c>
      <c r="B541" s="618"/>
      <c r="C541" s="618"/>
      <c r="D541" s="618"/>
      <c r="E541" s="618"/>
      <c r="F541" s="618"/>
      <c r="G541" s="618"/>
      <c r="H541" s="618"/>
      <c r="I541" s="618"/>
      <c r="J541" s="618"/>
      <c r="K541" s="618"/>
      <c r="L541" s="618"/>
      <c r="M541" s="618"/>
      <c r="N541" s="618"/>
      <c r="O541" s="618"/>
    </row>
    <row r="542" spans="1:15">
      <c r="A542" s="23"/>
      <c r="B542" s="5"/>
      <c r="C542" s="5"/>
      <c r="D542" s="5"/>
      <c r="E542" s="5"/>
      <c r="F542" s="5"/>
      <c r="G542" s="5"/>
      <c r="H542" s="5"/>
      <c r="I542" s="159"/>
      <c r="J542" s="5"/>
      <c r="K542" s="5"/>
      <c r="L542" s="5"/>
      <c r="M542" s="159"/>
      <c r="N542" s="5"/>
      <c r="O542" s="159"/>
    </row>
    <row r="543" spans="1:15">
      <c r="A543" s="619" t="s">
        <v>454</v>
      </c>
      <c r="B543" s="619"/>
      <c r="C543" s="619"/>
      <c r="D543" s="619"/>
      <c r="E543" s="619"/>
      <c r="F543" s="619"/>
      <c r="G543" s="619"/>
      <c r="H543" s="619"/>
      <c r="I543" s="619"/>
      <c r="J543" s="619"/>
      <c r="K543" s="619"/>
      <c r="L543" s="619"/>
      <c r="M543" s="619"/>
      <c r="N543" s="619"/>
      <c r="O543" s="619"/>
    </row>
    <row r="544" spans="1:15">
      <c r="A544" s="619" t="s">
        <v>1145</v>
      </c>
      <c r="B544" s="619"/>
      <c r="C544" s="619"/>
      <c r="D544" s="619"/>
      <c r="E544" s="619"/>
      <c r="F544" s="619"/>
      <c r="G544" s="619"/>
      <c r="H544" s="619"/>
      <c r="I544" s="619"/>
      <c r="J544" s="619"/>
      <c r="K544" s="619"/>
      <c r="L544" s="619"/>
      <c r="M544" s="619"/>
      <c r="N544" s="619"/>
      <c r="O544" s="619"/>
    </row>
    <row r="545" spans="1:19">
      <c r="A545" s="12"/>
      <c r="B545" s="5"/>
      <c r="C545" s="5"/>
      <c r="D545" s="5"/>
      <c r="E545" s="5"/>
      <c r="F545" s="5"/>
      <c r="G545" s="5"/>
      <c r="H545" s="5"/>
      <c r="I545" s="159"/>
      <c r="J545" s="5"/>
      <c r="K545" s="5"/>
      <c r="L545" s="5"/>
      <c r="M545" s="159"/>
      <c r="N545" s="5"/>
      <c r="O545" s="159"/>
    </row>
    <row r="546" spans="1:19" ht="31.5" customHeight="1">
      <c r="A546" s="15"/>
      <c r="B546" s="21" t="s">
        <v>332</v>
      </c>
      <c r="C546" s="22"/>
      <c r="D546" s="141" t="s">
        <v>333</v>
      </c>
      <c r="E546" s="142"/>
      <c r="F546" s="141" t="s">
        <v>334</v>
      </c>
      <c r="G546" s="142"/>
      <c r="H546" s="21" t="s">
        <v>335</v>
      </c>
      <c r="I546" s="225"/>
      <c r="J546" s="141" t="s">
        <v>461</v>
      </c>
      <c r="K546" s="142"/>
      <c r="L546" s="22" t="s">
        <v>314</v>
      </c>
      <c r="M546" s="225"/>
      <c r="N546" s="22" t="s">
        <v>316</v>
      </c>
      <c r="O546" s="225"/>
    </row>
    <row r="547" spans="1:19">
      <c r="A547" s="25"/>
      <c r="B547" s="19" t="s">
        <v>336</v>
      </c>
      <c r="C547" s="18" t="s">
        <v>427</v>
      </c>
      <c r="D547" s="19" t="s">
        <v>336</v>
      </c>
      <c r="E547" s="18" t="s">
        <v>427</v>
      </c>
      <c r="F547" s="19" t="s">
        <v>336</v>
      </c>
      <c r="G547" s="18" t="s">
        <v>427</v>
      </c>
      <c r="H547" s="19" t="s">
        <v>336</v>
      </c>
      <c r="I547" s="226" t="s">
        <v>427</v>
      </c>
      <c r="J547" s="19" t="s">
        <v>336</v>
      </c>
      <c r="K547" s="18" t="s">
        <v>427</v>
      </c>
      <c r="L547" s="19" t="s">
        <v>336</v>
      </c>
      <c r="M547" s="226" t="s">
        <v>427</v>
      </c>
      <c r="N547" s="19" t="s">
        <v>336</v>
      </c>
      <c r="O547" s="226" t="s">
        <v>427</v>
      </c>
    </row>
    <row r="548" spans="1:19" s="156" customFormat="1" ht="18" customHeight="1">
      <c r="A548" s="168" t="s">
        <v>456</v>
      </c>
      <c r="B548" s="172">
        <f>+GETPIVOTDATA(" New Prof avg",'Averages Pivot Table'!$A$3,"Category",13,"Category2","Technical Institutes")</f>
        <v>0</v>
      </c>
      <c r="C548" s="172"/>
      <c r="D548" s="172">
        <f>+GETPIVOTDATA(" New Asc. avg",'Averages Pivot Table'!$A$3,"Category",13,"Category2","Technical Institutes")</f>
        <v>0</v>
      </c>
      <c r="E548" s="172"/>
      <c r="F548" s="172">
        <f>+GETPIVOTDATA(" New Ast. avg",'Averages Pivot Table'!$A$3,"Category",13,"Category2","Technical Institutes")</f>
        <v>53078.270400000001</v>
      </c>
      <c r="G548" s="172"/>
      <c r="H548" s="172">
        <f>+GETPIVOTDATA(" New Inst. avg",'Averages Pivot Table'!$A$3,"Category",13,"Category2","Technical Institutes")</f>
        <v>37556.669825531921</v>
      </c>
      <c r="I548" s="229"/>
      <c r="J548" s="172">
        <f>+GETPIVOTDATA(" New Undesg. avg",'Averages Pivot Table'!$A$3,"Category",13,"Category2","Technical Institutes")</f>
        <v>26200</v>
      </c>
      <c r="K548" s="172"/>
      <c r="L548" s="172">
        <f>+GETPIVOTDATA(" New Single Rnk avg",'Averages Pivot Table'!$A$3,"Category",13,"Category2","Technical Institutes")</f>
        <v>44057.2800546328</v>
      </c>
      <c r="M548" s="229"/>
      <c r="N548" s="172">
        <f>+GETPIVOTDATA(" New All Ranks avg",'Averages Pivot Table'!$A$3,"Category",13,"Category2","Technical Institutes")</f>
        <v>43801.787279337739</v>
      </c>
      <c r="O548" s="216"/>
      <c r="Q548" s="193"/>
      <c r="R548" s="193"/>
      <c r="S548" s="193"/>
    </row>
    <row r="549" spans="1:19" ht="12.95" customHeight="1">
      <c r="A549" s="12"/>
      <c r="B549" s="9"/>
      <c r="C549" s="17"/>
      <c r="D549" s="9"/>
      <c r="E549" s="17"/>
      <c r="F549" s="9"/>
      <c r="G549" s="17"/>
      <c r="H549" s="9"/>
      <c r="I549" s="233"/>
      <c r="J549" s="9"/>
      <c r="K549" s="17"/>
      <c r="L549" s="9"/>
      <c r="M549" s="233"/>
      <c r="N549" s="9"/>
      <c r="O549" s="217"/>
    </row>
    <row r="550" spans="1:19" ht="12.95" customHeight="1">
      <c r="A550" s="12" t="s">
        <v>439</v>
      </c>
      <c r="B550" s="62">
        <f>+GETPIVOTDATA(" New Prof avg",'Averages Pivot Table'!$A$3,"State","AL","Category",13,"Category2","Technical Institutes")</f>
        <v>0</v>
      </c>
      <c r="C550" s="130">
        <f>IF(B550&gt;0,(RANK(B550,B$550:B$568)),0)</f>
        <v>0</v>
      </c>
      <c r="D550" s="62">
        <f>+GETPIVOTDATA(" New Asc. avg",'Averages Pivot Table'!$A$3,"State","AL","Category",13,"Category2","Technical Institutes")</f>
        <v>0</v>
      </c>
      <c r="E550" s="130">
        <f>IF(D550&gt;0,(RANK(D550,D$550:D$568)),0)</f>
        <v>0</v>
      </c>
      <c r="F550" s="62">
        <f>+GETPIVOTDATA(" New Ast. avg",'Averages Pivot Table'!$A$3,"State","AL","Category",13,"Category2","Technical Institutes")</f>
        <v>0</v>
      </c>
      <c r="G550" s="130">
        <f t="shared" ref="G550:G568" si="79">IF(F550&gt;0,(RANK(F550,F$550:F$568)),0)</f>
        <v>0</v>
      </c>
      <c r="H550" s="62">
        <f>+GETPIVOTDATA(" New Inst. avg",'Averages Pivot Table'!$A$3,"State","AL","Category",13,"Category2","Technical Institutes")</f>
        <v>0</v>
      </c>
      <c r="I550" s="201">
        <f t="shared" ref="I550:I568" si="80">IF(H550&gt;0,(RANK(H550,H$550:H$568)),0)</f>
        <v>0</v>
      </c>
      <c r="J550" s="62">
        <f>+GETPIVOTDATA(" New Undesg. avg",'Averages Pivot Table'!$A$3,"State","AL","Category",13,"Category2","Technical Institutes")</f>
        <v>0</v>
      </c>
      <c r="K550" s="130">
        <f t="shared" ref="K550:K568" si="81">IF(J550&gt;0,(RANK(J550,J$550:J$568)),0)</f>
        <v>0</v>
      </c>
      <c r="L550" s="62">
        <f>+GETPIVOTDATA(" New Single Rnk avg",'Averages Pivot Table'!$A$3,"State","AL","Category",13,"Category2","Technical Institutes")</f>
        <v>52453.511352941176</v>
      </c>
      <c r="M550" s="201">
        <f t="shared" ref="M550:M568" si="82">IF(L550&gt;0,(RANK(L550,L$550:L$568)),0)</f>
        <v>1</v>
      </c>
      <c r="N550" s="62">
        <f>+GETPIVOTDATA(" New All Ranks avg",'Averages Pivot Table'!$A$3,"State","AL","Category",13,"Category2","Technical Institutes")</f>
        <v>52453.511352941176</v>
      </c>
      <c r="O550" s="201">
        <f t="shared" ref="O550:O568" si="83">IF(N550&gt;0,(RANK(N550,N$550:N$568)),0)</f>
        <v>1</v>
      </c>
    </row>
    <row r="551" spans="1:19" ht="12.95" customHeight="1">
      <c r="A551" s="12" t="s">
        <v>440</v>
      </c>
      <c r="B551" s="62">
        <f>+GETPIVOTDATA(" New Prof avg",'Averages Pivot Table'!$A$3,"State","AR","Category",13,"Category2","Technical Institutes")</f>
        <v>0</v>
      </c>
      <c r="C551" s="130">
        <f t="shared" ref="C551:E568" si="84">IF(B551&gt;0,(RANK(B551,B$550:B$568)),0)</f>
        <v>0</v>
      </c>
      <c r="D551" s="62">
        <f>+GETPIVOTDATA(" New Asc. avg",'Averages Pivot Table'!$A$3,"State","AR","Category",13,"Category2","Technical Institutes")</f>
        <v>0</v>
      </c>
      <c r="E551" s="130">
        <f t="shared" si="84"/>
        <v>0</v>
      </c>
      <c r="F551" s="62">
        <f>+GETPIVOTDATA(" New Ast. avg",'Averages Pivot Table'!$A$3,"State","AR","Category",13,"Category2","Technical Institutes")</f>
        <v>0</v>
      </c>
      <c r="G551" s="130">
        <f t="shared" si="79"/>
        <v>0</v>
      </c>
      <c r="H551" s="62">
        <f>+GETPIVOTDATA(" New Inst. avg",'Averages Pivot Table'!$A$3,"State","AR","Category",13,"Category2","Technical Institutes")</f>
        <v>0</v>
      </c>
      <c r="I551" s="201">
        <f t="shared" si="80"/>
        <v>0</v>
      </c>
      <c r="J551" s="62">
        <f>+GETPIVOTDATA(" New Undesg. avg",'Averages Pivot Table'!$A$3,"State","AR","Category",13,"Category2","Technical Institutes")</f>
        <v>0</v>
      </c>
      <c r="K551" s="130">
        <f t="shared" si="81"/>
        <v>0</v>
      </c>
      <c r="L551" s="62">
        <f>+GETPIVOTDATA(" New Single Rnk avg",'Averages Pivot Table'!$A$3,"State","AR","Category",13,"Category2","Technical Institutes")</f>
        <v>0</v>
      </c>
      <c r="M551" s="201">
        <f t="shared" si="82"/>
        <v>0</v>
      </c>
      <c r="N551" s="62">
        <f>+GETPIVOTDATA(" New All Ranks avg",'Averages Pivot Table'!$A$3,"State","AR","Category",13,"Category2","Technical Institutes")</f>
        <v>0</v>
      </c>
      <c r="O551" s="201">
        <f t="shared" si="83"/>
        <v>0</v>
      </c>
    </row>
    <row r="552" spans="1:19" ht="12.95" customHeight="1">
      <c r="A552" s="12" t="s">
        <v>455</v>
      </c>
      <c r="B552" s="62">
        <f>+GETPIVOTDATA(" New Prof avg",'Averages Pivot Table'!$A$3,"State","DE","Category",13,"Category2","Technical Institutes")</f>
        <v>0</v>
      </c>
      <c r="C552" s="130">
        <f t="shared" si="84"/>
        <v>0</v>
      </c>
      <c r="D552" s="62">
        <f>+GETPIVOTDATA(" New Asc. avg",'Averages Pivot Table'!$A$3,"State","DE","Category",13,"Category2","Technical Institutes")</f>
        <v>0</v>
      </c>
      <c r="E552" s="130">
        <f t="shared" si="84"/>
        <v>0</v>
      </c>
      <c r="F552" s="62">
        <f>+GETPIVOTDATA(" New Ast. avg",'Averages Pivot Table'!$A$3,"State","DE","Category",13,"Category2","Technical Institutes")</f>
        <v>0</v>
      </c>
      <c r="G552" s="130">
        <f t="shared" si="79"/>
        <v>0</v>
      </c>
      <c r="H552" s="62">
        <f>+GETPIVOTDATA(" New Inst. avg",'Averages Pivot Table'!$A$3,"State","DE","Category",13,"Category2","Technical Institutes")</f>
        <v>0</v>
      </c>
      <c r="I552" s="201">
        <f t="shared" si="80"/>
        <v>0</v>
      </c>
      <c r="J552" s="62">
        <f>+GETPIVOTDATA(" New Undesg. avg",'Averages Pivot Table'!$A$3,"State","DE","Category",13,"Category2","Technical Institutes")</f>
        <v>0</v>
      </c>
      <c r="K552" s="130">
        <f t="shared" si="81"/>
        <v>0</v>
      </c>
      <c r="L552" s="62">
        <f>+GETPIVOTDATA(" New Single Rnk avg",'Averages Pivot Table'!$A$3,"State","DE","Category",13,"Category2","Technical Institutes")</f>
        <v>0</v>
      </c>
      <c r="M552" s="201">
        <f t="shared" si="82"/>
        <v>0</v>
      </c>
      <c r="N552" s="62">
        <f>+GETPIVOTDATA(" New All Ranks avg",'Averages Pivot Table'!$A$3,"State","DE","Category",13,"Category2","Technical Institutes")</f>
        <v>0</v>
      </c>
      <c r="O552" s="201">
        <f t="shared" si="83"/>
        <v>0</v>
      </c>
    </row>
    <row r="553" spans="1:19" ht="12.95" customHeight="1">
      <c r="A553" s="12" t="s">
        <v>441</v>
      </c>
      <c r="B553" s="62">
        <f>+GETPIVOTDATA(" New Prof avg",'Averages Pivot Table'!$A$3,"State","FL","Category",13,"Category2","Technical Institutes")</f>
        <v>0</v>
      </c>
      <c r="C553" s="130">
        <f t="shared" si="84"/>
        <v>0</v>
      </c>
      <c r="D553" s="62">
        <f>+GETPIVOTDATA(" New Asc. avg",'Averages Pivot Table'!$A$3,"State","FL","Category",13,"Category2","Technical Institutes")</f>
        <v>0</v>
      </c>
      <c r="E553" s="130">
        <f t="shared" si="84"/>
        <v>0</v>
      </c>
      <c r="F553" s="62">
        <f>+GETPIVOTDATA(" New Ast. avg",'Averages Pivot Table'!$A$3,"State","FL","Category",13,"Category2","Technical Institutes")</f>
        <v>0</v>
      </c>
      <c r="G553" s="130">
        <f t="shared" si="79"/>
        <v>0</v>
      </c>
      <c r="H553" s="62">
        <f>+GETPIVOTDATA(" New Inst. avg",'Averages Pivot Table'!$A$3,"State","FL","Category",13,"Category2","Technical Institutes")</f>
        <v>0</v>
      </c>
      <c r="I553" s="201">
        <f t="shared" si="80"/>
        <v>0</v>
      </c>
      <c r="J553" s="62">
        <f>+GETPIVOTDATA(" New Undesg. avg",'Averages Pivot Table'!$A$3,"State","FL","Category",13,"Category2","Technical Institutes")</f>
        <v>0</v>
      </c>
      <c r="K553" s="130">
        <f t="shared" si="81"/>
        <v>0</v>
      </c>
      <c r="L553" s="62">
        <f>+GETPIVOTDATA(" New Single Rnk avg",'Averages Pivot Table'!$A$3,"State","FL","Category",13,"Category2","Technical Institutes")</f>
        <v>0</v>
      </c>
      <c r="M553" s="201">
        <f t="shared" si="82"/>
        <v>0</v>
      </c>
      <c r="N553" s="62">
        <f>+GETPIVOTDATA(" New All Ranks avg",'Averages Pivot Table'!$A$3,"State","FL","Category",13,"Category2","Technical Institutes")</f>
        <v>0</v>
      </c>
      <c r="O553" s="201">
        <f t="shared" si="83"/>
        <v>0</v>
      </c>
    </row>
    <row r="554" spans="1:19" ht="12.95" customHeight="1">
      <c r="A554" s="12"/>
      <c r="B554" s="62"/>
      <c r="C554" s="130">
        <f t="shared" si="84"/>
        <v>0</v>
      </c>
      <c r="D554" s="62"/>
      <c r="E554" s="130">
        <f t="shared" si="84"/>
        <v>0</v>
      </c>
      <c r="F554" s="62"/>
      <c r="G554" s="130">
        <f t="shared" si="79"/>
        <v>0</v>
      </c>
      <c r="H554" s="62"/>
      <c r="I554" s="201">
        <f t="shared" si="80"/>
        <v>0</v>
      </c>
      <c r="J554" s="62"/>
      <c r="K554" s="130">
        <f t="shared" si="81"/>
        <v>0</v>
      </c>
      <c r="L554" s="62"/>
      <c r="M554" s="201">
        <f t="shared" si="82"/>
        <v>0</v>
      </c>
      <c r="N554" s="62"/>
      <c r="O554" s="201">
        <f t="shared" si="83"/>
        <v>0</v>
      </c>
    </row>
    <row r="555" spans="1:19" ht="12.95" customHeight="1">
      <c r="A555" s="12" t="s">
        <v>442</v>
      </c>
      <c r="B555" s="62">
        <f>+GETPIVOTDATA(" New Prof avg",'Averages Pivot Table'!$A$3,"State","GA","Category",13,"Category2","Technical Institutes")</f>
        <v>0</v>
      </c>
      <c r="C555" s="130">
        <f t="shared" si="84"/>
        <v>0</v>
      </c>
      <c r="D555" s="62">
        <f>+GETPIVOTDATA(" New Asc. avg",'Averages Pivot Table'!$A$3,"State","GA","Category",13,"Category2","Technical Institutes")</f>
        <v>0</v>
      </c>
      <c r="E555" s="130">
        <f t="shared" si="84"/>
        <v>0</v>
      </c>
      <c r="F555" s="62">
        <f>+GETPIVOTDATA(" New Ast. avg",'Averages Pivot Table'!$A$3,"State","GA","Category",13,"Category2","Technical Institutes")</f>
        <v>0</v>
      </c>
      <c r="G555" s="130">
        <f t="shared" si="79"/>
        <v>0</v>
      </c>
      <c r="H555" s="62">
        <f>+GETPIVOTDATA(" New Inst. avg",'Averages Pivot Table'!$A$3,"State","GA","Category",13,"Category2","Technical Institutes")</f>
        <v>0</v>
      </c>
      <c r="I555" s="201">
        <f t="shared" si="80"/>
        <v>0</v>
      </c>
      <c r="J555" s="62">
        <f>+GETPIVOTDATA(" New Undesg. avg",'Averages Pivot Table'!$A$3,"State","GA","Category",13,"Category2","Technical Institutes")</f>
        <v>0</v>
      </c>
      <c r="K555" s="130">
        <f t="shared" si="81"/>
        <v>0</v>
      </c>
      <c r="L555" s="62">
        <f>+GETPIVOTDATA(" New Single Rnk avg",'Averages Pivot Table'!$A$3,"State","GA","Category",13,"Category2","Technical Institutes")</f>
        <v>37133.188799999996</v>
      </c>
      <c r="M555" s="201">
        <f t="shared" si="82"/>
        <v>3</v>
      </c>
      <c r="N555" s="62">
        <f>+GETPIVOTDATA(" New All Ranks avg",'Averages Pivot Table'!$A$3,"State","GA","Category",13,"Category2","Technical Institutes")</f>
        <v>37133.188799999996</v>
      </c>
      <c r="O555" s="201">
        <f t="shared" si="83"/>
        <v>3</v>
      </c>
    </row>
    <row r="556" spans="1:19" ht="12.95" customHeight="1">
      <c r="A556" s="12" t="s">
        <v>443</v>
      </c>
      <c r="B556" s="62">
        <f>+GETPIVOTDATA(" New Prof avg",'Averages Pivot Table'!$A$3,"State","KY","Category",13,"Category2","Technical Institutes")</f>
        <v>0</v>
      </c>
      <c r="C556" s="130">
        <f t="shared" si="84"/>
        <v>0</v>
      </c>
      <c r="D556" s="62">
        <f>+GETPIVOTDATA(" New Asc. avg",'Averages Pivot Table'!$A$3,"State","KY","Category",13,"Category2","Technical Institutes")</f>
        <v>0</v>
      </c>
      <c r="E556" s="130">
        <f t="shared" si="84"/>
        <v>0</v>
      </c>
      <c r="F556" s="62">
        <f>+GETPIVOTDATA(" New Ast. avg",'Averages Pivot Table'!$A$3,"State","KY","Category",13,"Category2","Technical Institutes")</f>
        <v>0</v>
      </c>
      <c r="G556" s="130">
        <f t="shared" si="79"/>
        <v>0</v>
      </c>
      <c r="H556" s="62">
        <f>+GETPIVOTDATA(" New Inst. avg",'Averages Pivot Table'!$A$3,"State","KY","Category",13,"Category2","Technical Institutes")</f>
        <v>0</v>
      </c>
      <c r="I556" s="201">
        <f t="shared" si="80"/>
        <v>0</v>
      </c>
      <c r="J556" s="62">
        <f>+GETPIVOTDATA(" New Undesg. avg",'Averages Pivot Table'!$A$3,"State","KY","Category",13,"Category2","Technical Institutes")</f>
        <v>0</v>
      </c>
      <c r="K556" s="130">
        <f t="shared" si="81"/>
        <v>0</v>
      </c>
      <c r="L556" s="62">
        <f>+GETPIVOTDATA(" New Single Rnk avg",'Averages Pivot Table'!$A$3,"State","KY","Category",13,"Category2","Technical Institutes")</f>
        <v>0</v>
      </c>
      <c r="M556" s="201">
        <f t="shared" si="82"/>
        <v>0</v>
      </c>
      <c r="N556" s="62">
        <f>+GETPIVOTDATA(" New All Ranks avg",'Averages Pivot Table'!$A$3,"State","KY","Category",13,"Category2","Technical Institutes")</f>
        <v>0</v>
      </c>
      <c r="O556" s="201">
        <f t="shared" si="83"/>
        <v>0</v>
      </c>
    </row>
    <row r="557" spans="1:19" ht="12.95" customHeight="1">
      <c r="A557" s="12" t="s">
        <v>444</v>
      </c>
      <c r="B557" s="62">
        <f>+GETPIVOTDATA(" New Prof avg",'Averages Pivot Table'!$A$3,"State","LA","Category",13,"Category2","Technical Institutes")</f>
        <v>0</v>
      </c>
      <c r="C557" s="130">
        <f t="shared" si="84"/>
        <v>0</v>
      </c>
      <c r="D557" s="62">
        <f>+GETPIVOTDATA(" New Asc. avg",'Averages Pivot Table'!$A$3,"State","LA","Category",13,"Category2","Technical Institutes")</f>
        <v>0</v>
      </c>
      <c r="E557" s="130">
        <f t="shared" si="84"/>
        <v>0</v>
      </c>
      <c r="F557" s="62">
        <f>+GETPIVOTDATA(" New Ast. avg",'Averages Pivot Table'!$A$3,"State","LA","Category",13,"Category2","Technical Institutes")</f>
        <v>53078.270400000001</v>
      </c>
      <c r="G557" s="130">
        <f t="shared" si="79"/>
        <v>1</v>
      </c>
      <c r="H557" s="62">
        <f>+GETPIVOTDATA(" New Inst. avg",'Averages Pivot Table'!$A$3,"State","LA","Category",13,"Category2","Technical Institutes")</f>
        <v>37556.669825531921</v>
      </c>
      <c r="I557" s="201">
        <f t="shared" si="80"/>
        <v>1</v>
      </c>
      <c r="J557" s="62">
        <f>+GETPIVOTDATA(" New Undesg. avg",'Averages Pivot Table'!$A$3,"State","LA","Category",13,"Category2","Technical Institutes")</f>
        <v>26200</v>
      </c>
      <c r="K557" s="130">
        <f t="shared" si="81"/>
        <v>1</v>
      </c>
      <c r="L557" s="62">
        <f>+GETPIVOTDATA(" New Single Rnk avg",'Averages Pivot Table'!$A$3,"State","LA","Category",13,"Category2","Technical Institutes")</f>
        <v>0</v>
      </c>
      <c r="M557" s="201">
        <f t="shared" si="82"/>
        <v>0</v>
      </c>
      <c r="N557" s="62">
        <f>+GETPIVOTDATA(" New All Ranks avg",'Averages Pivot Table'!$A$3,"State","LA","Category",13,"Category2","Technical Institutes")</f>
        <v>36778.146267924531</v>
      </c>
      <c r="O557" s="201">
        <f t="shared" si="83"/>
        <v>5</v>
      </c>
    </row>
    <row r="558" spans="1:19" ht="12.95" customHeight="1">
      <c r="A558" s="12" t="s">
        <v>445</v>
      </c>
      <c r="B558" s="62">
        <f>+GETPIVOTDATA(" New Prof avg",'Averages Pivot Table'!$A$3,"State","MD","Category",13,"Category2","Technical Institutes")</f>
        <v>0</v>
      </c>
      <c r="C558" s="130">
        <f>IF(B558&gt;0,(RANK(B558,B$550:B$568)),0)</f>
        <v>0</v>
      </c>
      <c r="D558" s="62">
        <f>+GETPIVOTDATA(" New Asc. avg",'Averages Pivot Table'!$A$3,"State","MD","Category",13,"Category2","Technical Institutes")</f>
        <v>0</v>
      </c>
      <c r="E558" s="130">
        <f t="shared" si="84"/>
        <v>0</v>
      </c>
      <c r="F558" s="62">
        <f>+GETPIVOTDATA(" New Ast. avg",'Averages Pivot Table'!$A$3,"State","MD","Category",13,"Category2","Technical Institutes")</f>
        <v>0</v>
      </c>
      <c r="G558" s="130">
        <f t="shared" si="79"/>
        <v>0</v>
      </c>
      <c r="H558" s="62">
        <f>+GETPIVOTDATA(" New Inst. avg",'Averages Pivot Table'!$A$3,"State","MD","Category",13,"Category2","Technical Institutes")</f>
        <v>0</v>
      </c>
      <c r="I558" s="201">
        <f t="shared" si="80"/>
        <v>0</v>
      </c>
      <c r="J558" s="62">
        <f>+GETPIVOTDATA(" New Undesg. avg",'Averages Pivot Table'!$A$3,"State","MD","Category",13,"Category2","Technical Institutes")</f>
        <v>0</v>
      </c>
      <c r="K558" s="130">
        <f t="shared" si="81"/>
        <v>0</v>
      </c>
      <c r="L558" s="62">
        <f>+GETPIVOTDATA(" New Single Rnk avg",'Averages Pivot Table'!$A$3,"State","MD","Category",13,"Category2","Technical Institutes")</f>
        <v>0</v>
      </c>
      <c r="M558" s="201">
        <f t="shared" si="82"/>
        <v>0</v>
      </c>
      <c r="N558" s="62">
        <f>+GETPIVOTDATA(" New All Ranks avg",'Averages Pivot Table'!$A$3,"State","MD","Category",13,"Category2","Technical Institutes")</f>
        <v>0</v>
      </c>
      <c r="O558" s="201">
        <f t="shared" si="83"/>
        <v>0</v>
      </c>
    </row>
    <row r="559" spans="1:19" ht="12.95" customHeight="1">
      <c r="A559" s="12"/>
      <c r="B559" s="62"/>
      <c r="C559" s="130">
        <f t="shared" si="84"/>
        <v>0</v>
      </c>
      <c r="D559" s="62"/>
      <c r="E559" s="130">
        <f t="shared" si="84"/>
        <v>0</v>
      </c>
      <c r="F559" s="62"/>
      <c r="G559" s="130">
        <f t="shared" si="79"/>
        <v>0</v>
      </c>
      <c r="H559" s="62"/>
      <c r="I559" s="201">
        <f t="shared" si="80"/>
        <v>0</v>
      </c>
      <c r="J559" s="62"/>
      <c r="K559" s="130">
        <f t="shared" si="81"/>
        <v>0</v>
      </c>
      <c r="L559" s="62"/>
      <c r="M559" s="201">
        <f t="shared" si="82"/>
        <v>0</v>
      </c>
      <c r="N559" s="62"/>
      <c r="O559" s="201">
        <f t="shared" si="83"/>
        <v>0</v>
      </c>
    </row>
    <row r="560" spans="1:19" ht="12.95" customHeight="1">
      <c r="A560" s="12" t="s">
        <v>446</v>
      </c>
      <c r="B560" s="62">
        <f>+GETPIVOTDATA(" New Prof avg",'Averages Pivot Table'!$A$3,"State","MS","Category",13,"Category2","Technical Institutes")</f>
        <v>0</v>
      </c>
      <c r="C560" s="130">
        <f t="shared" si="84"/>
        <v>0</v>
      </c>
      <c r="D560" s="62">
        <f>+GETPIVOTDATA(" New Asc. avg",'Averages Pivot Table'!$A$3,"State","MS","Category",13,"Category2","Technical Institutes")</f>
        <v>0</v>
      </c>
      <c r="E560" s="130">
        <f t="shared" si="84"/>
        <v>0</v>
      </c>
      <c r="F560" s="62">
        <f>+GETPIVOTDATA(" New Ast. avg",'Averages Pivot Table'!$A$3,"State","MS","Category",13,"Category2","Technical Institutes")</f>
        <v>0</v>
      </c>
      <c r="G560" s="130">
        <f t="shared" si="79"/>
        <v>0</v>
      </c>
      <c r="H560" s="62">
        <f>+GETPIVOTDATA(" New Inst. avg",'Averages Pivot Table'!$A$3,"State","MS","Category",13,"Category2","Technical Institutes")</f>
        <v>0</v>
      </c>
      <c r="I560" s="201">
        <f t="shared" si="80"/>
        <v>0</v>
      </c>
      <c r="J560" s="62">
        <f>+GETPIVOTDATA(" New Undesg. avg",'Averages Pivot Table'!$A$3,"State","MS","Category",13,"Category2","Technical Institutes")</f>
        <v>0</v>
      </c>
      <c r="K560" s="130">
        <f t="shared" si="81"/>
        <v>0</v>
      </c>
      <c r="L560" s="62">
        <f>+GETPIVOTDATA(" New Single Rnk avg",'Averages Pivot Table'!$A$3,"State","MS","Category",13,"Category2","Technical Institutes")</f>
        <v>0</v>
      </c>
      <c r="M560" s="201">
        <f t="shared" si="82"/>
        <v>0</v>
      </c>
      <c r="N560" s="62">
        <f>+GETPIVOTDATA(" New All Ranks avg",'Averages Pivot Table'!$A$3,"State","MS","Category",13,"Category2","Technical Institutes")</f>
        <v>0</v>
      </c>
      <c r="O560" s="201">
        <f t="shared" si="83"/>
        <v>0</v>
      </c>
    </row>
    <row r="561" spans="1:15" ht="12.95" customHeight="1">
      <c r="A561" s="12" t="s">
        <v>447</v>
      </c>
      <c r="B561" s="62">
        <f>+GETPIVOTDATA(" New Prof avg",'Averages Pivot Table'!$A$3,"State","NC","Category",13,"Category2","Technical Institutes")</f>
        <v>0</v>
      </c>
      <c r="C561" s="130">
        <f t="shared" si="84"/>
        <v>0</v>
      </c>
      <c r="D561" s="62">
        <f>+GETPIVOTDATA(" New Asc. avg",'Averages Pivot Table'!$A$3,"State","NC","Category",13,"Category2","Technical Institutes")</f>
        <v>0</v>
      </c>
      <c r="E561" s="130">
        <f t="shared" si="84"/>
        <v>0</v>
      </c>
      <c r="F561" s="62">
        <f>+GETPIVOTDATA(" New Ast. avg",'Averages Pivot Table'!$A$3,"State","NC","Category",13,"Category2","Technical Institutes")</f>
        <v>0</v>
      </c>
      <c r="G561" s="130">
        <f t="shared" si="79"/>
        <v>0</v>
      </c>
      <c r="H561" s="62">
        <f>+GETPIVOTDATA(" New Inst. avg",'Averages Pivot Table'!$A$3,"State","NC","Category",13,"Category2","Technical Institutes")</f>
        <v>0</v>
      </c>
      <c r="I561" s="201">
        <f t="shared" si="80"/>
        <v>0</v>
      </c>
      <c r="J561" s="62">
        <f>+GETPIVOTDATA(" New Undesg. avg",'Averages Pivot Table'!$A$3,"State","NC","Category",13,"Category2","Technical Institutes")</f>
        <v>0</v>
      </c>
      <c r="K561" s="130">
        <f t="shared" si="81"/>
        <v>0</v>
      </c>
      <c r="L561" s="62">
        <f>+GETPIVOTDATA(" New Single Rnk avg",'Averages Pivot Table'!$A$3,"State","NC","Category",13,"Category2","Technical Institutes")</f>
        <v>0</v>
      </c>
      <c r="M561" s="201">
        <f t="shared" si="82"/>
        <v>0</v>
      </c>
      <c r="N561" s="62">
        <f>+GETPIVOTDATA(" New All Ranks avg",'Averages Pivot Table'!$A$3,"State","NC","Category",13,"Category2","Technical Institutes")</f>
        <v>0</v>
      </c>
      <c r="O561" s="201">
        <f t="shared" si="83"/>
        <v>0</v>
      </c>
    </row>
    <row r="562" spans="1:15" ht="12.95" customHeight="1">
      <c r="A562" s="12" t="s">
        <v>448</v>
      </c>
      <c r="B562" s="62">
        <f>+GETPIVOTDATA(" New Prof avg",'Averages Pivot Table'!$A$3,"State","OK","Category",13,"Category2","Technical Institutes")</f>
        <v>0</v>
      </c>
      <c r="C562" s="130">
        <f t="shared" si="84"/>
        <v>0</v>
      </c>
      <c r="D562" s="62">
        <f>+GETPIVOTDATA(" New Asc. avg",'Averages Pivot Table'!$A$3,"State","OK","Category",13,"Category2","Technical Institutes")</f>
        <v>0</v>
      </c>
      <c r="E562" s="130">
        <f t="shared" si="84"/>
        <v>0</v>
      </c>
      <c r="F562" s="62">
        <f>+GETPIVOTDATA(" New Ast. avg",'Averages Pivot Table'!$A$3,"State","OK","Category",13,"Category2","Technical Institutes")</f>
        <v>0</v>
      </c>
      <c r="G562" s="130">
        <f t="shared" si="79"/>
        <v>0</v>
      </c>
      <c r="H562" s="62">
        <f>+GETPIVOTDATA(" New Inst. avg",'Averages Pivot Table'!$A$3,"State","OK","Category",13,"Category2","Technical Institutes")</f>
        <v>0</v>
      </c>
      <c r="I562" s="201">
        <f t="shared" si="80"/>
        <v>0</v>
      </c>
      <c r="J562" s="62">
        <f>+GETPIVOTDATA(" New Undesg. avg",'Averages Pivot Table'!$A$3,"State","OK","Category",13,"Category2","Technical Institutes")</f>
        <v>0</v>
      </c>
      <c r="K562" s="130">
        <f t="shared" si="81"/>
        <v>0</v>
      </c>
      <c r="L562" s="62">
        <f>+GETPIVOTDATA(" New Single Rnk avg",'Averages Pivot Table'!$A$3,"State","OK","Category",13,"Category2","Technical Institutes")</f>
        <v>48075.167293366103</v>
      </c>
      <c r="M562" s="201">
        <f t="shared" si="82"/>
        <v>2</v>
      </c>
      <c r="N562" s="62">
        <f>+GETPIVOTDATA(" New All Ranks avg",'Averages Pivot Table'!$A$3,"State","OK","Category",13,"Category2","Technical Institutes")</f>
        <v>48075.167293366103</v>
      </c>
      <c r="O562" s="201">
        <f t="shared" si="83"/>
        <v>2</v>
      </c>
    </row>
    <row r="563" spans="1:15" ht="12.95" customHeight="1">
      <c r="A563" s="12" t="s">
        <v>449</v>
      </c>
      <c r="B563" s="62">
        <f>+GETPIVOTDATA(" New Prof avg",'Averages Pivot Table'!$A$3,"State","SC","Category",13,"Category2","Technical Institutes")</f>
        <v>0</v>
      </c>
      <c r="C563" s="130">
        <f t="shared" si="84"/>
        <v>0</v>
      </c>
      <c r="D563" s="62">
        <f>+GETPIVOTDATA(" New Asc. avg",'Averages Pivot Table'!$A$3,"State","SC","Category",13,"Category2","Technical Institutes")</f>
        <v>0</v>
      </c>
      <c r="E563" s="130">
        <f t="shared" si="84"/>
        <v>0</v>
      </c>
      <c r="F563" s="62">
        <f>+GETPIVOTDATA(" New Ast. avg",'Averages Pivot Table'!$A$3,"State","SC","Category",13,"Category2","Technical Institutes")</f>
        <v>0</v>
      </c>
      <c r="G563" s="130">
        <f t="shared" si="79"/>
        <v>0</v>
      </c>
      <c r="H563" s="62">
        <f>+GETPIVOTDATA(" New Inst. avg",'Averages Pivot Table'!$A$3,"State","SC","Category",13,"Category2","Technical Institutes")</f>
        <v>0</v>
      </c>
      <c r="I563" s="201">
        <f t="shared" si="80"/>
        <v>0</v>
      </c>
      <c r="J563" s="62">
        <f>+GETPIVOTDATA(" New Undesg. avg",'Averages Pivot Table'!$A$3,"State","SC","Category",13,"Category2","Technical Institutes")</f>
        <v>0</v>
      </c>
      <c r="K563" s="130">
        <f t="shared" si="81"/>
        <v>0</v>
      </c>
      <c r="L563" s="62">
        <f>+GETPIVOTDATA(" New Single Rnk avg",'Averages Pivot Table'!$A$3,"State","SC","Category",13,"Category2","Technical Institutes")</f>
        <v>0</v>
      </c>
      <c r="M563" s="201">
        <f t="shared" si="82"/>
        <v>0</v>
      </c>
      <c r="N563" s="62">
        <f>+GETPIVOTDATA(" New All Ranks avg",'Averages Pivot Table'!$A$3,"State","SC","Category",13,"Category2","Technical Institutes")</f>
        <v>0</v>
      </c>
      <c r="O563" s="201">
        <f t="shared" si="83"/>
        <v>0</v>
      </c>
    </row>
    <row r="564" spans="1:15" ht="12.95" customHeight="1">
      <c r="A564" s="12"/>
      <c r="B564" s="62"/>
      <c r="C564" s="130">
        <f t="shared" si="84"/>
        <v>0</v>
      </c>
      <c r="D564" s="62"/>
      <c r="E564" s="130">
        <f t="shared" si="84"/>
        <v>0</v>
      </c>
      <c r="F564" s="62"/>
      <c r="G564" s="130">
        <f t="shared" si="79"/>
        <v>0</v>
      </c>
      <c r="H564" s="62"/>
      <c r="I564" s="201">
        <f t="shared" si="80"/>
        <v>0</v>
      </c>
      <c r="J564" s="62"/>
      <c r="K564" s="130">
        <f t="shared" si="81"/>
        <v>0</v>
      </c>
      <c r="L564" s="62"/>
      <c r="M564" s="201">
        <f t="shared" si="82"/>
        <v>0</v>
      </c>
      <c r="N564" s="62"/>
      <c r="O564" s="201">
        <f t="shared" si="83"/>
        <v>0</v>
      </c>
    </row>
    <row r="565" spans="1:15" ht="12.95" customHeight="1">
      <c r="A565" s="12" t="s">
        <v>450</v>
      </c>
      <c r="B565" s="129">
        <f>+GETPIVOTDATA(" New Prof avg",'Averages Pivot Table'!$A$3,"State","TN","Category",13,"Category2","Technical Institutes")</f>
        <v>0</v>
      </c>
      <c r="C565" s="130">
        <f t="shared" si="84"/>
        <v>0</v>
      </c>
      <c r="D565" s="129">
        <f>+GETPIVOTDATA(" New Asc. avg",'Averages Pivot Table'!$A$3,"State","TN","Category",13,"Category2","Technical Institutes")</f>
        <v>0</v>
      </c>
      <c r="E565" s="130">
        <f t="shared" si="84"/>
        <v>0</v>
      </c>
      <c r="F565" s="129">
        <f>+GETPIVOTDATA(" New Ast. avg",'Averages Pivot Table'!$A$3,"State","TN","Category",13,"Category2","Technical Institutes")</f>
        <v>0</v>
      </c>
      <c r="G565" s="130">
        <f t="shared" si="79"/>
        <v>0</v>
      </c>
      <c r="H565" s="129">
        <f>+GETPIVOTDATA(" New Inst. avg",'Averages Pivot Table'!$A$3,"State","TN","Category",13,"Category2","Technical Institutes")</f>
        <v>0</v>
      </c>
      <c r="I565" s="201">
        <f t="shared" si="80"/>
        <v>0</v>
      </c>
      <c r="J565" s="129">
        <f>+GETPIVOTDATA(" New Undesg. avg",'Averages Pivot Table'!$A$3,"State","TN","Category",13,"Category2","Technical Institutes")</f>
        <v>0</v>
      </c>
      <c r="K565" s="130">
        <f t="shared" si="81"/>
        <v>0</v>
      </c>
      <c r="L565" s="129">
        <f>+GETPIVOTDATA(" New Single Rnk avg",'Averages Pivot Table'!$A$3,"State","TN","Category",13,"Category2","Technical Institutes")</f>
        <v>36905.217244990548</v>
      </c>
      <c r="M565" s="201">
        <f t="shared" si="82"/>
        <v>4</v>
      </c>
      <c r="N565" s="62">
        <f>+GETPIVOTDATA(" New All Ranks avg",'Averages Pivot Table'!$A$3,"State","TN","Category",13,"Category2","Technical Institutes")</f>
        <v>36905.217244990548</v>
      </c>
      <c r="O565" s="201">
        <f t="shared" si="83"/>
        <v>4</v>
      </c>
    </row>
    <row r="566" spans="1:15" ht="12.95" customHeight="1">
      <c r="A566" s="12" t="s">
        <v>451</v>
      </c>
      <c r="B566" s="129">
        <f>+GETPIVOTDATA(" New Prof avg",'Averages Pivot Table'!$A$3,"State","TX","Category",13,"Category2","Technical Institutes")</f>
        <v>0</v>
      </c>
      <c r="C566" s="130">
        <f t="shared" si="84"/>
        <v>0</v>
      </c>
      <c r="D566" s="129">
        <f>+GETPIVOTDATA(" New Asc. avg",'Averages Pivot Table'!$A$3,"State","TX","Category",13,"Category2","Technical Institutes")</f>
        <v>0</v>
      </c>
      <c r="E566" s="130">
        <f t="shared" si="84"/>
        <v>0</v>
      </c>
      <c r="F566" s="129">
        <f>+GETPIVOTDATA(" New Ast. avg",'Averages Pivot Table'!$A$3,"State","TX","Category",13,"Category2","Technical Institutes")</f>
        <v>0</v>
      </c>
      <c r="G566" s="130">
        <f t="shared" si="79"/>
        <v>0</v>
      </c>
      <c r="H566" s="129">
        <f>+GETPIVOTDATA(" New Inst. avg",'Averages Pivot Table'!$A$3,"State","TX","Category",13,"Category2","Technical Institutes")</f>
        <v>0</v>
      </c>
      <c r="I566" s="201">
        <f t="shared" si="80"/>
        <v>0</v>
      </c>
      <c r="J566" s="129">
        <f>+GETPIVOTDATA(" New Undesg. avg",'Averages Pivot Table'!$A$3,"State","TX","Category",13,"Category2","Technical Institutes")</f>
        <v>0</v>
      </c>
      <c r="K566" s="130">
        <f t="shared" si="81"/>
        <v>0</v>
      </c>
      <c r="L566" s="129">
        <f>+GETPIVOTDATA(" New Single Rnk avg",'Averages Pivot Table'!$A$3,"State","TX","Category",13,"Category2","Technical Institutes")</f>
        <v>0</v>
      </c>
      <c r="M566" s="201">
        <f t="shared" si="82"/>
        <v>0</v>
      </c>
      <c r="N566" s="62">
        <f>+GETPIVOTDATA(" New All Ranks avg",'Averages Pivot Table'!$A$3,"State","TX","Category",13,"Category2","Technical Institutes")</f>
        <v>0</v>
      </c>
      <c r="O566" s="201">
        <f t="shared" si="83"/>
        <v>0</v>
      </c>
    </row>
    <row r="567" spans="1:15" ht="12.95" customHeight="1">
      <c r="A567" s="12" t="s">
        <v>452</v>
      </c>
      <c r="B567" s="129">
        <f>+GETPIVOTDATA(" New Prof avg",'Averages Pivot Table'!$A$3,"State","VA","Category",13,"Category2","Technical Institutes")</f>
        <v>0</v>
      </c>
      <c r="C567" s="130">
        <f t="shared" si="84"/>
        <v>0</v>
      </c>
      <c r="D567" s="129">
        <f>+GETPIVOTDATA(" New Asc. avg",'Averages Pivot Table'!$A$3,"State","VA","Category",13,"Category2","Technical Institutes")</f>
        <v>0</v>
      </c>
      <c r="E567" s="130">
        <f t="shared" si="84"/>
        <v>0</v>
      </c>
      <c r="F567" s="129">
        <f>+GETPIVOTDATA(" New Ast. avg",'Averages Pivot Table'!$A$3,"State","VA","Category",13,"Category2","Technical Institutes")</f>
        <v>0</v>
      </c>
      <c r="G567" s="130">
        <f t="shared" si="79"/>
        <v>0</v>
      </c>
      <c r="H567" s="129">
        <f>+GETPIVOTDATA(" New Inst. avg",'Averages Pivot Table'!$A$3,"State","VA","Category",13,"Category2","Technical Institutes")</f>
        <v>0</v>
      </c>
      <c r="I567" s="201">
        <f t="shared" si="80"/>
        <v>0</v>
      </c>
      <c r="J567" s="129">
        <f>+GETPIVOTDATA(" New Undesg. avg",'Averages Pivot Table'!$A$3,"State","VA","Category",13,"Category2","Technical Institutes")</f>
        <v>0</v>
      </c>
      <c r="K567" s="130">
        <f t="shared" si="81"/>
        <v>0</v>
      </c>
      <c r="L567" s="129">
        <f>+GETPIVOTDATA(" New Single Rnk avg",'Averages Pivot Table'!$A$3,"State","VA","Category",13,"Category2","Technical Institutes")</f>
        <v>0</v>
      </c>
      <c r="M567" s="201">
        <f t="shared" si="82"/>
        <v>0</v>
      </c>
      <c r="N567" s="62">
        <f>+GETPIVOTDATA(" New All Ranks avg",'Averages Pivot Table'!$A$3,"State","VA","Category",13,"Category2","Technical Institutes")</f>
        <v>0</v>
      </c>
      <c r="O567" s="201">
        <f t="shared" si="83"/>
        <v>0</v>
      </c>
    </row>
    <row r="568" spans="1:15" ht="12.95" customHeight="1">
      <c r="A568" s="11" t="s">
        <v>453</v>
      </c>
      <c r="B568" s="64">
        <f>+GETPIVOTDATA(" New Prof avg",'Averages Pivot Table'!$A$3,"State","WV","Category",13,"Category2","Technical Institutes")</f>
        <v>0</v>
      </c>
      <c r="C568" s="65">
        <f t="shared" si="84"/>
        <v>0</v>
      </c>
      <c r="D568" s="64">
        <f>+GETPIVOTDATA(" New Asc. avg",'Averages Pivot Table'!$A$3,"State","WV","Category",13,"Category2","Technical Institutes")</f>
        <v>0</v>
      </c>
      <c r="E568" s="65">
        <f t="shared" si="84"/>
        <v>0</v>
      </c>
      <c r="F568" s="64">
        <f>+GETPIVOTDATA(" New Ast. avg",'Averages Pivot Table'!$A$3,"State","WV","Category",13,"Category2","Technical Institutes")</f>
        <v>0</v>
      </c>
      <c r="G568" s="65">
        <f t="shared" si="79"/>
        <v>0</v>
      </c>
      <c r="H568" s="64">
        <f>+GETPIVOTDATA(" New Inst. avg",'Averages Pivot Table'!$A$3,"State","WV","Category",13,"Category2","Technical Institutes")</f>
        <v>0</v>
      </c>
      <c r="I568" s="202">
        <f t="shared" si="80"/>
        <v>0</v>
      </c>
      <c r="J568" s="64">
        <f>+GETPIVOTDATA(" New Undesg. avg",'Averages Pivot Table'!$A$3,"State","WV","Category",13,"Category2","Technical Institutes")</f>
        <v>0</v>
      </c>
      <c r="K568" s="65">
        <f t="shared" si="81"/>
        <v>0</v>
      </c>
      <c r="L568" s="64">
        <f>+GETPIVOTDATA(" New Single Rnk avg",'Averages Pivot Table'!$A$3,"State","WV","Category",13,"Category2","Technical Institutes")</f>
        <v>0</v>
      </c>
      <c r="M568" s="202">
        <f t="shared" si="82"/>
        <v>0</v>
      </c>
      <c r="N568" s="64">
        <f>+GETPIVOTDATA(" New All Ranks avg",'Averages Pivot Table'!$A$3,"State","WV","Category",13,"Category2","Technical Institutes")</f>
        <v>0</v>
      </c>
      <c r="O568" s="202">
        <f t="shared" si="83"/>
        <v>0</v>
      </c>
    </row>
    <row r="569" spans="1:15" ht="30" customHeight="1">
      <c r="A569" s="628" t="s">
        <v>323</v>
      </c>
      <c r="B569" s="628"/>
      <c r="C569" s="628"/>
      <c r="D569" s="628"/>
      <c r="E569" s="628"/>
      <c r="F569" s="628"/>
      <c r="G569" s="628"/>
      <c r="H569" s="628"/>
      <c r="I569" s="628"/>
      <c r="J569" s="628"/>
      <c r="K569" s="628"/>
      <c r="L569" s="628"/>
      <c r="M569" s="628"/>
      <c r="N569" s="628"/>
      <c r="O569" s="628"/>
    </row>
    <row r="570" spans="1:15">
      <c r="O570" s="244" t="s">
        <v>1166</v>
      </c>
    </row>
    <row r="571" spans="1:15" ht="18">
      <c r="A571" s="618" t="s">
        <v>795</v>
      </c>
      <c r="B571" s="618"/>
      <c r="C571" s="618"/>
      <c r="D571" s="618"/>
      <c r="E571" s="618"/>
      <c r="F571" s="618"/>
      <c r="G571" s="618"/>
      <c r="H571" s="618"/>
      <c r="I571" s="618"/>
      <c r="J571" s="618"/>
      <c r="K571" s="618"/>
      <c r="L571" s="618"/>
      <c r="M571" s="618"/>
      <c r="N571" s="618"/>
      <c r="O571" s="618"/>
    </row>
    <row r="572" spans="1:15">
      <c r="A572" s="23"/>
      <c r="B572" s="5"/>
      <c r="C572" s="5"/>
      <c r="D572" s="5"/>
      <c r="E572" s="5"/>
      <c r="F572" s="5"/>
      <c r="G572" s="5"/>
      <c r="H572" s="5"/>
      <c r="I572" s="159"/>
      <c r="J572" s="5"/>
      <c r="K572" s="5"/>
      <c r="L572" s="5"/>
      <c r="M572" s="159"/>
      <c r="N572" s="5"/>
      <c r="O572" s="159"/>
    </row>
    <row r="573" spans="1:15">
      <c r="A573" s="619" t="s">
        <v>454</v>
      </c>
      <c r="B573" s="619"/>
      <c r="C573" s="619"/>
      <c r="D573" s="619"/>
      <c r="E573" s="619"/>
      <c r="F573" s="619"/>
      <c r="G573" s="619"/>
      <c r="H573" s="619"/>
      <c r="I573" s="619"/>
      <c r="J573" s="619"/>
      <c r="K573" s="619"/>
      <c r="L573" s="619"/>
      <c r="M573" s="619"/>
      <c r="N573" s="619"/>
      <c r="O573" s="619"/>
    </row>
    <row r="574" spans="1:15">
      <c r="A574" s="619" t="s">
        <v>1144</v>
      </c>
      <c r="B574" s="619"/>
      <c r="C574" s="619"/>
      <c r="D574" s="619"/>
      <c r="E574" s="619"/>
      <c r="F574" s="619"/>
      <c r="G574" s="619"/>
      <c r="H574" s="619"/>
      <c r="I574" s="619"/>
      <c r="J574" s="619"/>
      <c r="K574" s="619"/>
      <c r="L574" s="619"/>
      <c r="M574" s="619"/>
      <c r="N574" s="619"/>
      <c r="O574" s="619"/>
    </row>
    <row r="575" spans="1:15">
      <c r="A575" s="12"/>
      <c r="B575" s="5"/>
      <c r="C575" s="5"/>
      <c r="D575" s="5"/>
      <c r="E575" s="5"/>
      <c r="F575" s="5"/>
      <c r="G575" s="5"/>
      <c r="H575" s="5"/>
      <c r="I575" s="159"/>
      <c r="J575" s="5"/>
      <c r="K575" s="5"/>
      <c r="L575" s="5"/>
      <c r="M575" s="159"/>
      <c r="N575" s="5"/>
      <c r="O575" s="159"/>
    </row>
    <row r="576" spans="1:15" ht="33" customHeight="1">
      <c r="A576" s="15"/>
      <c r="B576" s="21" t="s">
        <v>332</v>
      </c>
      <c r="C576" s="22"/>
      <c r="D576" s="141" t="s">
        <v>333</v>
      </c>
      <c r="E576" s="142"/>
      <c r="F576" s="141" t="s">
        <v>334</v>
      </c>
      <c r="G576" s="142"/>
      <c r="H576" s="21" t="s">
        <v>335</v>
      </c>
      <c r="I576" s="225"/>
      <c r="J576" s="141" t="s">
        <v>461</v>
      </c>
      <c r="K576" s="142"/>
      <c r="L576" s="22" t="s">
        <v>314</v>
      </c>
      <c r="M576" s="225"/>
      <c r="N576" s="22" t="s">
        <v>316</v>
      </c>
      <c r="O576" s="225"/>
    </row>
    <row r="577" spans="1:19">
      <c r="A577" s="25"/>
      <c r="B577" s="19" t="s">
        <v>336</v>
      </c>
      <c r="C577" s="18" t="s">
        <v>427</v>
      </c>
      <c r="D577" s="19" t="s">
        <v>336</v>
      </c>
      <c r="E577" s="18" t="s">
        <v>427</v>
      </c>
      <c r="F577" s="19" t="s">
        <v>336</v>
      </c>
      <c r="G577" s="18" t="s">
        <v>427</v>
      </c>
      <c r="H577" s="19" t="s">
        <v>336</v>
      </c>
      <c r="I577" s="226" t="s">
        <v>427</v>
      </c>
      <c r="J577" s="19" t="s">
        <v>336</v>
      </c>
      <c r="K577" s="18" t="s">
        <v>427</v>
      </c>
      <c r="L577" s="19" t="s">
        <v>336</v>
      </c>
      <c r="M577" s="226" t="s">
        <v>427</v>
      </c>
      <c r="N577" s="19" t="s">
        <v>336</v>
      </c>
      <c r="O577" s="226" t="s">
        <v>427</v>
      </c>
    </row>
    <row r="578" spans="1:19" s="156" customFormat="1" ht="18" customHeight="1">
      <c r="A578" s="168" t="s">
        <v>456</v>
      </c>
      <c r="B578" s="172">
        <f>+GETPIVOTDATA(" New Prof avg",'Averages Pivot Table'!$A$3,"Category",14,"Category2","Technical Institutes")</f>
        <v>44248.624475510202</v>
      </c>
      <c r="C578" s="172"/>
      <c r="D578" s="172">
        <f>+GETPIVOTDATA(" New Asc. avg",'Averages Pivot Table'!$A$3,"Category",14,"Category2","Technical Institutes")</f>
        <v>39281.461257142859</v>
      </c>
      <c r="E578" s="172"/>
      <c r="F578" s="172">
        <f>+GETPIVOTDATA(" New Ast. avg",'Averages Pivot Table'!$A$3,"Category",14,"Category2","Technical Institutes")</f>
        <v>41960.064063157901</v>
      </c>
      <c r="G578" s="172"/>
      <c r="H578" s="172">
        <f>+GETPIVOTDATA(" New Inst. avg",'Averages Pivot Table'!$A$3,"Category",14,"Category2","Technical Institutes")</f>
        <v>38647.608942334096</v>
      </c>
      <c r="I578" s="229"/>
      <c r="J578" s="172">
        <f>+GETPIVOTDATA(" New Undesg. avg",'Averages Pivot Table'!$A$3,"Category",14,"Category2","Technical Institutes")</f>
        <v>0</v>
      </c>
      <c r="K578" s="172"/>
      <c r="L578" s="172">
        <f>+GETPIVOTDATA(" New Single Rnk avg",'Averages Pivot Table'!$A$3,"Category",14,"Category2","Technical Institutes")</f>
        <v>40268.537788679248</v>
      </c>
      <c r="M578" s="229"/>
      <c r="N578" s="172">
        <f>+GETPIVOTDATA(" New All Ranks avg",'Averages Pivot Table'!$A$3,"Category",14,"Category2","Technical Institutes")</f>
        <v>40024.100049110319</v>
      </c>
      <c r="O578" s="216"/>
      <c r="Q578" s="193"/>
      <c r="R578" s="193"/>
      <c r="S578" s="193"/>
    </row>
    <row r="579" spans="1:19" ht="12.95" customHeight="1">
      <c r="A579" s="12"/>
      <c r="B579" s="9"/>
      <c r="C579" s="17"/>
      <c r="D579" s="9"/>
      <c r="E579" s="17"/>
      <c r="F579" s="9"/>
      <c r="G579" s="17"/>
      <c r="H579" s="9"/>
      <c r="I579" s="233"/>
      <c r="J579" s="9"/>
      <c r="K579" s="17"/>
      <c r="L579" s="9"/>
      <c r="M579" s="233"/>
      <c r="N579" s="9"/>
      <c r="O579" s="217"/>
    </row>
    <row r="580" spans="1:19" ht="12.95" customHeight="1">
      <c r="A580" s="12" t="s">
        <v>439</v>
      </c>
      <c r="B580" s="62">
        <f>+GETPIVOTDATA(" New Prof avg",'Averages Pivot Table'!$A$3,"State","AL","Category",14,"Category2","Technical Institutes")</f>
        <v>0</v>
      </c>
      <c r="C580" s="130">
        <f>IF(B580&gt;0,(RANK(B580,B$580:B$598)),0)</f>
        <v>0</v>
      </c>
      <c r="D580" s="62">
        <f>+GETPIVOTDATA(" New Asc. avg",'Averages Pivot Table'!$A$3,"State","AL","Category",14,"Category2","Technical Institutes")</f>
        <v>0</v>
      </c>
      <c r="E580" s="130">
        <f>IF(D580&gt;0,(RANK(D580,D$580:D$598)),0)</f>
        <v>0</v>
      </c>
      <c r="F580" s="62">
        <f>+GETPIVOTDATA(" New Ast. avg",'Averages Pivot Table'!$A$3,"State","AL","Category",14,"Category2","Technical Institutes")</f>
        <v>0</v>
      </c>
      <c r="G580" s="130">
        <f t="shared" ref="G580:G598" si="85">IF(F580&gt;0,(RANK(F580,F$580:F$598)),0)</f>
        <v>0</v>
      </c>
      <c r="H580" s="62">
        <f>+GETPIVOTDATA(" New Inst. avg",'Averages Pivot Table'!$A$3,"State","AL","Category",14,"Category2","Technical Institutes")</f>
        <v>0</v>
      </c>
      <c r="I580" s="201">
        <f t="shared" ref="I580:I598" si="86">IF(H580&gt;0,(RANK(H580,H$580:H$598)),0)</f>
        <v>0</v>
      </c>
      <c r="J580" s="62">
        <f>+GETPIVOTDATA(" New Undesg. avg",'Averages Pivot Table'!$A$3,"State","AL","Category",14,"Category2","Technical Institutes")</f>
        <v>0</v>
      </c>
      <c r="K580" s="130">
        <f t="shared" ref="K580:K598" si="87">IF(J580&gt;0,(RANK(J580,J$580:J$598)),0)</f>
        <v>0</v>
      </c>
      <c r="L580" s="62">
        <f>+GETPIVOTDATA(" New Single Rnk avg",'Averages Pivot Table'!$A$3,"State","AL","Category",14,"Category2","Technical Institutes")</f>
        <v>0</v>
      </c>
      <c r="M580" s="201">
        <f t="shared" ref="M580:M598" si="88">IF(L580&gt;0,(RANK(L580,L$580:L$598)),0)</f>
        <v>0</v>
      </c>
      <c r="N580" s="62">
        <f>+GETPIVOTDATA(" New All Ranks avg",'Averages Pivot Table'!$A$3,"State","AL","Category",14,"Category2","Technical Institutes")</f>
        <v>0</v>
      </c>
      <c r="O580" s="201">
        <f t="shared" ref="O580:O598" si="89">IF(N580&gt;0,(RANK(N580,N$580:N$598)),0)</f>
        <v>0</v>
      </c>
    </row>
    <row r="581" spans="1:19" ht="12.95" customHeight="1">
      <c r="A581" s="12" t="s">
        <v>440</v>
      </c>
      <c r="B581" s="62">
        <f>+GETPIVOTDATA(" New Prof avg",'Averages Pivot Table'!$A$3,"State","AR","Category",14,"Category2","Technical Institutes")</f>
        <v>0</v>
      </c>
      <c r="C581" s="130">
        <f t="shared" ref="C581:E598" si="90">IF(B581&gt;0,(RANK(B581,B$580:B$598)),0)</f>
        <v>0</v>
      </c>
      <c r="D581" s="62">
        <f>+GETPIVOTDATA(" New Asc. avg",'Averages Pivot Table'!$A$3,"State","AR","Category",14,"Category2","Technical Institutes")</f>
        <v>0</v>
      </c>
      <c r="E581" s="130">
        <f t="shared" si="90"/>
        <v>0</v>
      </c>
      <c r="F581" s="62">
        <f>+GETPIVOTDATA(" New Ast. avg",'Averages Pivot Table'!$A$3,"State","AR","Category",14,"Category2","Technical Institutes")</f>
        <v>0</v>
      </c>
      <c r="G581" s="130">
        <f t="shared" si="85"/>
        <v>0</v>
      </c>
      <c r="H581" s="62">
        <f>+GETPIVOTDATA(" New Inst. avg",'Averages Pivot Table'!$A$3,"State","AR","Category",14,"Category2","Technical Institutes")</f>
        <v>0</v>
      </c>
      <c r="I581" s="201">
        <f t="shared" si="86"/>
        <v>0</v>
      </c>
      <c r="J581" s="62">
        <f>+GETPIVOTDATA(" New Undesg. avg",'Averages Pivot Table'!$A$3,"State","AR","Category",14,"Category2","Technical Institutes")</f>
        <v>0</v>
      </c>
      <c r="K581" s="130">
        <f t="shared" si="87"/>
        <v>0</v>
      </c>
      <c r="L581" s="62">
        <f>+GETPIVOTDATA(" New Single Rnk avg",'Averages Pivot Table'!$A$3,"State","AR","Category",14,"Category2","Technical Institutes")</f>
        <v>0</v>
      </c>
      <c r="M581" s="201">
        <f t="shared" si="88"/>
        <v>0</v>
      </c>
      <c r="N581" s="62">
        <f>+GETPIVOTDATA(" New All Ranks avg",'Averages Pivot Table'!$A$3,"State","AR","Category",14,"Category2","Technical Institutes")</f>
        <v>0</v>
      </c>
      <c r="O581" s="201">
        <f t="shared" si="89"/>
        <v>0</v>
      </c>
    </row>
    <row r="582" spans="1:19" ht="12.95" customHeight="1">
      <c r="A582" s="12" t="s">
        <v>455</v>
      </c>
      <c r="B582" s="62">
        <f>+GETPIVOTDATA(" New Prof avg",'Averages Pivot Table'!$A$3,"State","DE","Category",14,"Category2","Technical Institutes")</f>
        <v>0</v>
      </c>
      <c r="C582" s="130">
        <f t="shared" si="90"/>
        <v>0</v>
      </c>
      <c r="D582" s="62">
        <f>+GETPIVOTDATA(" New Asc. avg",'Averages Pivot Table'!$A$3,"State","DE","Category",14,"Category2","Technical Institutes")</f>
        <v>0</v>
      </c>
      <c r="E582" s="130">
        <f t="shared" si="90"/>
        <v>0</v>
      </c>
      <c r="F582" s="62">
        <f>+GETPIVOTDATA(" New Ast. avg",'Averages Pivot Table'!$A$3,"State","DE","Category",14,"Category2","Technical Institutes")</f>
        <v>0</v>
      </c>
      <c r="G582" s="130">
        <f t="shared" si="85"/>
        <v>0</v>
      </c>
      <c r="H582" s="62">
        <f>+GETPIVOTDATA(" New Inst. avg",'Averages Pivot Table'!$A$3,"State","DE","Category",14,"Category2","Technical Institutes")</f>
        <v>0</v>
      </c>
      <c r="I582" s="201">
        <f t="shared" si="86"/>
        <v>0</v>
      </c>
      <c r="J582" s="62">
        <f>+GETPIVOTDATA(" New Undesg. avg",'Averages Pivot Table'!$A$3,"State","DE","Category",14,"Category2","Technical Institutes")</f>
        <v>0</v>
      </c>
      <c r="K582" s="130">
        <f t="shared" si="87"/>
        <v>0</v>
      </c>
      <c r="L582" s="62">
        <f>+GETPIVOTDATA(" New Single Rnk avg",'Averages Pivot Table'!$A$3,"State","DE","Category",14,"Category2","Technical Institutes")</f>
        <v>0</v>
      </c>
      <c r="M582" s="201">
        <f t="shared" si="88"/>
        <v>0</v>
      </c>
      <c r="N582" s="62">
        <f>+GETPIVOTDATA(" New All Ranks avg",'Averages Pivot Table'!$A$3,"State","DE","Category",14,"Category2","Technical Institutes")</f>
        <v>0</v>
      </c>
      <c r="O582" s="201">
        <f t="shared" si="89"/>
        <v>0</v>
      </c>
    </row>
    <row r="583" spans="1:19" ht="12.95" customHeight="1">
      <c r="A583" s="12" t="s">
        <v>441</v>
      </c>
      <c r="B583" s="62">
        <f>+GETPIVOTDATA(" New Prof avg",'Averages Pivot Table'!$A$3,"State","FL","Category",14,"Category2","Technical Institutes")</f>
        <v>0</v>
      </c>
      <c r="C583" s="130">
        <f t="shared" si="90"/>
        <v>0</v>
      </c>
      <c r="D583" s="62">
        <f>+GETPIVOTDATA(" New Asc. avg",'Averages Pivot Table'!$A$3,"State","FL","Category",14,"Category2","Technical Institutes")</f>
        <v>0</v>
      </c>
      <c r="E583" s="130">
        <f t="shared" si="90"/>
        <v>0</v>
      </c>
      <c r="F583" s="62">
        <f>+GETPIVOTDATA(" New Ast. avg",'Averages Pivot Table'!$A$3,"State","FL","Category",14,"Category2","Technical Institutes")</f>
        <v>0</v>
      </c>
      <c r="G583" s="130">
        <f t="shared" si="85"/>
        <v>0</v>
      </c>
      <c r="H583" s="62">
        <f>+GETPIVOTDATA(" New Inst. avg",'Averages Pivot Table'!$A$3,"State","FL","Category",14,"Category2","Technical Institutes")</f>
        <v>0</v>
      </c>
      <c r="I583" s="201">
        <f t="shared" si="86"/>
        <v>0</v>
      </c>
      <c r="J583" s="62">
        <f>+GETPIVOTDATA(" New Undesg. avg",'Averages Pivot Table'!$A$3,"State","FL","Category",14,"Category2","Technical Institutes")</f>
        <v>0</v>
      </c>
      <c r="K583" s="130">
        <f t="shared" si="87"/>
        <v>0</v>
      </c>
      <c r="L583" s="62">
        <f>+GETPIVOTDATA(" New Single Rnk avg",'Averages Pivot Table'!$A$3,"State","FL","Category",14,"Category2","Technical Institutes")</f>
        <v>0</v>
      </c>
      <c r="M583" s="201">
        <f t="shared" si="88"/>
        <v>0</v>
      </c>
      <c r="N583" s="62">
        <f>+GETPIVOTDATA(" New All Ranks avg",'Averages Pivot Table'!$A$3,"State","FL","Category",14,"Category2","Technical Institutes")</f>
        <v>0</v>
      </c>
      <c r="O583" s="201">
        <f t="shared" si="89"/>
        <v>0</v>
      </c>
    </row>
    <row r="584" spans="1:19" ht="12.95" customHeight="1">
      <c r="A584" s="12"/>
      <c r="B584" s="62"/>
      <c r="C584" s="130">
        <f t="shared" si="90"/>
        <v>0</v>
      </c>
      <c r="D584" s="62"/>
      <c r="E584" s="130">
        <f t="shared" si="90"/>
        <v>0</v>
      </c>
      <c r="F584" s="62"/>
      <c r="G584" s="130">
        <f t="shared" si="85"/>
        <v>0</v>
      </c>
      <c r="H584" s="62"/>
      <c r="I584" s="201">
        <f t="shared" si="86"/>
        <v>0</v>
      </c>
      <c r="J584" s="62"/>
      <c r="K584" s="130">
        <f t="shared" si="87"/>
        <v>0</v>
      </c>
      <c r="L584" s="62"/>
      <c r="M584" s="201">
        <f t="shared" si="88"/>
        <v>0</v>
      </c>
      <c r="N584" s="62"/>
      <c r="O584" s="201">
        <f t="shared" si="89"/>
        <v>0</v>
      </c>
    </row>
    <row r="585" spans="1:19" ht="12.95" customHeight="1">
      <c r="A585" s="12" t="s">
        <v>442</v>
      </c>
      <c r="B585" s="62">
        <f>+GETPIVOTDATA(" New Prof avg",'Averages Pivot Table'!$A$3,"State","GA","Category",14,"Category2","Technical Institutes")</f>
        <v>0</v>
      </c>
      <c r="C585" s="130">
        <f t="shared" si="90"/>
        <v>0</v>
      </c>
      <c r="D585" s="62">
        <f>+GETPIVOTDATA(" New Asc. avg",'Averages Pivot Table'!$A$3,"State","GA","Category",14,"Category2","Technical Institutes")</f>
        <v>0</v>
      </c>
      <c r="E585" s="130">
        <f t="shared" si="90"/>
        <v>0</v>
      </c>
      <c r="F585" s="62">
        <f>+GETPIVOTDATA(" New Ast. avg",'Averages Pivot Table'!$A$3,"State","GA","Category",14,"Category2","Technical Institutes")</f>
        <v>0</v>
      </c>
      <c r="G585" s="130">
        <f t="shared" si="85"/>
        <v>0</v>
      </c>
      <c r="H585" s="62">
        <f>+GETPIVOTDATA(" New Inst. avg",'Averages Pivot Table'!$A$3,"State","GA","Category",14,"Category2","Technical Institutes")</f>
        <v>0</v>
      </c>
      <c r="I585" s="201">
        <f t="shared" si="86"/>
        <v>0</v>
      </c>
      <c r="J585" s="62">
        <f>+GETPIVOTDATA(" New Undesg. avg",'Averages Pivot Table'!$A$3,"State","GA","Category",14,"Category2","Technical Institutes")</f>
        <v>0</v>
      </c>
      <c r="K585" s="130">
        <f t="shared" si="87"/>
        <v>0</v>
      </c>
      <c r="L585" s="62">
        <f>+GETPIVOTDATA(" New Single Rnk avg",'Averages Pivot Table'!$A$3,"State","GA","Category",14,"Category2","Technical Institutes")</f>
        <v>0</v>
      </c>
      <c r="M585" s="201">
        <f t="shared" si="88"/>
        <v>0</v>
      </c>
      <c r="N585" s="62">
        <f>+GETPIVOTDATA(" New All Ranks avg",'Averages Pivot Table'!$A$3,"State","GA","Category",14,"Category2","Technical Institutes")</f>
        <v>0</v>
      </c>
      <c r="O585" s="201">
        <f t="shared" si="89"/>
        <v>0</v>
      </c>
    </row>
    <row r="586" spans="1:19" ht="12.95" customHeight="1">
      <c r="A586" s="12" t="s">
        <v>443</v>
      </c>
      <c r="B586" s="62">
        <f>+GETPIVOTDATA(" New Prof avg",'Averages Pivot Table'!$A$3,"State","KY","Category",14,"Category2","Technical Institutes")</f>
        <v>0</v>
      </c>
      <c r="C586" s="130">
        <f t="shared" si="90"/>
        <v>0</v>
      </c>
      <c r="D586" s="62">
        <f>+GETPIVOTDATA(" New Asc. avg",'Averages Pivot Table'!$A$3,"State","KY","Category",14,"Category2","Technical Institutes")</f>
        <v>0</v>
      </c>
      <c r="E586" s="130">
        <f t="shared" si="90"/>
        <v>0</v>
      </c>
      <c r="F586" s="62">
        <f>+GETPIVOTDATA(" New Ast. avg",'Averages Pivot Table'!$A$3,"State","KY","Category",14,"Category2","Technical Institutes")</f>
        <v>0</v>
      </c>
      <c r="G586" s="130">
        <f t="shared" si="85"/>
        <v>0</v>
      </c>
      <c r="H586" s="62">
        <f>+GETPIVOTDATA(" New Inst. avg",'Averages Pivot Table'!$A$3,"State","KY","Category",14,"Category2","Technical Institutes")</f>
        <v>0</v>
      </c>
      <c r="I586" s="201">
        <f t="shared" si="86"/>
        <v>0</v>
      </c>
      <c r="J586" s="62">
        <f>+GETPIVOTDATA(" New Undesg. avg",'Averages Pivot Table'!$A$3,"State","KY","Category",14,"Category2","Technical Institutes")</f>
        <v>0</v>
      </c>
      <c r="K586" s="130">
        <f t="shared" si="87"/>
        <v>0</v>
      </c>
      <c r="L586" s="62">
        <f>+GETPIVOTDATA(" New Single Rnk avg",'Averages Pivot Table'!$A$3,"State","KY","Category",14,"Category2","Technical Institutes")</f>
        <v>0</v>
      </c>
      <c r="M586" s="201">
        <f t="shared" si="88"/>
        <v>0</v>
      </c>
      <c r="N586" s="62">
        <f>+GETPIVOTDATA(" New All Ranks avg",'Averages Pivot Table'!$A$3,"State","KY","Category",14,"Category2","Technical Institutes")</f>
        <v>0</v>
      </c>
      <c r="O586" s="201">
        <f t="shared" si="89"/>
        <v>0</v>
      </c>
    </row>
    <row r="587" spans="1:19" ht="12.95" customHeight="1">
      <c r="A587" s="12" t="s">
        <v>444</v>
      </c>
      <c r="B587" s="62">
        <f>+GETPIVOTDATA(" New Prof avg",'Averages Pivot Table'!$A$3,"State","LA","Category",14,"Category2","Technical Institutes")</f>
        <v>44248.624475510202</v>
      </c>
      <c r="C587" s="130">
        <f t="shared" si="90"/>
        <v>1</v>
      </c>
      <c r="D587" s="62">
        <f>+GETPIVOTDATA(" New Asc. avg",'Averages Pivot Table'!$A$3,"State","LA","Category",14,"Category2","Technical Institutes")</f>
        <v>39281.461257142859</v>
      </c>
      <c r="E587" s="130">
        <f t="shared" si="90"/>
        <v>1</v>
      </c>
      <c r="F587" s="62">
        <f>+GETPIVOTDATA(" New Ast. avg",'Averages Pivot Table'!$A$3,"State","LA","Category",14,"Category2","Technical Institutes")</f>
        <v>41960.064063157901</v>
      </c>
      <c r="G587" s="130">
        <f t="shared" si="85"/>
        <v>1</v>
      </c>
      <c r="H587" s="62">
        <f>+GETPIVOTDATA(" New Inst. avg",'Averages Pivot Table'!$A$3,"State","LA","Category",14,"Category2","Technical Institutes")</f>
        <v>38647.608942334096</v>
      </c>
      <c r="I587" s="201">
        <f t="shared" si="86"/>
        <v>1</v>
      </c>
      <c r="J587" s="62">
        <f>+GETPIVOTDATA(" New Undesg. avg",'Averages Pivot Table'!$A$3,"State","LA","Category",14,"Category2","Technical Institutes")</f>
        <v>0</v>
      </c>
      <c r="K587" s="130">
        <f t="shared" si="87"/>
        <v>0</v>
      </c>
      <c r="L587" s="62">
        <f>+GETPIVOTDATA(" New Single Rnk avg",'Averages Pivot Table'!$A$3,"State","LA","Category",14,"Category2","Technical Institutes")</f>
        <v>40167.582183206105</v>
      </c>
      <c r="M587" s="201">
        <f t="shared" si="88"/>
        <v>2</v>
      </c>
      <c r="N587" s="62">
        <f>+GETPIVOTDATA(" New All Ranks avg",'Averages Pivot Table'!$A$3,"State","LA","Category",14,"Category2","Technical Institutes")</f>
        <v>39975.470922361361</v>
      </c>
      <c r="O587" s="201">
        <f t="shared" si="89"/>
        <v>2</v>
      </c>
    </row>
    <row r="588" spans="1:19" ht="12.95" customHeight="1">
      <c r="A588" s="12" t="s">
        <v>445</v>
      </c>
      <c r="B588" s="62">
        <f>+GETPIVOTDATA(" New Prof avg",'Averages Pivot Table'!$A$3,"State","MD","Category",14,"Category2","Technical Institutes")</f>
        <v>0</v>
      </c>
      <c r="C588" s="130">
        <f t="shared" si="90"/>
        <v>0</v>
      </c>
      <c r="D588" s="62">
        <f>+GETPIVOTDATA(" New Asc. avg",'Averages Pivot Table'!$A$3,"State","MD","Category",14,"Category2","Technical Institutes")</f>
        <v>0</v>
      </c>
      <c r="E588" s="130">
        <f t="shared" si="90"/>
        <v>0</v>
      </c>
      <c r="F588" s="62">
        <f>+GETPIVOTDATA(" New Ast. avg",'Averages Pivot Table'!$A$3,"State","MD","Category",14,"Category2","Technical Institutes")</f>
        <v>0</v>
      </c>
      <c r="G588" s="130">
        <f t="shared" si="85"/>
        <v>0</v>
      </c>
      <c r="H588" s="62">
        <f>+GETPIVOTDATA(" New Inst. avg",'Averages Pivot Table'!$A$3,"State","MD","Category",14,"Category2","Technical Institutes")</f>
        <v>0</v>
      </c>
      <c r="I588" s="201">
        <f t="shared" si="86"/>
        <v>0</v>
      </c>
      <c r="J588" s="62">
        <f>+GETPIVOTDATA(" New Undesg. avg",'Averages Pivot Table'!$A$3,"State","MD","Category",14,"Category2","Technical Institutes")</f>
        <v>0</v>
      </c>
      <c r="K588" s="130">
        <f t="shared" si="87"/>
        <v>0</v>
      </c>
      <c r="L588" s="62">
        <f>+GETPIVOTDATA(" New Single Rnk avg",'Averages Pivot Table'!$A$3,"State","MD","Category",14,"Category2","Technical Institutes")</f>
        <v>0</v>
      </c>
      <c r="M588" s="201">
        <f t="shared" si="88"/>
        <v>0</v>
      </c>
      <c r="N588" s="62">
        <f>+GETPIVOTDATA(" New All Ranks avg",'Averages Pivot Table'!$A$3,"State","MD","Category",14,"Category2","Technical Institutes")</f>
        <v>0</v>
      </c>
      <c r="O588" s="201">
        <f t="shared" si="89"/>
        <v>0</v>
      </c>
    </row>
    <row r="589" spans="1:19" ht="12.95" customHeight="1">
      <c r="A589" s="12"/>
      <c r="B589" s="62"/>
      <c r="C589" s="130">
        <f t="shared" si="90"/>
        <v>0</v>
      </c>
      <c r="D589" s="62"/>
      <c r="E589" s="130">
        <f t="shared" si="90"/>
        <v>0</v>
      </c>
      <c r="F589" s="62"/>
      <c r="G589" s="130">
        <f t="shared" si="85"/>
        <v>0</v>
      </c>
      <c r="H589" s="62"/>
      <c r="I589" s="201">
        <f t="shared" si="86"/>
        <v>0</v>
      </c>
      <c r="J589" s="62"/>
      <c r="K589" s="130">
        <f t="shared" si="87"/>
        <v>0</v>
      </c>
      <c r="L589" s="62"/>
      <c r="M589" s="201">
        <f t="shared" si="88"/>
        <v>0</v>
      </c>
      <c r="N589" s="62"/>
      <c r="O589" s="201">
        <f t="shared" si="89"/>
        <v>0</v>
      </c>
    </row>
    <row r="590" spans="1:19" ht="12.95" customHeight="1">
      <c r="A590" s="12" t="s">
        <v>446</v>
      </c>
      <c r="B590" s="62">
        <f>+GETPIVOTDATA(" New Prof avg",'Averages Pivot Table'!$A$3,"State","MS","Category",14,"Category2","Technical Institutes")</f>
        <v>0</v>
      </c>
      <c r="C590" s="130">
        <f t="shared" si="90"/>
        <v>0</v>
      </c>
      <c r="D590" s="62">
        <f>+GETPIVOTDATA(" New Asc. avg",'Averages Pivot Table'!$A$3,"State","MS","Category",14,"Category2","Technical Institutes")</f>
        <v>0</v>
      </c>
      <c r="E590" s="130">
        <f t="shared" si="90"/>
        <v>0</v>
      </c>
      <c r="F590" s="62">
        <f>+GETPIVOTDATA(" New Ast. avg",'Averages Pivot Table'!$A$3,"State","MS","Category",14,"Category2","Technical Institutes")</f>
        <v>0</v>
      </c>
      <c r="G590" s="130">
        <f t="shared" si="85"/>
        <v>0</v>
      </c>
      <c r="H590" s="62">
        <f>+GETPIVOTDATA(" New Inst. avg",'Averages Pivot Table'!$A$3,"State","MS","Category",14,"Category2","Technical Institutes")</f>
        <v>0</v>
      </c>
      <c r="I590" s="201">
        <f t="shared" si="86"/>
        <v>0</v>
      </c>
      <c r="J590" s="62">
        <f>+GETPIVOTDATA(" New Undesg. avg",'Averages Pivot Table'!$A$3,"State","MS","Category",14,"Category2","Technical Institutes")</f>
        <v>0</v>
      </c>
      <c r="K590" s="130">
        <f t="shared" si="87"/>
        <v>0</v>
      </c>
      <c r="L590" s="62">
        <f>+GETPIVOTDATA(" New Single Rnk avg",'Averages Pivot Table'!$A$3,"State","MS","Category",14,"Category2","Technical Institutes")</f>
        <v>0</v>
      </c>
      <c r="M590" s="201">
        <f t="shared" si="88"/>
        <v>0</v>
      </c>
      <c r="N590" s="62">
        <f>+GETPIVOTDATA(" New All Ranks avg",'Averages Pivot Table'!$A$3,"State","MS","Category",14,"Category2","Technical Institutes")</f>
        <v>0</v>
      </c>
      <c r="O590" s="201">
        <f t="shared" si="89"/>
        <v>0</v>
      </c>
    </row>
    <row r="591" spans="1:19" ht="12.95" customHeight="1">
      <c r="A591" s="12" t="s">
        <v>447</v>
      </c>
      <c r="B591" s="62">
        <f>+GETPIVOTDATA(" New Prof avg",'Averages Pivot Table'!$A$3,"State","NC","Category",14,"Category2","Technical Institutes")</f>
        <v>0</v>
      </c>
      <c r="C591" s="130">
        <f t="shared" si="90"/>
        <v>0</v>
      </c>
      <c r="D591" s="62">
        <f>+GETPIVOTDATA(" New Asc. avg",'Averages Pivot Table'!$A$3,"State","NC","Category",14,"Category2","Technical Institutes")</f>
        <v>0</v>
      </c>
      <c r="E591" s="130">
        <f t="shared" si="90"/>
        <v>0</v>
      </c>
      <c r="F591" s="62">
        <f>+GETPIVOTDATA(" New Ast. avg",'Averages Pivot Table'!$A$3,"State","NC","Category",14,"Category2","Technical Institutes")</f>
        <v>0</v>
      </c>
      <c r="G591" s="130">
        <f t="shared" si="85"/>
        <v>0</v>
      </c>
      <c r="H591" s="62">
        <f>+GETPIVOTDATA(" New Inst. avg",'Averages Pivot Table'!$A$3,"State","NC","Category",14,"Category2","Technical Institutes")</f>
        <v>0</v>
      </c>
      <c r="I591" s="201">
        <f t="shared" si="86"/>
        <v>0</v>
      </c>
      <c r="J591" s="62">
        <f>+GETPIVOTDATA(" New Undesg. avg",'Averages Pivot Table'!$A$3,"State","NC","Category",14,"Category2","Technical Institutes")</f>
        <v>0</v>
      </c>
      <c r="K591" s="130">
        <f t="shared" si="87"/>
        <v>0</v>
      </c>
      <c r="L591" s="62">
        <f>+GETPIVOTDATA(" New Single Rnk avg",'Averages Pivot Table'!$A$3,"State","NC","Category",14,"Category2","Technical Institutes")</f>
        <v>0</v>
      </c>
      <c r="M591" s="201">
        <f t="shared" si="88"/>
        <v>0</v>
      </c>
      <c r="N591" s="62">
        <f>+GETPIVOTDATA(" New All Ranks avg",'Averages Pivot Table'!$A$3,"State","NC","Category",14,"Category2","Technical Institutes")</f>
        <v>0</v>
      </c>
      <c r="O591" s="201">
        <f t="shared" si="89"/>
        <v>0</v>
      </c>
    </row>
    <row r="592" spans="1:19" ht="12.95" customHeight="1">
      <c r="A592" s="12" t="s">
        <v>448</v>
      </c>
      <c r="B592" s="62">
        <f>+GETPIVOTDATA(" New Prof avg",'Averages Pivot Table'!$A$3,"State","OK","Category",14,"Category2","Technical Institutes")</f>
        <v>0</v>
      </c>
      <c r="C592" s="130">
        <f t="shared" si="90"/>
        <v>0</v>
      </c>
      <c r="D592" s="62">
        <f>+GETPIVOTDATA(" New Asc. avg",'Averages Pivot Table'!$A$3,"State","OK","Category",14,"Category2","Technical Institutes")</f>
        <v>0</v>
      </c>
      <c r="E592" s="130">
        <f t="shared" si="90"/>
        <v>0</v>
      </c>
      <c r="F592" s="62">
        <f>+GETPIVOTDATA(" New Ast. avg",'Averages Pivot Table'!$A$3,"State","OK","Category",14,"Category2","Technical Institutes")</f>
        <v>0</v>
      </c>
      <c r="G592" s="130">
        <f t="shared" si="85"/>
        <v>0</v>
      </c>
      <c r="H592" s="62">
        <f>+GETPIVOTDATA(" New Inst. avg",'Averages Pivot Table'!$A$3,"State","OK","Category",14,"Category2","Technical Institutes")</f>
        <v>0</v>
      </c>
      <c r="I592" s="201">
        <f t="shared" si="86"/>
        <v>0</v>
      </c>
      <c r="J592" s="62">
        <f>+GETPIVOTDATA(" New Undesg. avg",'Averages Pivot Table'!$A$3,"State","OK","Category",14,"Category2","Technical Institutes")</f>
        <v>0</v>
      </c>
      <c r="K592" s="130">
        <f t="shared" si="87"/>
        <v>0</v>
      </c>
      <c r="L592" s="62">
        <f>+GETPIVOTDATA(" New Single Rnk avg",'Averages Pivot Table'!$A$3,"State","OK","Category",14,"Category2","Technical Institutes")</f>
        <v>49085.327333333342</v>
      </c>
      <c r="M592" s="201">
        <f t="shared" si="88"/>
        <v>1</v>
      </c>
      <c r="N592" s="62">
        <f>+GETPIVOTDATA(" New All Ranks avg",'Averages Pivot Table'!$A$3,"State","OK","Category",14,"Category2","Technical Institutes")</f>
        <v>49085.327333333342</v>
      </c>
      <c r="O592" s="201">
        <f t="shared" si="89"/>
        <v>1</v>
      </c>
    </row>
    <row r="593" spans="1:16" ht="12.95" customHeight="1">
      <c r="A593" s="12" t="s">
        <v>449</v>
      </c>
      <c r="B593" s="62">
        <f>+GETPIVOTDATA(" New Prof avg",'Averages Pivot Table'!$A$3,"State","SC","Category",14,"Category2","Technical Institutes")</f>
        <v>0</v>
      </c>
      <c r="C593" s="130">
        <f t="shared" si="90"/>
        <v>0</v>
      </c>
      <c r="D593" s="62">
        <f>+GETPIVOTDATA(" New Asc. avg",'Averages Pivot Table'!$A$3,"State","SC","Category",14,"Category2","Technical Institutes")</f>
        <v>0</v>
      </c>
      <c r="E593" s="130">
        <f t="shared" si="90"/>
        <v>0</v>
      </c>
      <c r="F593" s="62">
        <f>+GETPIVOTDATA(" New Ast. avg",'Averages Pivot Table'!$A$3,"State","SC","Category",14,"Category2","Technical Institutes")</f>
        <v>0</v>
      </c>
      <c r="G593" s="130">
        <f t="shared" si="85"/>
        <v>0</v>
      </c>
      <c r="H593" s="62">
        <f>+GETPIVOTDATA(" New Inst. avg",'Averages Pivot Table'!$A$3,"State","SC","Category",14,"Category2","Technical Institutes")</f>
        <v>0</v>
      </c>
      <c r="I593" s="201">
        <f t="shared" si="86"/>
        <v>0</v>
      </c>
      <c r="J593" s="62">
        <f>+GETPIVOTDATA(" New Undesg. avg",'Averages Pivot Table'!$A$3,"State","SC","Category",14,"Category2","Technical Institutes")</f>
        <v>0</v>
      </c>
      <c r="K593" s="130">
        <f t="shared" si="87"/>
        <v>0</v>
      </c>
      <c r="L593" s="62">
        <f>+GETPIVOTDATA(" New Single Rnk avg",'Averages Pivot Table'!$A$3,"State","SC","Category",14,"Category2","Technical Institutes")</f>
        <v>0</v>
      </c>
      <c r="M593" s="201">
        <f t="shared" si="88"/>
        <v>0</v>
      </c>
      <c r="N593" s="62">
        <f>+GETPIVOTDATA(" New All Ranks avg",'Averages Pivot Table'!$A$3,"State","SC","Category",14,"Category2","Technical Institutes")</f>
        <v>0</v>
      </c>
      <c r="O593" s="201">
        <f t="shared" si="89"/>
        <v>0</v>
      </c>
    </row>
    <row r="594" spans="1:16" ht="12.95" customHeight="1">
      <c r="A594" s="12"/>
      <c r="B594" s="62"/>
      <c r="C594" s="130">
        <f t="shared" si="90"/>
        <v>0</v>
      </c>
      <c r="D594" s="62"/>
      <c r="E594" s="130">
        <f t="shared" si="90"/>
        <v>0</v>
      </c>
      <c r="F594" s="62"/>
      <c r="G594" s="130">
        <f t="shared" si="85"/>
        <v>0</v>
      </c>
      <c r="H594" s="62"/>
      <c r="I594" s="201">
        <f t="shared" si="86"/>
        <v>0</v>
      </c>
      <c r="J594" s="62"/>
      <c r="K594" s="130">
        <f t="shared" si="87"/>
        <v>0</v>
      </c>
      <c r="L594" s="62"/>
      <c r="M594" s="201">
        <f t="shared" si="88"/>
        <v>0</v>
      </c>
      <c r="N594" s="62"/>
      <c r="O594" s="201">
        <f t="shared" si="89"/>
        <v>0</v>
      </c>
    </row>
    <row r="595" spans="1:16" ht="12.95" customHeight="1">
      <c r="A595" s="12" t="s">
        <v>450</v>
      </c>
      <c r="B595" s="129">
        <f>+GETPIVOTDATA(" New Prof avg",'Averages Pivot Table'!$A$3,"State","TN","Category",14,"Category2","Technical Institutes")</f>
        <v>0</v>
      </c>
      <c r="C595" s="130">
        <f t="shared" si="90"/>
        <v>0</v>
      </c>
      <c r="D595" s="129">
        <f>+GETPIVOTDATA(" New Asc. avg",'Averages Pivot Table'!$A$3,"State","TN","Category",14,"Category2","Technical Institutes")</f>
        <v>0</v>
      </c>
      <c r="E595" s="130">
        <f t="shared" si="90"/>
        <v>0</v>
      </c>
      <c r="F595" s="129">
        <f>+GETPIVOTDATA(" New Ast. avg",'Averages Pivot Table'!$A$3,"State","TN","Category",14,"Category2","Technical Institutes")</f>
        <v>0</v>
      </c>
      <c r="G595" s="130">
        <f t="shared" si="85"/>
        <v>0</v>
      </c>
      <c r="H595" s="129">
        <f>+GETPIVOTDATA(" New Inst. avg",'Averages Pivot Table'!$A$3,"State","TN","Category",14,"Category2","Technical Institutes")</f>
        <v>0</v>
      </c>
      <c r="I595" s="201">
        <f t="shared" si="86"/>
        <v>0</v>
      </c>
      <c r="J595" s="129">
        <f>+GETPIVOTDATA(" New Undesg. avg",'Averages Pivot Table'!$A$3,"State","TN","Category",14,"Category2","Technical Institutes")</f>
        <v>0</v>
      </c>
      <c r="K595" s="130">
        <f t="shared" si="87"/>
        <v>0</v>
      </c>
      <c r="L595" s="129">
        <f>+GETPIVOTDATA(" New Single Rnk avg",'Averages Pivot Table'!$A$3,"State","TN","Category",14,"Category2","Technical Institutes")</f>
        <v>0</v>
      </c>
      <c r="M595" s="201">
        <f t="shared" si="88"/>
        <v>0</v>
      </c>
      <c r="N595" s="62">
        <f>+GETPIVOTDATA(" New All Ranks avg",'Averages Pivot Table'!$A$3,"State","TN","Category",14,"Category2","Technical Institutes")</f>
        <v>0</v>
      </c>
      <c r="O595" s="201">
        <f t="shared" si="89"/>
        <v>0</v>
      </c>
    </row>
    <row r="596" spans="1:16" ht="12.95" customHeight="1">
      <c r="A596" s="12" t="s">
        <v>451</v>
      </c>
      <c r="B596" s="129">
        <f>+GETPIVOTDATA(" New Prof avg",'Averages Pivot Table'!$A$3,"State","TX","Category",14,"Category2","Technical Institutes")</f>
        <v>0</v>
      </c>
      <c r="C596" s="130">
        <f t="shared" si="90"/>
        <v>0</v>
      </c>
      <c r="D596" s="129">
        <f>+GETPIVOTDATA(" New Asc. avg",'Averages Pivot Table'!$A$3,"State","TX","Category",14,"Category2","Technical Institutes")</f>
        <v>0</v>
      </c>
      <c r="E596" s="130">
        <f t="shared" si="90"/>
        <v>0</v>
      </c>
      <c r="F596" s="129">
        <f>+GETPIVOTDATA(" New Ast. avg",'Averages Pivot Table'!$A$3,"State","TX","Category",14,"Category2","Technical Institutes")</f>
        <v>0</v>
      </c>
      <c r="G596" s="130">
        <f t="shared" si="85"/>
        <v>0</v>
      </c>
      <c r="H596" s="129">
        <f>+GETPIVOTDATA(" New Inst. avg",'Averages Pivot Table'!$A$3,"State","TX","Category",14,"Category2","Technical Institutes")</f>
        <v>0</v>
      </c>
      <c r="I596" s="201">
        <f t="shared" si="86"/>
        <v>0</v>
      </c>
      <c r="J596" s="129">
        <f>+GETPIVOTDATA(" New Undesg. avg",'Averages Pivot Table'!$A$3,"State","TX","Category",14,"Category2","Technical Institutes")</f>
        <v>0</v>
      </c>
      <c r="K596" s="130">
        <f t="shared" si="87"/>
        <v>0</v>
      </c>
      <c r="L596" s="129">
        <f>+GETPIVOTDATA(" New Single Rnk avg",'Averages Pivot Table'!$A$3,"State","TX","Category",14,"Category2","Technical Institutes")</f>
        <v>0</v>
      </c>
      <c r="M596" s="201">
        <f t="shared" si="88"/>
        <v>0</v>
      </c>
      <c r="N596" s="62">
        <f>+GETPIVOTDATA(" New All Ranks avg",'Averages Pivot Table'!$A$3,"State","TX","Category",14,"Category2","Technical Institutes")</f>
        <v>0</v>
      </c>
      <c r="O596" s="201">
        <f t="shared" si="89"/>
        <v>0</v>
      </c>
    </row>
    <row r="597" spans="1:16" ht="12.95" customHeight="1">
      <c r="A597" s="12" t="s">
        <v>452</v>
      </c>
      <c r="B597" s="129">
        <f>+GETPIVOTDATA(" New Prof avg",'Averages Pivot Table'!$A$3,"State","VA","Category",14,"Category2","Technical Institutes")</f>
        <v>0</v>
      </c>
      <c r="C597" s="130">
        <f t="shared" si="90"/>
        <v>0</v>
      </c>
      <c r="D597" s="129">
        <f>+GETPIVOTDATA(" New Asc. avg",'Averages Pivot Table'!$A$3,"State","VA","Category",14,"Category2","Technical Institutes")</f>
        <v>0</v>
      </c>
      <c r="E597" s="130">
        <f t="shared" si="90"/>
        <v>0</v>
      </c>
      <c r="F597" s="129">
        <f>+GETPIVOTDATA(" New Ast. avg",'Averages Pivot Table'!$A$3,"State","VA","Category",14,"Category2","Technical Institutes")</f>
        <v>0</v>
      </c>
      <c r="G597" s="130">
        <f t="shared" si="85"/>
        <v>0</v>
      </c>
      <c r="H597" s="129">
        <f>+GETPIVOTDATA(" New Inst. avg",'Averages Pivot Table'!$A$3,"State","VA","Category",14,"Category2","Technical Institutes")</f>
        <v>0</v>
      </c>
      <c r="I597" s="201">
        <f t="shared" si="86"/>
        <v>0</v>
      </c>
      <c r="J597" s="129">
        <f>+GETPIVOTDATA(" New Undesg. avg",'Averages Pivot Table'!$A$3,"State","VA","Category",14,"Category2","Technical Institutes")</f>
        <v>0</v>
      </c>
      <c r="K597" s="130">
        <f t="shared" si="87"/>
        <v>0</v>
      </c>
      <c r="L597" s="129">
        <f>+GETPIVOTDATA(" New Single Rnk avg",'Averages Pivot Table'!$A$3,"State","VA","Category",14,"Category2","Technical Institutes")</f>
        <v>0</v>
      </c>
      <c r="M597" s="201">
        <f t="shared" si="88"/>
        <v>0</v>
      </c>
      <c r="N597" s="62">
        <f>+GETPIVOTDATA(" New All Ranks avg",'Averages Pivot Table'!$A$3,"State","VA","Category",14,"Category2","Technical Institutes")</f>
        <v>0</v>
      </c>
      <c r="O597" s="201">
        <f t="shared" si="89"/>
        <v>0</v>
      </c>
    </row>
    <row r="598" spans="1:16" ht="12.95" customHeight="1">
      <c r="A598" s="11" t="s">
        <v>453</v>
      </c>
      <c r="B598" s="64">
        <f>+GETPIVOTDATA(" New Prof avg",'Averages Pivot Table'!$A$3,"State","WV","Category",14,"Category2","Technical Institutes")</f>
        <v>0</v>
      </c>
      <c r="C598" s="65">
        <f t="shared" si="90"/>
        <v>0</v>
      </c>
      <c r="D598" s="64">
        <f>+GETPIVOTDATA(" New Asc. avg",'Averages Pivot Table'!$A$3,"State","WV","Category",14,"Category2","Technical Institutes")</f>
        <v>0</v>
      </c>
      <c r="E598" s="65">
        <f t="shared" si="90"/>
        <v>0</v>
      </c>
      <c r="F598" s="64">
        <f>+GETPIVOTDATA(" New Ast. avg",'Averages Pivot Table'!$A$3,"State","WV","Category",14,"Category2","Technical Institutes")</f>
        <v>0</v>
      </c>
      <c r="G598" s="65">
        <f t="shared" si="85"/>
        <v>0</v>
      </c>
      <c r="H598" s="64">
        <f>+GETPIVOTDATA(" New Inst. avg",'Averages Pivot Table'!$A$3,"State","WV","Category",14,"Category2","Technical Institutes")</f>
        <v>0</v>
      </c>
      <c r="I598" s="202">
        <f t="shared" si="86"/>
        <v>0</v>
      </c>
      <c r="J598" s="64">
        <f>+GETPIVOTDATA(" New Undesg. avg",'Averages Pivot Table'!$A$3,"State","WV","Category",14,"Category2","Technical Institutes")</f>
        <v>0</v>
      </c>
      <c r="K598" s="65">
        <f t="shared" si="87"/>
        <v>0</v>
      </c>
      <c r="L598" s="64">
        <f>+GETPIVOTDATA(" New Single Rnk avg",'Averages Pivot Table'!$A$3,"State","WV","Category",14,"Category2","Technical Institutes")</f>
        <v>0</v>
      </c>
      <c r="M598" s="202">
        <f t="shared" si="88"/>
        <v>0</v>
      </c>
      <c r="N598" s="64">
        <f>+GETPIVOTDATA(" New All Ranks avg",'Averages Pivot Table'!$A$3,"State","WV","Category",14,"Category2","Technical Institutes")</f>
        <v>0</v>
      </c>
      <c r="O598" s="202">
        <f t="shared" si="89"/>
        <v>0</v>
      </c>
    </row>
    <row r="599" spans="1:16" ht="30" customHeight="1">
      <c r="A599" s="622" t="s">
        <v>324</v>
      </c>
      <c r="B599" s="626"/>
      <c r="C599" s="626"/>
      <c r="D599" s="626"/>
      <c r="E599" s="626"/>
      <c r="F599" s="626"/>
      <c r="G599" s="626"/>
      <c r="H599" s="626"/>
      <c r="I599" s="626"/>
      <c r="J599" s="626"/>
      <c r="K599" s="626"/>
      <c r="L599" s="626"/>
      <c r="M599" s="626"/>
      <c r="N599" s="626"/>
      <c r="O599" s="626"/>
    </row>
    <row r="600" spans="1:16">
      <c r="O600" s="244" t="s">
        <v>1166</v>
      </c>
      <c r="P600" s="182"/>
    </row>
  </sheetData>
  <mergeCells count="76">
    <mergeCell ref="A574:O574"/>
    <mergeCell ref="A599:O599"/>
    <mergeCell ref="A451:O451"/>
    <mergeCell ref="A453:O453"/>
    <mergeCell ref="A454:O454"/>
    <mergeCell ref="A479:O479"/>
    <mergeCell ref="A543:O543"/>
    <mergeCell ref="A544:O544"/>
    <mergeCell ref="A569:O569"/>
    <mergeCell ref="A511:O511"/>
    <mergeCell ref="A573:O573"/>
    <mergeCell ref="A571:O571"/>
    <mergeCell ref="A513:O513"/>
    <mergeCell ref="A514:O514"/>
    <mergeCell ref="A539:O539"/>
    <mergeCell ref="A541:O541"/>
    <mergeCell ref="A509:O509"/>
    <mergeCell ref="A394:O394"/>
    <mergeCell ref="A421:O421"/>
    <mergeCell ref="A423:O423"/>
    <mergeCell ref="A424:O424"/>
    <mergeCell ref="A419:O419"/>
    <mergeCell ref="A449:O449"/>
    <mergeCell ref="A481:O481"/>
    <mergeCell ref="A483:O483"/>
    <mergeCell ref="A484:O484"/>
    <mergeCell ref="A393:O393"/>
    <mergeCell ref="A389:O389"/>
    <mergeCell ref="A334:O334"/>
    <mergeCell ref="A359:O359"/>
    <mergeCell ref="A361:O361"/>
    <mergeCell ref="A363:O363"/>
    <mergeCell ref="A391:O391"/>
    <mergeCell ref="A241:M241"/>
    <mergeCell ref="A243:M243"/>
    <mergeCell ref="A244:M244"/>
    <mergeCell ref="A269:M269"/>
    <mergeCell ref="A364:O364"/>
    <mergeCell ref="A271:M271"/>
    <mergeCell ref="A273:M273"/>
    <mergeCell ref="A331:O331"/>
    <mergeCell ref="A333:O333"/>
    <mergeCell ref="A274:M274"/>
    <mergeCell ref="A299:M299"/>
    <mergeCell ref="A301:O301"/>
    <mergeCell ref="A303:O303"/>
    <mergeCell ref="A304:O304"/>
    <mergeCell ref="A329:O329"/>
    <mergeCell ref="A29:O29"/>
    <mergeCell ref="A89:I89"/>
    <mergeCell ref="A119:M119"/>
    <mergeCell ref="A149:M149"/>
    <mergeCell ref="A124:M124"/>
    <mergeCell ref="A31:M31"/>
    <mergeCell ref="A91:M91"/>
    <mergeCell ref="A33:M33"/>
    <mergeCell ref="A34:M34"/>
    <mergeCell ref="A121:M121"/>
    <mergeCell ref="A59:K59"/>
    <mergeCell ref="A239:M239"/>
    <mergeCell ref="A153:M153"/>
    <mergeCell ref="A154:M154"/>
    <mergeCell ref="A211:M211"/>
    <mergeCell ref="A213:M213"/>
    <mergeCell ref="A214:M214"/>
    <mergeCell ref="A181:M181"/>
    <mergeCell ref="A183:M183"/>
    <mergeCell ref="A184:M184"/>
    <mergeCell ref="A179:M179"/>
    <mergeCell ref="A209:M209"/>
    <mergeCell ref="A151:M151"/>
    <mergeCell ref="A93:M93"/>
    <mergeCell ref="A94:M94"/>
    <mergeCell ref="A63:I63"/>
    <mergeCell ref="A64:I64"/>
    <mergeCell ref="A123:M123"/>
  </mergeCells>
  <phoneticPr fontId="15" type="noConversion"/>
  <pageMargins left="0.5" right="0.5" top="1" bottom="0.75" header="0.75" footer="0.5"/>
  <pageSetup firstPageNumber="177" orientation="landscape" useFirstPageNumber="1" r:id="rId1"/>
  <headerFooter alignWithMargins="0">
    <oddHeader>&amp;R&amp;"Arial,Regular"&amp;8SREB-State Data Exchange</oddHeader>
    <oddFooter>&amp;C&amp;"ARIAL,Regular"&amp;10&amp;P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4.xml><?xml version="1.0" encoding="utf-8"?>
<worksheet xmlns="http://schemas.openxmlformats.org/spreadsheetml/2006/main" xmlns:r="http://schemas.openxmlformats.org/officeDocument/2006/relationships">
  <sheetPr codeName="Sheet10">
    <tabColor theme="5" tint="0.59999389629810485"/>
  </sheetPr>
  <dimension ref="A1:S600"/>
  <sheetViews>
    <sheetView showGridLines="0" showZeros="0" view="pageBreakPreview" zoomScaleNormal="75" zoomScaleSheetLayoutView="100" workbookViewId="0">
      <selection activeCell="A29" sqref="A29:O29"/>
    </sheetView>
  </sheetViews>
  <sheetFormatPr defaultRowHeight="15.75"/>
  <cols>
    <col min="1" max="1" width="11.625" customWidth="1"/>
    <col min="2" max="2" width="8" customWidth="1"/>
    <col min="3" max="3" width="6.25" customWidth="1"/>
    <col min="4" max="4" width="8.25" customWidth="1"/>
    <col min="5" max="5" width="7.625" customWidth="1"/>
    <col min="6" max="6" width="8.5" customWidth="1"/>
    <col min="7" max="7" width="7.625" customWidth="1"/>
    <col min="8" max="8" width="8.25" customWidth="1"/>
    <col min="9" max="9" width="7.625" style="197" customWidth="1"/>
    <col min="10" max="10" width="8.5" customWidth="1"/>
    <col min="11" max="11" width="7.625" customWidth="1"/>
    <col min="12" max="12" width="8.5" customWidth="1"/>
    <col min="13" max="13" width="5.625" style="197" customWidth="1"/>
    <col min="14" max="14" width="7.625" customWidth="1"/>
    <col min="15" max="15" width="7.625" style="197" customWidth="1"/>
    <col min="16" max="16" width="5" customWidth="1"/>
    <col min="17" max="17" width="9.25" style="74" bestFit="1" customWidth="1"/>
    <col min="18" max="19" width="8.875" style="74"/>
  </cols>
  <sheetData>
    <row r="1" spans="1:19" ht="18">
      <c r="A1" s="13" t="s">
        <v>776</v>
      </c>
      <c r="B1" s="5"/>
      <c r="C1" s="5"/>
      <c r="D1" s="5"/>
      <c r="E1" s="5"/>
      <c r="F1" s="5"/>
      <c r="G1" s="5"/>
      <c r="H1" s="5"/>
      <c r="I1" s="159"/>
      <c r="J1" s="5"/>
      <c r="K1" s="5"/>
      <c r="L1" s="5"/>
      <c r="M1" s="159"/>
      <c r="N1" s="135"/>
      <c r="O1" s="196"/>
    </row>
    <row r="2" spans="1:19" ht="15.75" customHeight="1">
      <c r="A2" s="13"/>
      <c r="B2" s="5"/>
      <c r="C2" s="5"/>
      <c r="D2" s="5"/>
      <c r="E2" s="5"/>
      <c r="F2" s="5"/>
      <c r="G2" s="5"/>
      <c r="H2" s="5"/>
      <c r="I2" s="159"/>
      <c r="J2" s="5"/>
      <c r="K2" s="5"/>
      <c r="L2" s="5" t="s">
        <v>457</v>
      </c>
      <c r="M2" s="159"/>
    </row>
    <row r="3" spans="1:19">
      <c r="A3" s="4" t="s">
        <v>438</v>
      </c>
      <c r="B3" s="5"/>
      <c r="C3" s="5"/>
      <c r="D3" s="5"/>
      <c r="E3" s="5"/>
      <c r="F3" s="5"/>
      <c r="G3" s="5"/>
      <c r="H3" s="5"/>
      <c r="I3" s="159"/>
      <c r="J3" s="5"/>
      <c r="K3" s="5"/>
      <c r="L3" s="5"/>
      <c r="M3" s="159"/>
      <c r="N3" s="135"/>
      <c r="O3" s="196"/>
    </row>
    <row r="4" spans="1:19">
      <c r="A4" s="4" t="s">
        <v>756</v>
      </c>
      <c r="B4" s="5"/>
      <c r="C4" s="5"/>
      <c r="D4" s="5"/>
      <c r="E4" s="5"/>
      <c r="F4" s="5"/>
      <c r="G4" s="5"/>
      <c r="H4" s="5"/>
      <c r="I4" s="159"/>
      <c r="J4" s="5"/>
      <c r="K4" s="5"/>
      <c r="L4" s="5"/>
      <c r="M4" s="159"/>
      <c r="N4" s="135"/>
      <c r="O4" s="196"/>
    </row>
    <row r="5" spans="1:19" ht="15.75" customHeight="1">
      <c r="A5" s="5"/>
      <c r="B5" s="14"/>
      <c r="C5" s="5"/>
      <c r="D5" s="5"/>
      <c r="E5" s="5"/>
      <c r="F5" s="5"/>
      <c r="G5" s="5"/>
      <c r="H5" s="5"/>
      <c r="I5" s="159"/>
      <c r="J5" s="5"/>
      <c r="K5" s="5"/>
      <c r="L5" s="5"/>
      <c r="M5" s="159"/>
    </row>
    <row r="6" spans="1:19">
      <c r="A6" s="15"/>
      <c r="B6" s="18">
        <v>1</v>
      </c>
      <c r="C6" s="19"/>
      <c r="D6" s="18">
        <v>2</v>
      </c>
      <c r="E6" s="19"/>
      <c r="F6" s="18">
        <v>3</v>
      </c>
      <c r="G6" s="19"/>
      <c r="H6" s="18">
        <v>4</v>
      </c>
      <c r="I6" s="198"/>
      <c r="J6" s="18">
        <v>5</v>
      </c>
      <c r="K6" s="19"/>
      <c r="L6" s="18">
        <v>6</v>
      </c>
      <c r="M6" s="198"/>
      <c r="N6" s="124" t="s">
        <v>435</v>
      </c>
      <c r="O6" s="198"/>
      <c r="Q6" s="239"/>
      <c r="S6" s="238"/>
    </row>
    <row r="7" spans="1:19">
      <c r="A7" s="16"/>
      <c r="B7" s="7" t="s">
        <v>336</v>
      </c>
      <c r="C7" s="6" t="s">
        <v>427</v>
      </c>
      <c r="D7" s="7" t="s">
        <v>336</v>
      </c>
      <c r="E7" s="6" t="s">
        <v>427</v>
      </c>
      <c r="F7" s="7" t="s">
        <v>336</v>
      </c>
      <c r="G7" s="6" t="s">
        <v>427</v>
      </c>
      <c r="H7" s="7" t="s">
        <v>336</v>
      </c>
      <c r="I7" s="199" t="s">
        <v>427</v>
      </c>
      <c r="J7" s="7" t="s">
        <v>336</v>
      </c>
      <c r="K7" s="6" t="s">
        <v>427</v>
      </c>
      <c r="L7" s="7" t="s">
        <v>336</v>
      </c>
      <c r="M7" s="199" t="s">
        <v>427</v>
      </c>
      <c r="N7" s="125" t="s">
        <v>336</v>
      </c>
      <c r="O7" s="199" t="s">
        <v>427</v>
      </c>
      <c r="Q7" s="239"/>
    </row>
    <row r="8" spans="1:19" s="156" customFormat="1" ht="18" customHeight="1">
      <c r="A8" s="168" t="s">
        <v>456</v>
      </c>
      <c r="B8" s="169">
        <f>+GETPIVOTDATA(" Old All Ranks avg",'Averages Pivot Table'!$A$3,"Category",1,"Category2","Four-Year")</f>
        <v>84009.036482834694</v>
      </c>
      <c r="C8" s="169"/>
      <c r="D8" s="169">
        <f>+GETPIVOTDATA(" Old All Ranks avg",'Averages Pivot Table'!$A$3,"Category",2,"Category2","Four-Year")</f>
        <v>75982.479552900986</v>
      </c>
      <c r="E8" s="169"/>
      <c r="F8" s="169">
        <f>+GETPIVOTDATA(" Old All Ranks avg",'Averages Pivot Table'!$A$3,"Category",3,"Category2","Four-Year")</f>
        <v>63167.617887218912</v>
      </c>
      <c r="G8" s="169"/>
      <c r="H8" s="169">
        <f>+GETPIVOTDATA(" Old All Ranks avg",'Averages Pivot Table'!$A$3,"Category",4,"Category2","Four-Year")</f>
        <v>61660.461744727807</v>
      </c>
      <c r="I8" s="227"/>
      <c r="J8" s="169">
        <f>+GETPIVOTDATA(" Old All Ranks avg",'Averages Pivot Table'!$A$3,"Category",5,"Category2","Four-Year")</f>
        <v>58640.492704222183</v>
      </c>
      <c r="K8" s="169"/>
      <c r="L8" s="169">
        <f>+GETPIVOTDATA(" Old All Ranks avg",'Averages Pivot Table'!$A$3,"Category",6,"Category2","Four-Year")</f>
        <v>57755.258250489518</v>
      </c>
      <c r="M8" s="227"/>
      <c r="N8" s="170">
        <f>+GETPIVOTDATA(" Old All Ranks avg",'Averages Pivot Table'!$A$3,"Category2","Four-Year")</f>
        <v>73458.825806119945</v>
      </c>
      <c r="O8" s="200"/>
      <c r="Q8" s="240"/>
      <c r="R8" s="193"/>
      <c r="S8" s="171"/>
    </row>
    <row r="9" spans="1:19" ht="12.95" customHeight="1">
      <c r="A9" s="8"/>
      <c r="B9" s="9"/>
      <c r="C9" s="9"/>
      <c r="D9" s="9"/>
      <c r="E9" s="9"/>
      <c r="F9" s="9"/>
      <c r="G9" s="9"/>
      <c r="H9" s="9"/>
      <c r="I9" s="206"/>
      <c r="J9" s="9"/>
      <c r="K9" s="9"/>
      <c r="L9" s="9"/>
      <c r="M9" s="217"/>
      <c r="N9" s="75"/>
      <c r="O9" s="187"/>
      <c r="Q9" s="241"/>
      <c r="S9" s="78"/>
    </row>
    <row r="10" spans="1:19" ht="12.95" customHeight="1">
      <c r="A10" s="12" t="s">
        <v>439</v>
      </c>
      <c r="B10" s="129">
        <f>+GETPIVOTDATA(" Old All Ranks avg",'Averages Pivot Table'!$A$3,"State","AL","Category",1,"Category2","Four-Year")</f>
        <v>79795.660453619479</v>
      </c>
      <c r="C10" s="130">
        <f t="shared" ref="C10:C28" si="0">IF(B10&gt;0,(RANK(B10,B$10:B$28)),0)</f>
        <v>9</v>
      </c>
      <c r="D10" s="129">
        <f>+GETPIVOTDATA(" Old All Ranks avg",'Averages Pivot Table'!$A$3,"State","AL","Category",2,"Category2","Four-Year")</f>
        <v>74941.678860066007</v>
      </c>
      <c r="E10" s="130">
        <f t="shared" ref="E10:E28" si="1">IF(D10&gt;0,(RANK(D10,D$10:D$28)),0)</f>
        <v>5</v>
      </c>
      <c r="F10" s="129">
        <f>+GETPIVOTDATA(" Old All Ranks avg",'Averages Pivot Table'!$A$3,"State","AL","Category",3,"Category2","Four-Year")</f>
        <v>61091.586803418802</v>
      </c>
      <c r="G10" s="130">
        <f t="shared" ref="G10:G28" si="2">IF(F10&gt;0,(RANK(F10,F$10:F$28)),0)</f>
        <v>7</v>
      </c>
      <c r="H10" s="129">
        <f>+GETPIVOTDATA(" Old All Ranks avg",'Averages Pivot Table'!$A$3,"State","AL","Category",4,"Category2","Four-Year")</f>
        <v>63263.786931221715</v>
      </c>
      <c r="I10" s="201">
        <f t="shared" ref="I10:I28" si="3">IF(H10&gt;0,(RANK(H10,H$10:H$28)),0)</f>
        <v>8</v>
      </c>
      <c r="J10" s="129">
        <f>+GETPIVOTDATA(" Old All Ranks avg",'Averages Pivot Table'!$A$3,"State","AL","Category",5,"Category2","Four-Year")</f>
        <v>56072.135406349211</v>
      </c>
      <c r="K10" s="130">
        <f t="shared" ref="K10:K28" si="4">IF(J10&gt;0,(RANK(J10,J$10:J$28)),0)</f>
        <v>8</v>
      </c>
      <c r="L10" s="129">
        <f>+GETPIVOTDATA(" Old All Ranks avg",'Averages Pivot Table'!$A$3,"State","AL","Category",6,"Category2","Four-Year")</f>
        <v>68440.106785365861</v>
      </c>
      <c r="M10" s="201">
        <f t="shared" ref="M10:M28" si="5">IF(L10&gt;0,(RANK(L10,L$10:L$28)),0)</f>
        <v>3</v>
      </c>
      <c r="N10" s="127">
        <f>+GETPIVOTDATA(" Old All Ranks avg",'Averages Pivot Table'!$A$3,"State","AL","Category2","Four-Year")</f>
        <v>71754.306204442197</v>
      </c>
      <c r="O10" s="201">
        <f t="shared" ref="O10:O28" si="6">IF(N10&gt;0,(RANK(N10,N$10:N$28)),0)</f>
        <v>8</v>
      </c>
      <c r="Q10" s="241"/>
      <c r="S10" s="78"/>
    </row>
    <row r="11" spans="1:19" ht="12.95" customHeight="1">
      <c r="A11" s="12" t="s">
        <v>440</v>
      </c>
      <c r="B11" s="129">
        <f>+GETPIVOTDATA(" Old All Ranks avg",'Averages Pivot Table'!$A$3,"State","ar","Category",1,"Category2","Four-Year")</f>
        <v>76750.922739427304</v>
      </c>
      <c r="C11" s="130">
        <f t="shared" si="0"/>
        <v>14</v>
      </c>
      <c r="D11" s="129">
        <f>+GETPIVOTDATA(" Old All Ranks avg",'Averages Pivot Table'!$A$3,"State","ar","Category",2,"Category2","Four-Year")</f>
        <v>0</v>
      </c>
      <c r="E11" s="130">
        <f t="shared" si="1"/>
        <v>0</v>
      </c>
      <c r="F11" s="129">
        <f>+GETPIVOTDATA(" Old All Ranks avg",'Averages Pivot Table'!$A$3,"State","ar","Category",3,"Category2","Four-Year")</f>
        <v>56676.902067578128</v>
      </c>
      <c r="G11" s="130">
        <f t="shared" si="2"/>
        <v>14</v>
      </c>
      <c r="H11" s="129">
        <f>+GETPIVOTDATA(" Old All Ranks avg",'Averages Pivot Table'!$A$3,"State","ar","Category",4,"Category2","Four-Year")</f>
        <v>50929.420572222218</v>
      </c>
      <c r="I11" s="201">
        <f t="shared" si="3"/>
        <v>13</v>
      </c>
      <c r="J11" s="129">
        <f>+GETPIVOTDATA(" Old All Ranks avg",'Averages Pivot Table'!$A$3,"State","ar","Category",5,"Category2","Four-Year")</f>
        <v>49369.912337419351</v>
      </c>
      <c r="K11" s="130">
        <f t="shared" si="4"/>
        <v>10</v>
      </c>
      <c r="L11" s="129">
        <f>+GETPIVOTDATA(" Old All Ranks avg",'Averages Pivot Table'!$A$3,"State","ar","Category",6,"Category2","Four-Year")</f>
        <v>51601.683674430373</v>
      </c>
      <c r="M11" s="201">
        <f t="shared" si="5"/>
        <v>10</v>
      </c>
      <c r="N11" s="127">
        <f>+GETPIVOTDATA(" Old All Ranks avg",'Averages Pivot Table'!$A$3,"State","ar","Category2","Four-Year")</f>
        <v>59792.055882499313</v>
      </c>
      <c r="O11" s="201">
        <f t="shared" si="6"/>
        <v>16</v>
      </c>
      <c r="Q11" s="241"/>
      <c r="S11" s="78"/>
    </row>
    <row r="12" spans="1:19" ht="12.95" customHeight="1">
      <c r="A12" s="12" t="s">
        <v>455</v>
      </c>
      <c r="B12" s="129">
        <f>+GETPIVOTDATA(" Old All Ranks avg",'Averages Pivot Table'!$A$3,"State","DE","Category",1,"Category2","Four-Year")</f>
        <v>98168.273375359713</v>
      </c>
      <c r="C12" s="130">
        <f t="shared" si="0"/>
        <v>2</v>
      </c>
      <c r="D12" s="129">
        <f>+GETPIVOTDATA(" Old All Ranks avg",'Averages Pivot Table'!$A$3,"State","DE","Category",2,"Category2","Four-Year")</f>
        <v>0</v>
      </c>
      <c r="E12" s="130">
        <f t="shared" si="1"/>
        <v>0</v>
      </c>
      <c r="F12" s="129">
        <f>+GETPIVOTDATA(" Old All Ranks avg",'Averages Pivot Table'!$A$3,"State","DE","Category",3,"Category2","Four-Year")</f>
        <v>0</v>
      </c>
      <c r="G12" s="130">
        <f t="shared" si="2"/>
        <v>0</v>
      </c>
      <c r="H12" s="129">
        <f>+GETPIVOTDATA(" Old All Ranks avg",'Averages Pivot Table'!$A$3,"State","DE","Category",4,"Category2","Four-Year")</f>
        <v>66510.541366315796</v>
      </c>
      <c r="I12" s="201">
        <f t="shared" si="3"/>
        <v>5</v>
      </c>
      <c r="J12" s="129">
        <f>+GETPIVOTDATA(" Old All Ranks avg",'Averages Pivot Table'!$A$3,"State","DE","Category",5,"Category2","Four-Year")</f>
        <v>0</v>
      </c>
      <c r="K12" s="130">
        <f t="shared" si="4"/>
        <v>0</v>
      </c>
      <c r="L12" s="129">
        <f>+GETPIVOTDATA(" Old All Ranks avg",'Averages Pivot Table'!$A$3,"State","DE","Category",6,"Category2","Four-Year")</f>
        <v>0</v>
      </c>
      <c r="M12" s="201">
        <f t="shared" si="5"/>
        <v>0</v>
      </c>
      <c r="N12" s="127">
        <f>+GETPIVOTDATA(" Old All Ranks avg",'Averages Pivot Table'!$A$3,"State","DE","Category2","Four-Year")</f>
        <v>93548.481453917047</v>
      </c>
      <c r="O12" s="201">
        <f t="shared" si="6"/>
        <v>1</v>
      </c>
      <c r="Q12" s="241"/>
      <c r="S12" s="78"/>
    </row>
    <row r="13" spans="1:19" ht="12.95" customHeight="1">
      <c r="A13" s="12" t="s">
        <v>441</v>
      </c>
      <c r="B13" s="129">
        <f>+GETPIVOTDATA(" Old All Ranks avg",'Averages Pivot Table'!$A$3,"State","FL","Category",1,"Category2","Four-Year")</f>
        <v>80136.293242337037</v>
      </c>
      <c r="C13" s="130">
        <f t="shared" si="0"/>
        <v>8</v>
      </c>
      <c r="D13" s="129">
        <f>+GETPIVOTDATA(" Old All Ranks avg",'Averages Pivot Table'!$A$3,"State","FL","Category",2,"Category2","Four-Year")</f>
        <v>68760.949777424903</v>
      </c>
      <c r="E13" s="130">
        <f t="shared" si="1"/>
        <v>7</v>
      </c>
      <c r="F13" s="129">
        <f>+GETPIVOTDATA(" Old All Ranks avg",'Averages Pivot Table'!$A$3,"State","FL","Category",3,"Category2","Four-Year")</f>
        <v>65735.091774832137</v>
      </c>
      <c r="G13" s="130">
        <f t="shared" si="2"/>
        <v>3</v>
      </c>
      <c r="H13" s="129">
        <f>+GETPIVOTDATA(" Old All Ranks avg",'Averages Pivot Table'!$A$3,"State","FL","Category",4,"Category2","Four-Year")</f>
        <v>63330.62202643678</v>
      </c>
      <c r="I13" s="201">
        <f t="shared" si="3"/>
        <v>7</v>
      </c>
      <c r="J13" s="129">
        <f>+GETPIVOTDATA(" Old All Ranks avg",'Averages Pivot Table'!$A$3,"State","FL","Category",5,"Category2","Four-Year")</f>
        <v>0</v>
      </c>
      <c r="K13" s="130">
        <f t="shared" si="4"/>
        <v>0</v>
      </c>
      <c r="L13" s="129">
        <f>+GETPIVOTDATA(" Old All Ranks avg",'Averages Pivot Table'!$A$3,"State","FL","Category",6,"Category2","Four-Year")</f>
        <v>81165.366666666669</v>
      </c>
      <c r="M13" s="201">
        <f t="shared" si="5"/>
        <v>1</v>
      </c>
      <c r="N13" s="127">
        <f>+GETPIVOTDATA(" Old All Ranks avg",'Averages Pivot Table'!$A$3,"State","FL","Category2","Four-Year")</f>
        <v>76316.768813501709</v>
      </c>
      <c r="O13" s="201">
        <f t="shared" si="6"/>
        <v>5</v>
      </c>
      <c r="Q13" s="241"/>
      <c r="S13" s="78"/>
    </row>
    <row r="14" spans="1:19" ht="12.95" customHeight="1">
      <c r="A14" s="12"/>
      <c r="B14" s="129"/>
      <c r="C14" s="130"/>
      <c r="D14" s="129"/>
      <c r="E14" s="130"/>
      <c r="F14" s="129"/>
      <c r="G14" s="130"/>
      <c r="H14" s="129"/>
      <c r="I14" s="201"/>
      <c r="J14" s="129"/>
      <c r="K14" s="130"/>
      <c r="L14" s="129"/>
      <c r="M14" s="201"/>
      <c r="N14" s="127"/>
      <c r="O14" s="201"/>
      <c r="Q14" s="241"/>
      <c r="S14" s="78"/>
    </row>
    <row r="15" spans="1:19" ht="12.95" customHeight="1">
      <c r="A15" s="12" t="s">
        <v>442</v>
      </c>
      <c r="B15" s="129">
        <f>+GETPIVOTDATA(" Old All Ranks avg",'Averages Pivot Table'!$A$3,"State","GA","Category",1,"Category2","Four-Year")</f>
        <v>82608.400718853911</v>
      </c>
      <c r="C15" s="130">
        <f t="shared" si="0"/>
        <v>6</v>
      </c>
      <c r="D15" s="129">
        <f>+GETPIVOTDATA(" Old All Ranks avg",'Averages Pivot Table'!$A$3,"State","GA","Category",2,"Category2","Four-Year")</f>
        <v>107062.63898098159</v>
      </c>
      <c r="E15" s="130">
        <f t="shared" si="1"/>
        <v>1</v>
      </c>
      <c r="F15" s="129">
        <f>+GETPIVOTDATA(" Old All Ranks avg",'Averages Pivot Table'!$A$3,"State","GA","Category",3,"Category2","Four-Year")</f>
        <v>59610.573359830611</v>
      </c>
      <c r="G15" s="130">
        <f t="shared" si="2"/>
        <v>10</v>
      </c>
      <c r="H15" s="129">
        <f>+GETPIVOTDATA(" Old All Ranks avg",'Averages Pivot Table'!$A$3,"State","GA","Category",4,"Category2","Four-Year")</f>
        <v>59928.075391244522</v>
      </c>
      <c r="I15" s="201">
        <f t="shared" si="3"/>
        <v>10</v>
      </c>
      <c r="J15" s="129">
        <f>+GETPIVOTDATA(" Old All Ranks avg",'Averages Pivot Table'!$A$3,"State","GA","Category",5,"Category2","Four-Year")</f>
        <v>56293.851802214027</v>
      </c>
      <c r="K15" s="130">
        <f t="shared" si="4"/>
        <v>7</v>
      </c>
      <c r="L15" s="129">
        <f>+GETPIVOTDATA(" Old All Ranks avg",'Averages Pivot Table'!$A$3,"State","GA","Category",6,"Category2","Four-Year")</f>
        <v>57927.212865053763</v>
      </c>
      <c r="M15" s="201">
        <f t="shared" si="5"/>
        <v>6</v>
      </c>
      <c r="N15" s="127">
        <f>+GETPIVOTDATA(" Old All Ranks avg",'Averages Pivot Table'!$A$3,"State","GA","Category2","Four-Year")</f>
        <v>72787.952532273717</v>
      </c>
      <c r="O15" s="201">
        <f t="shared" si="6"/>
        <v>7</v>
      </c>
      <c r="Q15" s="241"/>
      <c r="S15" s="78"/>
    </row>
    <row r="16" spans="1:19" ht="12.95" customHeight="1">
      <c r="A16" s="12" t="s">
        <v>443</v>
      </c>
      <c r="B16" s="129">
        <f>+GETPIVOTDATA(" Old All Ranks avg",'Averages Pivot Table'!$A$3,"State","KY","Category",1,"Category2","Four-Year")</f>
        <v>78918.481451703221</v>
      </c>
      <c r="C16" s="130">
        <f t="shared" si="0"/>
        <v>10</v>
      </c>
      <c r="D16" s="129">
        <f>+GETPIVOTDATA(" Old All Ranks avg",'Averages Pivot Table'!$A$3,"State","KY","Category",2,"Category2","Four-Year")</f>
        <v>0</v>
      </c>
      <c r="E16" s="130">
        <f t="shared" si="1"/>
        <v>0</v>
      </c>
      <c r="F16" s="129">
        <f>+GETPIVOTDATA(" Old All Ranks avg",'Averages Pivot Table'!$A$3,"State","KY","Category",3,"Category2","Four-Year")</f>
        <v>59428.287017573217</v>
      </c>
      <c r="G16" s="130">
        <f t="shared" si="2"/>
        <v>11</v>
      </c>
      <c r="H16" s="129">
        <f>+GETPIVOTDATA(" Old All Ranks avg",'Averages Pivot Table'!$A$3,"State","KY","Category",4,"Category2","Four-Year")</f>
        <v>62441.87957303031</v>
      </c>
      <c r="I16" s="201">
        <f t="shared" si="3"/>
        <v>9</v>
      </c>
      <c r="J16" s="129">
        <f>+GETPIVOTDATA(" Old All Ranks avg",'Averages Pivot Table'!$A$3,"State","KY","Category",5,"Category2","Four-Year")</f>
        <v>0</v>
      </c>
      <c r="K16" s="130">
        <f t="shared" si="4"/>
        <v>0</v>
      </c>
      <c r="L16" s="129">
        <f>+GETPIVOTDATA(" Old All Ranks avg",'Averages Pivot Table'!$A$3,"State","KY","Category",6,"Category2","Four-Year")</f>
        <v>0</v>
      </c>
      <c r="M16" s="201">
        <f t="shared" si="5"/>
        <v>0</v>
      </c>
      <c r="N16" s="127">
        <f>+GETPIVOTDATA(" Old All Ranks avg",'Averages Pivot Table'!$A$3,"State","KY","Category2","Four-Year")</f>
        <v>68260.838038756556</v>
      </c>
      <c r="O16" s="201">
        <f t="shared" si="6"/>
        <v>10</v>
      </c>
      <c r="Q16" s="241"/>
      <c r="S16" s="78"/>
    </row>
    <row r="17" spans="1:19" ht="12.95" customHeight="1">
      <c r="A17" s="12" t="s">
        <v>444</v>
      </c>
      <c r="B17" s="129">
        <f>+GETPIVOTDATA(" Old All Ranks avg",'Averages Pivot Table'!$A$3,"State","LA","Category",1,"Category2","Four-Year")</f>
        <v>80885.909835555562</v>
      </c>
      <c r="C17" s="130">
        <f t="shared" si="0"/>
        <v>7</v>
      </c>
      <c r="D17" s="129">
        <f>+GETPIVOTDATA(" Old All Ranks avg",'Averages Pivot Table'!$A$3,"State","LA","Category",2,"Category2","Four-Year")</f>
        <v>66682.225266249996</v>
      </c>
      <c r="E17" s="130">
        <f t="shared" si="1"/>
        <v>8</v>
      </c>
      <c r="F17" s="129">
        <f>+GETPIVOTDATA(" Old All Ranks avg",'Averages Pivot Table'!$A$3,"State","LA","Category",3,"Category2","Four-Year")</f>
        <v>58899.918219830899</v>
      </c>
      <c r="G17" s="130">
        <f t="shared" si="2"/>
        <v>13</v>
      </c>
      <c r="H17" s="129">
        <f>+GETPIVOTDATA(" Old All Ranks avg",'Averages Pivot Table'!$A$3,"State","LA","Category",4,"Category2","Four-Year")</f>
        <v>55789.054397960674</v>
      </c>
      <c r="I17" s="201">
        <f t="shared" si="3"/>
        <v>11</v>
      </c>
      <c r="J17" s="129">
        <f>+GETPIVOTDATA(" Old All Ranks avg",'Averages Pivot Table'!$A$3,"State","LA","Category",5,"Category2","Four-Year")</f>
        <v>0</v>
      </c>
      <c r="K17" s="130">
        <f t="shared" si="4"/>
        <v>0</v>
      </c>
      <c r="L17" s="129">
        <f>+GETPIVOTDATA(" Old All Ranks avg",'Averages Pivot Table'!$A$3,"State","LA","Category",6,"Category2","Four-Year")</f>
        <v>0</v>
      </c>
      <c r="M17" s="201">
        <f t="shared" si="5"/>
        <v>0</v>
      </c>
      <c r="N17" s="127">
        <f>+GETPIVOTDATA(" Old All Ranks avg",'Averages Pivot Table'!$A$3,"State","LA","Category2","Four-Year")</f>
        <v>65474.383098579077</v>
      </c>
      <c r="O17" s="201">
        <f t="shared" si="6"/>
        <v>13</v>
      </c>
      <c r="Q17" s="241"/>
      <c r="S17" s="78"/>
    </row>
    <row r="18" spans="1:19" ht="12.95" customHeight="1">
      <c r="A18" s="12" t="s">
        <v>445</v>
      </c>
      <c r="B18" s="129">
        <f>+GETPIVOTDATA(" Old All Ranks avg",'Averages Pivot Table'!$A$3,"State","MD","Category",1,"Category2","Four-Year")</f>
        <v>103615.90642451914</v>
      </c>
      <c r="C18" s="130">
        <f t="shared" si="0"/>
        <v>1</v>
      </c>
      <c r="D18" s="129">
        <f>+GETPIVOTDATA(" Old All Ranks avg",'Averages Pivot Table'!$A$3,"State","MD","Category",2,"Category2","Four-Year")</f>
        <v>82074.193795479165</v>
      </c>
      <c r="E18" s="130">
        <f t="shared" si="1"/>
        <v>2</v>
      </c>
      <c r="F18" s="129">
        <f>+GETPIVOTDATA(" Old All Ranks avg",'Averages Pivot Table'!$A$3,"State","MD","Category",3,"Category2","Four-Year")</f>
        <v>65322.681049986822</v>
      </c>
      <c r="G18" s="130">
        <f t="shared" si="2"/>
        <v>4</v>
      </c>
      <c r="H18" s="129">
        <f>+GETPIVOTDATA(" Old All Ranks avg",'Averages Pivot Table'!$A$3,"State","MD","Category",4,"Category2","Four-Year")</f>
        <v>69855.31716569628</v>
      </c>
      <c r="I18" s="201">
        <f t="shared" si="3"/>
        <v>1</v>
      </c>
      <c r="J18" s="129">
        <f>+GETPIVOTDATA(" Old All Ranks avg",'Averages Pivot Table'!$A$3,"State","MD","Category",5,"Category2","Four-Year")</f>
        <v>0</v>
      </c>
      <c r="K18" s="130">
        <f t="shared" si="4"/>
        <v>0</v>
      </c>
      <c r="L18" s="129">
        <f>+GETPIVOTDATA(" Old All Ranks avg",'Averages Pivot Table'!$A$3,"State","MD","Category",6,"Category2","Four-Year")</f>
        <v>68493.936910489516</v>
      </c>
      <c r="M18" s="201">
        <f t="shared" si="5"/>
        <v>2</v>
      </c>
      <c r="N18" s="127">
        <f>+GETPIVOTDATA(" Old All Ranks avg",'Averages Pivot Table'!$A$3,"State","MD","Category2","Four-Year")</f>
        <v>81158.682618265375</v>
      </c>
      <c r="O18" s="201">
        <f t="shared" si="6"/>
        <v>2</v>
      </c>
      <c r="Q18" s="241"/>
      <c r="S18" s="78"/>
    </row>
    <row r="19" spans="1:19" ht="12.95" customHeight="1">
      <c r="A19" s="12"/>
      <c r="B19" s="129"/>
      <c r="C19" s="130"/>
      <c r="D19" s="129"/>
      <c r="E19" s="130"/>
      <c r="F19" s="129"/>
      <c r="G19" s="130"/>
      <c r="H19" s="129"/>
      <c r="I19" s="201"/>
      <c r="J19" s="129"/>
      <c r="K19" s="130"/>
      <c r="L19" s="129"/>
      <c r="M19" s="201"/>
      <c r="N19" s="127"/>
      <c r="O19" s="201"/>
      <c r="Q19" s="241"/>
      <c r="S19" s="78"/>
    </row>
    <row r="20" spans="1:19" ht="12.95" customHeight="1">
      <c r="A20" s="12" t="s">
        <v>446</v>
      </c>
      <c r="B20" s="129">
        <f>+GETPIVOTDATA(" Old All Ranks avg",'Averages Pivot Table'!$A$3,"State","MS","Category",1,"Category2","Four-Year")</f>
        <v>64519.903135105742</v>
      </c>
      <c r="C20" s="130">
        <f t="shared" si="0"/>
        <v>16</v>
      </c>
      <c r="D20" s="129">
        <f>+GETPIVOTDATA(" Old All Ranks avg",'Averages Pivot Table'!$A$3,"State","MS","Category",2,"Category2","Four-Year")</f>
        <v>65720.434914081998</v>
      </c>
      <c r="E20" s="130">
        <f t="shared" si="1"/>
        <v>9</v>
      </c>
      <c r="F20" s="129">
        <f>+GETPIVOTDATA(" Old All Ranks avg",'Averages Pivot Table'!$A$3,"State","MS","Category",3,"Category2","Four-Year")</f>
        <v>0</v>
      </c>
      <c r="G20" s="130">
        <f t="shared" si="2"/>
        <v>0</v>
      </c>
      <c r="H20" s="129">
        <f>+GETPIVOTDATA(" Old All Ranks avg",'Averages Pivot Table'!$A$3,"State","MS","Category",4,"Category2","Four-Year")</f>
        <v>52593.69050393701</v>
      </c>
      <c r="I20" s="201">
        <f t="shared" si="3"/>
        <v>12</v>
      </c>
      <c r="J20" s="129">
        <f>+GETPIVOTDATA(" Old All Ranks avg",'Averages Pivot Table'!$A$3,"State","MS","Category",5,"Category2","Four-Year")</f>
        <v>48859.633211940294</v>
      </c>
      <c r="K20" s="130">
        <f t="shared" si="4"/>
        <v>11</v>
      </c>
      <c r="L20" s="129">
        <f>+GETPIVOTDATA(" Old All Ranks avg",'Averages Pivot Table'!$A$3,"State","MS","Category",6,"Category2","Four-Year")</f>
        <v>0</v>
      </c>
      <c r="M20" s="201">
        <f t="shared" si="5"/>
        <v>0</v>
      </c>
      <c r="N20" s="127">
        <f>+GETPIVOTDATA(" Old All Ranks avg",'Averages Pivot Table'!$A$3,"State","MS","Category2","Four-Year")</f>
        <v>62528.093971512135</v>
      </c>
      <c r="O20" s="201">
        <f t="shared" si="6"/>
        <v>15</v>
      </c>
      <c r="Q20" s="241"/>
      <c r="S20" s="78"/>
    </row>
    <row r="21" spans="1:19" ht="12.95" customHeight="1">
      <c r="A21" s="12" t="s">
        <v>447</v>
      </c>
      <c r="B21" s="129">
        <f>+GETPIVOTDATA(" Old All Ranks avg",'Averages Pivot Table'!$A$3,"State","NC","Category",1,"Category2","Four-Year")</f>
        <v>96437.632231284908</v>
      </c>
      <c r="C21" s="130">
        <f t="shared" si="0"/>
        <v>3</v>
      </c>
      <c r="D21" s="129">
        <f>+GETPIVOTDATA(" Old All Ranks avg",'Averages Pivot Table'!$A$3,"State","NC","Category",2,"Category2","Four-Year")</f>
        <v>75843.229486846642</v>
      </c>
      <c r="E21" s="130">
        <f t="shared" si="1"/>
        <v>4</v>
      </c>
      <c r="F21" s="129">
        <f>+GETPIVOTDATA(" Old All Ranks avg",'Averages Pivot Table'!$A$3,"State","NC","Category",3,"Category2","Four-Year")</f>
        <v>70724.133567610537</v>
      </c>
      <c r="G21" s="130">
        <f t="shared" si="2"/>
        <v>1</v>
      </c>
      <c r="H21" s="129">
        <f>+GETPIVOTDATA(" Old All Ranks avg",'Averages Pivot Table'!$A$3,"State","NC","Category",4,"Category2","Four-Year")</f>
        <v>67671.400087804868</v>
      </c>
      <c r="I21" s="201">
        <f t="shared" si="3"/>
        <v>4</v>
      </c>
      <c r="J21" s="129">
        <f>+GETPIVOTDATA(" Old All Ranks avg",'Averages Pivot Table'!$A$3,"State","NC","Category",5,"Category2","Four-Year")</f>
        <v>66820.645414886734</v>
      </c>
      <c r="K21" s="130">
        <f t="shared" si="4"/>
        <v>1</v>
      </c>
      <c r="L21" s="129">
        <f>+GETPIVOTDATA(" Old All Ranks avg",'Averages Pivot Table'!$A$3,"State","NC","Category",6,"Category2","Four-Year")</f>
        <v>67893.65016353887</v>
      </c>
      <c r="M21" s="201">
        <f t="shared" si="5"/>
        <v>4</v>
      </c>
      <c r="N21" s="127">
        <f>+GETPIVOTDATA(" Old All Ranks avg",'Averages Pivot Table'!$A$3,"State","NC","Category2","Four-Year")</f>
        <v>79533.217853819646</v>
      </c>
      <c r="O21" s="201">
        <f t="shared" si="6"/>
        <v>4</v>
      </c>
      <c r="Q21" s="241"/>
      <c r="S21" s="78"/>
    </row>
    <row r="22" spans="1:19" ht="12.95" customHeight="1">
      <c r="A22" s="12" t="s">
        <v>448</v>
      </c>
      <c r="B22" s="129">
        <f>+GETPIVOTDATA(" Old All Ranks avg",'Averages Pivot Table'!$A$3,"State","OK","Category",1,"Category2","Four-Year")</f>
        <v>77205.691486159849</v>
      </c>
      <c r="C22" s="130">
        <f t="shared" si="0"/>
        <v>12</v>
      </c>
      <c r="D22" s="129">
        <f>+GETPIVOTDATA(" Old All Ranks avg",'Averages Pivot Table'!$A$3,"State","OK","Category",2,"Category2","Four-Year")</f>
        <v>0</v>
      </c>
      <c r="E22" s="130">
        <f t="shared" si="1"/>
        <v>0</v>
      </c>
      <c r="F22" s="129">
        <f>+GETPIVOTDATA(" Old All Ranks avg",'Averages Pivot Table'!$A$3,"State","OK","Category",3,"Category2","Four-Year")</f>
        <v>58934.905489178622</v>
      </c>
      <c r="G22" s="130">
        <f t="shared" si="2"/>
        <v>12</v>
      </c>
      <c r="H22" s="129">
        <f>+GETPIVOTDATA(" Old All Ranks avg",'Averages Pivot Table'!$A$3,"State","OK","Category",4,"Category2","Four-Year")</f>
        <v>0</v>
      </c>
      <c r="I22" s="201">
        <f t="shared" si="3"/>
        <v>0</v>
      </c>
      <c r="J22" s="129">
        <f>+GETPIVOTDATA(" Old All Ranks avg",'Averages Pivot Table'!$A$3,"State","OK","Category",5,"Category2","Four-Year")</f>
        <v>53402.211972984755</v>
      </c>
      <c r="K22" s="130">
        <f t="shared" si="4"/>
        <v>9</v>
      </c>
      <c r="L22" s="129">
        <f>+GETPIVOTDATA(" Old All Ranks avg",'Averages Pivot Table'!$A$3,"State","OK","Category",6,"Category2","Four-Year")</f>
        <v>48691.569074757281</v>
      </c>
      <c r="M22" s="201">
        <f t="shared" si="5"/>
        <v>11</v>
      </c>
      <c r="N22" s="127">
        <f>+GETPIVOTDATA(" Old All Ranks avg",'Averages Pivot Table'!$A$3,"State","OK","Category2","Four-Year")</f>
        <v>66620.046984630986</v>
      </c>
      <c r="O22" s="201">
        <f t="shared" si="6"/>
        <v>12</v>
      </c>
      <c r="Q22" s="241"/>
      <c r="S22" s="78"/>
    </row>
    <row r="23" spans="1:19" ht="12.95" customHeight="1">
      <c r="A23" s="12" t="s">
        <v>449</v>
      </c>
      <c r="B23" s="129">
        <f>+GETPIVOTDATA(" Old All Ranks avg",'Averages Pivot Table'!$A$3,"State","SC","Category",1,"Category2","Four-Year")</f>
        <v>78863.153531941934</v>
      </c>
      <c r="C23" s="130">
        <f t="shared" si="0"/>
        <v>11</v>
      </c>
      <c r="D23" s="129">
        <f>+GETPIVOTDATA(" Old All Ranks avg",'Averages Pivot Table'!$A$3,"State","SC","Category",2,"Category2","Four-Year")</f>
        <v>0</v>
      </c>
      <c r="E23" s="130">
        <f t="shared" si="1"/>
        <v>0</v>
      </c>
      <c r="F23" s="129">
        <f>+GETPIVOTDATA(" Old All Ranks avg",'Averages Pivot Table'!$A$3,"State","SC","Category",3,"Category2","Four-Year")</f>
        <v>64181.644217113666</v>
      </c>
      <c r="G23" s="130">
        <f t="shared" si="2"/>
        <v>5</v>
      </c>
      <c r="H23" s="129">
        <f>+GETPIVOTDATA(" Old All Ranks avg",'Averages Pivot Table'!$A$3,"State","SC","Category",4,"Category2","Four-Year")</f>
        <v>68583.118604651172</v>
      </c>
      <c r="I23" s="201">
        <f t="shared" si="3"/>
        <v>2</v>
      </c>
      <c r="J23" s="129">
        <f>+GETPIVOTDATA(" Old All Ranks avg",'Averages Pivot Table'!$A$3,"State","SC","Category",5,"Category2","Four-Year")</f>
        <v>60555.275367429334</v>
      </c>
      <c r="K23" s="130">
        <f t="shared" si="4"/>
        <v>4</v>
      </c>
      <c r="L23" s="129">
        <f>+GETPIVOTDATA(" Old All Ranks avg",'Averages Pivot Table'!$A$3,"State","SC","Category",6,"Category2","Four-Year")</f>
        <v>54236.405330785557</v>
      </c>
      <c r="M23" s="201">
        <f t="shared" si="5"/>
        <v>8</v>
      </c>
      <c r="N23" s="127">
        <f>+GETPIVOTDATA(" Old All Ranks avg",'Averages Pivot Table'!$A$3,"State","SC","Category2","Four-Year")</f>
        <v>70066.963346718505</v>
      </c>
      <c r="O23" s="201">
        <f t="shared" si="6"/>
        <v>9</v>
      </c>
      <c r="Q23" s="241"/>
      <c r="S23" s="78"/>
    </row>
    <row r="24" spans="1:19" ht="12.95" customHeight="1">
      <c r="A24" s="12"/>
      <c r="B24" s="129"/>
      <c r="C24" s="130"/>
      <c r="D24" s="129"/>
      <c r="E24" s="130"/>
      <c r="F24" s="129"/>
      <c r="G24" s="130"/>
      <c r="H24" s="129"/>
      <c r="I24" s="201"/>
      <c r="J24" s="129"/>
      <c r="K24" s="130"/>
      <c r="L24" s="129"/>
      <c r="M24" s="201"/>
      <c r="N24" s="127"/>
      <c r="O24" s="201"/>
      <c r="Q24" s="241"/>
      <c r="S24" s="78"/>
    </row>
    <row r="25" spans="1:19" ht="12.95" customHeight="1">
      <c r="A25" s="12" t="s">
        <v>450</v>
      </c>
      <c r="B25" s="129">
        <f>+GETPIVOTDATA(" Old All Ranks avg",'Averages Pivot Table'!$A$3,"State","TN","Category",1,"Category2","Four-Year")</f>
        <v>77017.774593491864</v>
      </c>
      <c r="C25" s="130">
        <f t="shared" si="0"/>
        <v>13</v>
      </c>
      <c r="D25" s="129">
        <f>+GETPIVOTDATA(" Old All Ranks avg",'Averages Pivot Table'!$A$3,"State","TN","Category",2,"Category2","Four-Year")</f>
        <v>0</v>
      </c>
      <c r="E25" s="130">
        <f t="shared" si="1"/>
        <v>0</v>
      </c>
      <c r="F25" s="129">
        <f>+GETPIVOTDATA(" Old All Ranks avg",'Averages Pivot Table'!$A$3,"State","TN","Category",3,"Category2","Four-Year")</f>
        <v>60051.000085348998</v>
      </c>
      <c r="G25" s="130">
        <f t="shared" si="2"/>
        <v>9</v>
      </c>
      <c r="H25" s="129">
        <f>+GETPIVOTDATA(" Old All Ranks avg",'Averages Pivot Table'!$A$3,"State","TN","Category",4,"Category2","Four-Year")</f>
        <v>0</v>
      </c>
      <c r="I25" s="201">
        <f t="shared" si="3"/>
        <v>0</v>
      </c>
      <c r="J25" s="129">
        <f>+GETPIVOTDATA(" Old All Ranks avg",'Averages Pivot Table'!$A$3,"State","TN","Category",5,"Category2","Four-Year")</f>
        <v>57167.812954014604</v>
      </c>
      <c r="K25" s="130">
        <f t="shared" si="4"/>
        <v>6</v>
      </c>
      <c r="L25" s="129">
        <f>+GETPIVOTDATA(" Old All Ranks avg",'Averages Pivot Table'!$A$3,"State","TN","Category",6,"Category2","Four-Year")</f>
        <v>0</v>
      </c>
      <c r="M25" s="201">
        <f t="shared" si="5"/>
        <v>0</v>
      </c>
      <c r="N25" s="127">
        <f>+GETPIVOTDATA(" Old All Ranks avg",'Averages Pivot Table'!$A$3,"State","TN","Category2","Four-Year")</f>
        <v>67217.103449595699</v>
      </c>
      <c r="O25" s="201">
        <f t="shared" si="6"/>
        <v>11</v>
      </c>
      <c r="Q25" s="241"/>
      <c r="S25" s="78"/>
    </row>
    <row r="26" spans="1:19" ht="12.95" customHeight="1">
      <c r="A26" s="12" t="s">
        <v>451</v>
      </c>
      <c r="B26" s="129">
        <f>+GETPIVOTDATA(" Old All Ranks avg",'Averages Pivot Table'!$A$3,"State","TX","Category",1,"Category2","Four-Year")</f>
        <v>87134.146502431191</v>
      </c>
      <c r="C26" s="130">
        <f t="shared" si="0"/>
        <v>5</v>
      </c>
      <c r="D26" s="129">
        <f>+GETPIVOTDATA(" Old All Ranks avg",'Averages Pivot Table'!$A$3,"State","TX","Category",2,"Category2","Four-Year")</f>
        <v>71913.133333333331</v>
      </c>
      <c r="E26" s="130">
        <f t="shared" si="1"/>
        <v>6</v>
      </c>
      <c r="F26" s="129">
        <f>+GETPIVOTDATA(" Old All Ranks avg",'Averages Pivot Table'!$A$3,"State","TX","Category",3,"Category2","Four-Year")</f>
        <v>63656.897633920511</v>
      </c>
      <c r="G26" s="130">
        <f t="shared" si="2"/>
        <v>6</v>
      </c>
      <c r="H26" s="129">
        <f>+GETPIVOTDATA(" Old All Ranks avg",'Averages Pivot Table'!$A$3,"State","TX","Category",4,"Category2","Four-Year")</f>
        <v>67800.679385416661</v>
      </c>
      <c r="I26" s="201">
        <f t="shared" si="3"/>
        <v>3</v>
      </c>
      <c r="J26" s="129">
        <f>+GETPIVOTDATA(" Old All Ranks avg",'Averages Pivot Table'!$A$3,"State","TX","Category",5,"Category2","Four-Year")</f>
        <v>62441.159568965515</v>
      </c>
      <c r="K26" s="130">
        <f t="shared" si="4"/>
        <v>3</v>
      </c>
      <c r="L26" s="129">
        <f>+GETPIVOTDATA(" Old All Ranks avg",'Averages Pivot Table'!$A$3,"State","TX","Category",6,"Category2","Four-Year")</f>
        <v>67833.889730526309</v>
      </c>
      <c r="M26" s="201">
        <f t="shared" si="5"/>
        <v>5</v>
      </c>
      <c r="N26" s="127">
        <f>+GETPIVOTDATA(" Old All Ranks avg",'Averages Pivot Table'!$A$3,"State","TX","Category2","Four-Year")</f>
        <v>76261.234018070681</v>
      </c>
      <c r="O26" s="201">
        <f t="shared" si="6"/>
        <v>6</v>
      </c>
      <c r="Q26" s="241"/>
      <c r="S26" s="78"/>
    </row>
    <row r="27" spans="1:19" ht="12.95" customHeight="1">
      <c r="A27" s="12" t="s">
        <v>452</v>
      </c>
      <c r="B27" s="129">
        <f>+GETPIVOTDATA(" Old All Ranks avg",'Averages Pivot Table'!$A$3,"State","VA","Category",1,"Category2","Four-Year")</f>
        <v>90193.862815430271</v>
      </c>
      <c r="C27" s="130">
        <f t="shared" si="0"/>
        <v>4</v>
      </c>
      <c r="D27" s="129">
        <f>+GETPIVOTDATA(" Old All Ranks avg",'Averages Pivot Table'!$A$3,"State","VA","Category",2,"Category2","Four-Year")</f>
        <v>78891.825942071388</v>
      </c>
      <c r="E27" s="130">
        <f t="shared" si="1"/>
        <v>3</v>
      </c>
      <c r="F27" s="129">
        <f>+GETPIVOTDATA(" Old All Ranks avg",'Averages Pivot Table'!$A$3,"State","VA","Category",3,"Category2","Four-Year")</f>
        <v>67412.517019897947</v>
      </c>
      <c r="G27" s="130">
        <f t="shared" si="2"/>
        <v>2</v>
      </c>
      <c r="H27" s="129">
        <f>+GETPIVOTDATA(" Old All Ranks avg",'Averages Pivot Table'!$A$3,"State","VA","Category",4,"Category2","Four-Year")</f>
        <v>64426.633514511035</v>
      </c>
      <c r="I27" s="201">
        <f t="shared" si="3"/>
        <v>6</v>
      </c>
      <c r="J27" s="129">
        <f>+GETPIVOTDATA(" Old All Ranks avg",'Averages Pivot Table'!$A$3,"State","VA","Category",5,"Category2","Four-Year")</f>
        <v>64979.238374014603</v>
      </c>
      <c r="K27" s="130">
        <f t="shared" si="4"/>
        <v>2</v>
      </c>
      <c r="L27" s="129">
        <f>+GETPIVOTDATA(" Old All Ranks avg",'Averages Pivot Table'!$A$3,"State","VA","Category",6,"Category2","Four-Year")</f>
        <v>56791.451612903227</v>
      </c>
      <c r="M27" s="201">
        <f t="shared" si="5"/>
        <v>7</v>
      </c>
      <c r="N27" s="127">
        <f>+GETPIVOTDATA(" Old All Ranks avg",'Averages Pivot Table'!$A$3,"State","VA","Category2","Four-Year")</f>
        <v>80650.084406453097</v>
      </c>
      <c r="O27" s="201">
        <f t="shared" si="6"/>
        <v>3</v>
      </c>
      <c r="Q27" s="241"/>
      <c r="S27" s="78"/>
    </row>
    <row r="28" spans="1:19" ht="12.95" customHeight="1">
      <c r="A28" s="26" t="s">
        <v>453</v>
      </c>
      <c r="B28" s="64">
        <f>+GETPIVOTDATA(" Old All Ranks avg",'Averages Pivot Table'!$A$3,"State","WV","Category",1,"Category2","Four-Year")</f>
        <v>75774.047674551213</v>
      </c>
      <c r="C28" s="65">
        <f t="shared" si="0"/>
        <v>15</v>
      </c>
      <c r="D28" s="64">
        <f>+GETPIVOTDATA(" Old All Ranks avg",'Averages Pivot Table'!$A$3,"State","WV","Category",2,"Category2","Four-Year")</f>
        <v>0</v>
      </c>
      <c r="E28" s="65">
        <f t="shared" si="1"/>
        <v>0</v>
      </c>
      <c r="F28" s="64">
        <f>+GETPIVOTDATA(" Old All Ranks avg",'Averages Pivot Table'!$A$3,"State","WV","Category",3,"Category2","Four-Year")</f>
        <v>61068.888895095952</v>
      </c>
      <c r="G28" s="65">
        <f t="shared" si="2"/>
        <v>8</v>
      </c>
      <c r="H28" s="64">
        <f>+GETPIVOTDATA(" Old All Ranks avg",'Averages Pivot Table'!$A$3,"State","WV","Category",4,"Category2","Four-Year")</f>
        <v>0</v>
      </c>
      <c r="I28" s="202">
        <f t="shared" si="3"/>
        <v>0</v>
      </c>
      <c r="J28" s="64">
        <f>+GETPIVOTDATA(" Old All Ranks avg",'Averages Pivot Table'!$A$3,"State","WV","Category",5,"Category2","Four-Year")</f>
        <v>58741.739527397265</v>
      </c>
      <c r="K28" s="65">
        <f t="shared" si="4"/>
        <v>5</v>
      </c>
      <c r="L28" s="64">
        <f>+GETPIVOTDATA(" Old All Ranks avg",'Averages Pivot Table'!$A$3,"State","WV","Category",6,"Category2","Four-Year")</f>
        <v>53238.316577192985</v>
      </c>
      <c r="M28" s="202">
        <f t="shared" si="5"/>
        <v>9</v>
      </c>
      <c r="N28" s="128">
        <f>+GETPIVOTDATA(" Old All Ranks avg",'Averages Pivot Table'!$A$3,"State","WV","Category2","Four-Year")</f>
        <v>64924.3900046532</v>
      </c>
      <c r="O28" s="202">
        <f t="shared" si="6"/>
        <v>14</v>
      </c>
      <c r="Q28" s="241"/>
      <c r="S28" s="78"/>
    </row>
    <row r="29" spans="1:19" ht="30" customHeight="1">
      <c r="A29" s="620" t="s">
        <v>323</v>
      </c>
      <c r="B29" s="630"/>
      <c r="C29" s="630"/>
      <c r="D29" s="630"/>
      <c r="E29" s="630"/>
      <c r="F29" s="630"/>
      <c r="G29" s="630"/>
      <c r="H29" s="630"/>
      <c r="I29" s="630"/>
      <c r="J29" s="630"/>
      <c r="K29" s="630"/>
      <c r="L29" s="630"/>
      <c r="M29" s="630"/>
      <c r="N29" s="631"/>
      <c r="O29" s="631"/>
      <c r="Q29" s="239"/>
    </row>
    <row r="30" spans="1:19">
      <c r="O30" s="244" t="s">
        <v>1166</v>
      </c>
      <c r="Q30" s="239"/>
    </row>
    <row r="31" spans="1:19" ht="18">
      <c r="A31" s="618" t="s">
        <v>777</v>
      </c>
      <c r="B31" s="618"/>
      <c r="C31" s="618"/>
      <c r="D31" s="618"/>
      <c r="E31" s="618"/>
      <c r="F31" s="618"/>
      <c r="G31" s="618"/>
      <c r="H31" s="618"/>
      <c r="I31" s="618"/>
      <c r="J31" s="618"/>
      <c r="K31" s="618"/>
      <c r="L31" s="618"/>
      <c r="M31" s="618"/>
      <c r="Q31" s="239"/>
    </row>
    <row r="32" spans="1:19">
      <c r="A32" s="5"/>
      <c r="B32" s="5"/>
      <c r="C32" s="5"/>
      <c r="D32" s="5"/>
      <c r="E32" s="5"/>
      <c r="F32" s="5"/>
      <c r="G32" s="135"/>
      <c r="H32" s="135"/>
      <c r="I32" s="196"/>
      <c r="J32" s="135"/>
      <c r="K32" s="135"/>
      <c r="Q32" s="239"/>
    </row>
    <row r="33" spans="1:19">
      <c r="A33" s="619" t="s">
        <v>438</v>
      </c>
      <c r="B33" s="619"/>
      <c r="C33" s="619"/>
      <c r="D33" s="619"/>
      <c r="E33" s="619"/>
      <c r="F33" s="619"/>
      <c r="G33" s="619"/>
      <c r="H33" s="619"/>
      <c r="I33" s="619"/>
      <c r="J33" s="619"/>
      <c r="K33" s="619"/>
      <c r="L33" s="619"/>
      <c r="M33" s="619"/>
      <c r="Q33" s="239"/>
    </row>
    <row r="34" spans="1:19">
      <c r="A34" s="619" t="s">
        <v>757</v>
      </c>
      <c r="B34" s="619"/>
      <c r="C34" s="619"/>
      <c r="D34" s="619"/>
      <c r="E34" s="619"/>
      <c r="F34" s="619"/>
      <c r="G34" s="619"/>
      <c r="H34" s="619"/>
      <c r="I34" s="619"/>
      <c r="J34" s="619"/>
      <c r="K34" s="619"/>
      <c r="L34" s="619"/>
      <c r="M34" s="619"/>
      <c r="Q34" s="239"/>
    </row>
    <row r="35" spans="1:19">
      <c r="A35" s="5"/>
      <c r="B35" s="5"/>
      <c r="C35" s="5"/>
      <c r="D35" s="5"/>
      <c r="E35" s="5"/>
      <c r="F35" s="5"/>
      <c r="G35" s="135"/>
      <c r="H35" s="135"/>
      <c r="I35" s="196"/>
      <c r="J35" s="135"/>
      <c r="K35" s="135"/>
      <c r="L35" s="126"/>
      <c r="M35" s="187"/>
      <c r="N35" s="126"/>
      <c r="O35" s="187"/>
      <c r="Q35" s="239"/>
    </row>
    <row r="36" spans="1:19" ht="24">
      <c r="A36" s="15"/>
      <c r="B36" s="154" t="s">
        <v>305</v>
      </c>
      <c r="C36" s="155"/>
      <c r="D36" s="18" t="s">
        <v>436</v>
      </c>
      <c r="E36" s="19"/>
      <c r="F36" s="18" t="s">
        <v>437</v>
      </c>
      <c r="G36" s="19"/>
      <c r="H36" s="18" t="s">
        <v>306</v>
      </c>
      <c r="I36" s="198"/>
      <c r="J36" s="124" t="s">
        <v>307</v>
      </c>
      <c r="K36" s="198"/>
      <c r="N36" s="131" t="s">
        <v>457</v>
      </c>
      <c r="O36" s="203"/>
      <c r="Q36" s="239"/>
    </row>
    <row r="37" spans="1:19">
      <c r="A37" s="16"/>
      <c r="B37" s="60" t="s">
        <v>336</v>
      </c>
      <c r="C37" s="61" t="s">
        <v>427</v>
      </c>
      <c r="D37" s="60" t="s">
        <v>336</v>
      </c>
      <c r="E37" s="61" t="s">
        <v>427</v>
      </c>
      <c r="F37" s="60" t="s">
        <v>336</v>
      </c>
      <c r="G37" s="61" t="s">
        <v>427</v>
      </c>
      <c r="H37" s="60" t="s">
        <v>336</v>
      </c>
      <c r="I37" s="228" t="s">
        <v>427</v>
      </c>
      <c r="J37" s="134" t="s">
        <v>336</v>
      </c>
      <c r="K37" s="228" t="s">
        <v>427</v>
      </c>
      <c r="N37" s="133"/>
      <c r="O37" s="204"/>
      <c r="Q37" s="239"/>
    </row>
    <row r="38" spans="1:19" s="156" customFormat="1" ht="18" customHeight="1">
      <c r="A38" s="168" t="s">
        <v>456</v>
      </c>
      <c r="B38" s="172">
        <f>+GETPIVOTDATA(" Old All Ranks avg",'Averages Pivot Table'!$A$3,"Category",7,"Category2","Two-Year")</f>
        <v>54175.924906059598</v>
      </c>
      <c r="C38" s="172"/>
      <c r="D38" s="172">
        <f>+GETPIVOTDATA(" Old All Ranks avg",'Averages Pivot Table'!$A$3,"Category",8,"Category2","Two-Year")</f>
        <v>53785.728975032594</v>
      </c>
      <c r="E38" s="172"/>
      <c r="F38" s="172">
        <f>+GETPIVOTDATA(" Old All Ranks avg",'Averages Pivot Table'!$A$3,"Category",9,"Category2","Two-Year")</f>
        <v>49354.562347030609</v>
      </c>
      <c r="G38" s="172"/>
      <c r="H38" s="172">
        <f>+GETPIVOTDATA(" Old All Ranks avg",'Averages Pivot Table'!$A$3,"Category",10,"Category2","Two-Year")</f>
        <v>45876.164282673271</v>
      </c>
      <c r="I38" s="234"/>
      <c r="J38" s="172">
        <f>+GETPIVOTDATA(" Old All Ranks avg",'Averages Pivot Table'!$A$3,"Category2","Two-Year")</f>
        <v>51671.338241047022</v>
      </c>
      <c r="K38" s="229"/>
      <c r="N38" s="173"/>
      <c r="O38" s="205"/>
      <c r="Q38" s="240"/>
      <c r="R38" s="193"/>
      <c r="S38" s="171"/>
    </row>
    <row r="39" spans="1:19" ht="12.95" customHeight="1">
      <c r="A39" s="12"/>
      <c r="B39" s="9"/>
      <c r="C39" s="17"/>
      <c r="D39" s="9"/>
      <c r="E39" s="17"/>
      <c r="F39" s="20"/>
      <c r="G39" s="74"/>
      <c r="H39" s="74"/>
      <c r="I39" s="230"/>
      <c r="J39" s="77"/>
      <c r="K39" s="230"/>
      <c r="Q39" s="241"/>
      <c r="S39" s="78"/>
    </row>
    <row r="40" spans="1:19" ht="12.95" customHeight="1">
      <c r="A40" s="12" t="s">
        <v>439</v>
      </c>
      <c r="B40" s="136">
        <f>+GETPIVOTDATA(" Old All Ranks avg",'Averages Pivot Table'!$A$3,"State","AL","Category",7,"Category2","Two-Year")</f>
        <v>0</v>
      </c>
      <c r="C40" s="130">
        <f t="shared" ref="C40:C58" si="7">IF(B40&gt;0,(RANK(B40,B$40:B$58)),0)</f>
        <v>0</v>
      </c>
      <c r="D40" s="136">
        <f>+GETPIVOTDATA(" Old All Ranks avg",'Averages Pivot Table'!$A$3,"State","AL","Category",8,"Category2","Two-Year")</f>
        <v>53891.246937627118</v>
      </c>
      <c r="E40" s="130">
        <f t="shared" ref="E40:E58" si="8">IF(D40&gt;0,(RANK(D40,D$40:D$58)),0)</f>
        <v>4</v>
      </c>
      <c r="F40" s="136">
        <f>+GETPIVOTDATA(" Old All Ranks avg",'Averages Pivot Table'!$A$3,"State","AL","Category",9,"Category2","Two-Year")</f>
        <v>53584.435250413982</v>
      </c>
      <c r="G40" s="130">
        <f t="shared" ref="G40:G58" si="9">IF(F40&gt;0,(RANK(F40,F$40:F$58)),0)</f>
        <v>3</v>
      </c>
      <c r="H40" s="144">
        <f>+GETPIVOTDATA(" Old All Ranks avg",'Averages Pivot Table'!$A$3,"State","AL","Category",10,"Category2","Two-Year")</f>
        <v>52613.547017010314</v>
      </c>
      <c r="I40" s="201">
        <f t="shared" ref="I40:I58" si="10">IF(H40&gt;0,(RANK(H40,H$40:H$58)),0)</f>
        <v>4</v>
      </c>
      <c r="J40" s="145">
        <f>+GETPIVOTDATA(" Old All Ranks avg",'Averages Pivot Table'!$A$3,"State","AL","Category2","Two-Year")</f>
        <v>53422.743054463281</v>
      </c>
      <c r="K40" s="201">
        <f>IF(J40&gt;0,(RANK(J40,J$40:J$58)),0)</f>
        <v>5</v>
      </c>
      <c r="Q40" s="241"/>
      <c r="S40" s="78"/>
    </row>
    <row r="41" spans="1:19" ht="12.95" customHeight="1">
      <c r="A41" s="12" t="s">
        <v>440</v>
      </c>
      <c r="B41" s="136">
        <f>+GETPIVOTDATA(" Old All Ranks avg",'Averages Pivot Table'!$A$3,"State","AR","Category",7,"Category2","Two-Year")</f>
        <v>0</v>
      </c>
      <c r="C41" s="130">
        <f t="shared" si="7"/>
        <v>0</v>
      </c>
      <c r="D41" s="136">
        <f>+GETPIVOTDATA(" Old All Ranks avg",'Averages Pivot Table'!$A$3,"State","AR","Category",8,"Category2","Two-Year")</f>
        <v>46162.602924050632</v>
      </c>
      <c r="E41" s="130">
        <f t="shared" si="8"/>
        <v>13</v>
      </c>
      <c r="F41" s="136">
        <f>+GETPIVOTDATA(" Old All Ranks avg",'Averages Pivot Table'!$A$3,"State","AR","Category",9,"Category2","Two-Year")</f>
        <v>46587.940893063584</v>
      </c>
      <c r="G41" s="130">
        <f t="shared" si="9"/>
        <v>10</v>
      </c>
      <c r="H41" s="144">
        <f>+GETPIVOTDATA(" Old All Ranks avg",'Averages Pivot Table'!$A$3,"State","AR","Category",10,"Category2","Two-Year")</f>
        <v>41884.408191304348</v>
      </c>
      <c r="I41" s="201">
        <f t="shared" si="10"/>
        <v>16</v>
      </c>
      <c r="J41" s="145">
        <f>+GETPIVOTDATA(" Old All Ranks avg",'Averages Pivot Table'!$A$3,"State","AR","Category2","Two-Year")</f>
        <v>43555.944535703915</v>
      </c>
      <c r="K41" s="201">
        <f>IF(J41&gt;0,(RANK(J41,J$40:J$58)),0)</f>
        <v>16</v>
      </c>
      <c r="Q41" s="241"/>
      <c r="S41" s="78"/>
    </row>
    <row r="42" spans="1:19" ht="12.95" customHeight="1">
      <c r="A42" s="12" t="s">
        <v>455</v>
      </c>
      <c r="B42" s="136">
        <f>+GETPIVOTDATA(" Old All Ranks avg",'Averages Pivot Table'!$A$3,"State","DE","Category",7,"Category2","Two-Year")</f>
        <v>0</v>
      </c>
      <c r="C42" s="130">
        <f t="shared" si="7"/>
        <v>0</v>
      </c>
      <c r="D42" s="136">
        <f>+GETPIVOTDATA(" Old All Ranks avg",'Averages Pivot Table'!$A$3,"State","DE","Category",8,"Category2","Two-Year")</f>
        <v>0</v>
      </c>
      <c r="E42" s="130">
        <f t="shared" si="8"/>
        <v>0</v>
      </c>
      <c r="F42" s="136">
        <f>+GETPIVOTDATA(" Old All Ranks avg",'Averages Pivot Table'!$A$3,"State","DE","Category",9,"Category2","Two-Year")</f>
        <v>62869.172308474575</v>
      </c>
      <c r="G42" s="130">
        <f t="shared" si="9"/>
        <v>1</v>
      </c>
      <c r="H42" s="144">
        <f>+GETPIVOTDATA(" Old All Ranks avg",'Averages Pivot Table'!$A$3,"State","DE","Category",10,"Category2","Two-Year")</f>
        <v>62452.983214814813</v>
      </c>
      <c r="I42" s="201">
        <f t="shared" si="10"/>
        <v>1</v>
      </c>
      <c r="J42" s="145">
        <f>+GETPIVOTDATA(" Old All Ranks avg",'Averages Pivot Table'!$A$3,"State","DE","Category2","Two-Year")</f>
        <v>62779.514551595748</v>
      </c>
      <c r="K42" s="201">
        <f>IF(J42&gt;0,(RANK(J42,J$40:J$58)),0)</f>
        <v>2</v>
      </c>
      <c r="Q42" s="241"/>
      <c r="S42" s="78"/>
    </row>
    <row r="43" spans="1:19" ht="12.95" customHeight="1">
      <c r="A43" s="12" t="s">
        <v>441</v>
      </c>
      <c r="B43" s="136">
        <f>+GETPIVOTDATA(" Old All Ranks avg",'Averages Pivot Table'!$A$3,"State","FL","Category",7,"Category2","Two-Year")</f>
        <v>57610.60145888594</v>
      </c>
      <c r="C43" s="130">
        <f t="shared" si="7"/>
        <v>1</v>
      </c>
      <c r="D43" s="136">
        <f>+GETPIVOTDATA(" Old All Ranks avg",'Averages Pivot Table'!$A$3,"State","FL","Category",8,"Category2","Two-Year")</f>
        <v>52851.372625866745</v>
      </c>
      <c r="E43" s="130">
        <f t="shared" si="8"/>
        <v>6</v>
      </c>
      <c r="F43" s="136">
        <f>+GETPIVOTDATA(" Old All Ranks avg",'Averages Pivot Table'!$A$3,"State","FL","Category",9,"Category2","Two-Year")</f>
        <v>46253.260047281321</v>
      </c>
      <c r="G43" s="130">
        <f t="shared" si="9"/>
        <v>12</v>
      </c>
      <c r="H43" s="144">
        <f>+GETPIVOTDATA(" Old All Ranks avg",'Averages Pivot Table'!$A$3,"State","FL","Category",10,"Category2","Two-Year")</f>
        <v>47029.428571428572</v>
      </c>
      <c r="I43" s="201">
        <f t="shared" si="10"/>
        <v>7</v>
      </c>
      <c r="J43" s="145">
        <f>+GETPIVOTDATA(" Old All Ranks avg",'Averages Pivot Table'!$A$3,"State","FL","Category2","Two-Year")</f>
        <v>53625.516518784214</v>
      </c>
      <c r="K43" s="201">
        <f>IF(J43&gt;0,(RANK(J43,J$40:J$58)),0)</f>
        <v>4</v>
      </c>
      <c r="Q43" s="241"/>
      <c r="S43" s="78"/>
    </row>
    <row r="44" spans="1:19" ht="12.95" customHeight="1">
      <c r="A44" s="12"/>
      <c r="B44" s="136"/>
      <c r="C44" s="130"/>
      <c r="D44" s="136"/>
      <c r="E44" s="130"/>
      <c r="F44" s="136"/>
      <c r="G44" s="130"/>
      <c r="H44" s="144"/>
      <c r="I44" s="201"/>
      <c r="J44" s="145"/>
      <c r="K44" s="201"/>
      <c r="Q44" s="241"/>
      <c r="S44" s="78"/>
    </row>
    <row r="45" spans="1:19" ht="12.95" customHeight="1">
      <c r="A45" s="12" t="s">
        <v>442</v>
      </c>
      <c r="B45" s="136">
        <f>+GETPIVOTDATA(" Old All Ranks avg",'Averages Pivot Table'!$A$3,"State","GA","Category",7,"Category2","Two-Year")</f>
        <v>48963.16156331361</v>
      </c>
      <c r="C45" s="130">
        <f t="shared" si="7"/>
        <v>5</v>
      </c>
      <c r="D45" s="136">
        <f>+GETPIVOTDATA(" Old All Ranks avg",'Averages Pivot Table'!$A$3,"State","GA","Category",8,"Category2","Two-Year")</f>
        <v>50094.771843216076</v>
      </c>
      <c r="E45" s="130">
        <f t="shared" si="8"/>
        <v>7</v>
      </c>
      <c r="F45" s="136">
        <f>+GETPIVOTDATA(" Old All Ranks avg",'Averages Pivot Table'!$A$3,"State","GA","Category",9,"Category2","Two-Year")</f>
        <v>47119.135242014388</v>
      </c>
      <c r="G45" s="130">
        <f t="shared" si="9"/>
        <v>8</v>
      </c>
      <c r="H45" s="144">
        <f>+GETPIVOTDATA(" Old All Ranks avg",'Averages Pivot Table'!$A$3,"State","GA","Category",10,"Category2","Two-Year")</f>
        <v>46285.490368862273</v>
      </c>
      <c r="I45" s="201">
        <f t="shared" si="10"/>
        <v>10</v>
      </c>
      <c r="J45" s="145">
        <f>+GETPIVOTDATA(" Old All Ranks avg",'Averages Pivot Table'!$A$3,"State","GA","Category2","Two-Year")</f>
        <v>48163.168765206508</v>
      </c>
      <c r="K45" s="201">
        <f>IF(J45&gt;0,(RANK(J45,J$40:J$58)),0)</f>
        <v>11</v>
      </c>
      <c r="Q45" s="241"/>
      <c r="S45" s="78"/>
    </row>
    <row r="46" spans="1:19" ht="12.95" customHeight="1">
      <c r="A46" s="12" t="s">
        <v>443</v>
      </c>
      <c r="B46" s="136">
        <f>+GETPIVOTDATA(" Old All Ranks avg",'Averages Pivot Table'!$A$3,"State","KY","Category",7,"Category2","Two-Year")</f>
        <v>0</v>
      </c>
      <c r="C46" s="130">
        <f t="shared" si="7"/>
        <v>0</v>
      </c>
      <c r="D46" s="136">
        <f>+GETPIVOTDATA(" Old All Ranks avg",'Averages Pivot Table'!$A$3,"State","KY","Category",8,"Category2","Two-Year")</f>
        <v>49613.464754477616</v>
      </c>
      <c r="E46" s="130">
        <f t="shared" si="8"/>
        <v>8</v>
      </c>
      <c r="F46" s="136">
        <f>+GETPIVOTDATA(" Old All Ranks avg",'Averages Pivot Table'!$A$3,"State","KY","Category",9,"Category2","Two-Year")</f>
        <v>48311.994124048098</v>
      </c>
      <c r="G46" s="130">
        <f t="shared" si="9"/>
        <v>6</v>
      </c>
      <c r="H46" s="144">
        <f>+GETPIVOTDATA(" Old All Ranks avg",'Averages Pivot Table'!$A$3,"State","KY","Category",10,"Category2","Two-Year")</f>
        <v>49784.794435874435</v>
      </c>
      <c r="I46" s="201">
        <f t="shared" si="10"/>
        <v>5</v>
      </c>
      <c r="J46" s="145">
        <f>+GETPIVOTDATA(" Old All Ranks avg",'Averages Pivot Table'!$A$3,"State","KY","Category2","Two-Year")</f>
        <v>48895.956974046676</v>
      </c>
      <c r="K46" s="201">
        <f>IF(J46&gt;0,(RANK(J46,J$40:J$58)),0)</f>
        <v>8</v>
      </c>
      <c r="Q46" s="241"/>
      <c r="S46" s="78"/>
    </row>
    <row r="47" spans="1:19" ht="12.95" customHeight="1">
      <c r="A47" s="12" t="s">
        <v>444</v>
      </c>
      <c r="B47" s="136">
        <f>+GETPIVOTDATA(" Old All Ranks avg",'Averages Pivot Table'!$A$3,"State","LA","Category",7,"Category2","Two-Year")</f>
        <v>48408.598088888888</v>
      </c>
      <c r="C47" s="130">
        <f t="shared" si="7"/>
        <v>6</v>
      </c>
      <c r="D47" s="136">
        <f>+GETPIVOTDATA(" Old All Ranks avg",'Averages Pivot Table'!$A$3,"State","LA","Category",8,"Category2","Two-Year")</f>
        <v>55918.044931724144</v>
      </c>
      <c r="E47" s="130">
        <f t="shared" si="8"/>
        <v>2</v>
      </c>
      <c r="F47" s="136">
        <f>+GETPIVOTDATA(" Old All Ranks avg",'Averages Pivot Table'!$A$3,"State","LA","Category",9,"Category2","Two-Year")</f>
        <v>44371.565560368668</v>
      </c>
      <c r="G47" s="130">
        <f t="shared" si="9"/>
        <v>14</v>
      </c>
      <c r="H47" s="144">
        <f>+GETPIVOTDATA(" Old All Ranks avg",'Averages Pivot Table'!$A$3,"State","LA","Category",10,"Category2","Two-Year")</f>
        <v>42206.717465555557</v>
      </c>
      <c r="I47" s="201">
        <f t="shared" si="10"/>
        <v>15</v>
      </c>
      <c r="J47" s="145">
        <f>+GETPIVOTDATA(" Old All Ranks avg",'Averages Pivot Table'!$A$3,"State","LA","Category2","Two-Year")</f>
        <v>50586.574676866359</v>
      </c>
      <c r="K47" s="201">
        <f>IF(J47&gt;0,(RANK(J47,J$40:J$58)),0)</f>
        <v>7</v>
      </c>
      <c r="Q47" s="241"/>
      <c r="S47" s="78"/>
    </row>
    <row r="48" spans="1:19" ht="12.95" customHeight="1">
      <c r="A48" s="12" t="s">
        <v>445</v>
      </c>
      <c r="B48" s="136">
        <f>+GETPIVOTDATA(" Old All Ranks avg",'Averages Pivot Table'!$A$3,"State","MD","Category",7,"Category2","Two-Year")</f>
        <v>0</v>
      </c>
      <c r="C48" s="130">
        <f t="shared" si="7"/>
        <v>0</v>
      </c>
      <c r="D48" s="136">
        <f>+GETPIVOTDATA(" Old All Ranks avg",'Averages Pivot Table'!$A$3,"State","MD","Category",8,"Category2","Two-Year")</f>
        <v>68555.176708086467</v>
      </c>
      <c r="E48" s="130">
        <f t="shared" si="8"/>
        <v>1</v>
      </c>
      <c r="F48" s="136">
        <f>+GETPIVOTDATA(" Old All Ranks avg",'Averages Pivot Table'!$A$3,"State","MD","Category",9,"Category2","Two-Year")</f>
        <v>62574.229972057416</v>
      </c>
      <c r="G48" s="130">
        <f t="shared" si="9"/>
        <v>2</v>
      </c>
      <c r="H48" s="144">
        <f>+GETPIVOTDATA(" Old All Ranks avg",'Averages Pivot Table'!$A$3,"State","MD","Category",10,"Category2","Two-Year")</f>
        <v>61671.313047154472</v>
      </c>
      <c r="I48" s="201">
        <f t="shared" si="10"/>
        <v>2</v>
      </c>
      <c r="J48" s="145">
        <f>+GETPIVOTDATA(" Old All Ranks avg",'Averages Pivot Table'!$A$3,"State","MD","Category2","Two-Year")</f>
        <v>66025.461728139242</v>
      </c>
      <c r="K48" s="201">
        <f>IF(J48&gt;0,(RANK(J48,J$40:J$58)),0)</f>
        <v>1</v>
      </c>
      <c r="Q48" s="241"/>
      <c r="S48" s="78"/>
    </row>
    <row r="49" spans="1:19" ht="12.95" customHeight="1">
      <c r="A49" s="12"/>
      <c r="B49" s="136"/>
      <c r="C49" s="130"/>
      <c r="D49" s="136"/>
      <c r="E49" s="130"/>
      <c r="F49" s="136"/>
      <c r="G49" s="130"/>
      <c r="H49" s="144"/>
      <c r="I49" s="201"/>
      <c r="J49" s="145"/>
      <c r="K49" s="201"/>
      <c r="Q49" s="241"/>
      <c r="S49" s="78"/>
    </row>
    <row r="50" spans="1:19">
      <c r="A50" s="12" t="s">
        <v>446</v>
      </c>
      <c r="B50" s="136">
        <f>+GETPIVOTDATA(" Old All Ranks avg",'Averages Pivot Table'!$A$3,"State","MS","Category",7,"Category2","Two-Year")</f>
        <v>0</v>
      </c>
      <c r="C50" s="130">
        <f t="shared" si="7"/>
        <v>0</v>
      </c>
      <c r="D50" s="136">
        <f>+GETPIVOTDATA(" Old All Ranks avg",'Averages Pivot Table'!$A$3,"State","MS","Category",8,"Category2","Two-Year")</f>
        <v>47489.630033670037</v>
      </c>
      <c r="E50" s="130">
        <f t="shared" si="8"/>
        <v>11</v>
      </c>
      <c r="F50" s="136">
        <f>+GETPIVOTDATA(" Old All Ranks avg",'Averages Pivot Table'!$A$3,"State","MS","Category",9,"Category2","Two-Year")</f>
        <v>50283.487044301211</v>
      </c>
      <c r="G50" s="130">
        <f t="shared" si="9"/>
        <v>4</v>
      </c>
      <c r="H50" s="144">
        <f>+GETPIVOTDATA(" Old All Ranks avg",'Averages Pivot Table'!$A$3,"State","MS","Category",10,"Category2","Two-Year")</f>
        <v>47282.641919178088</v>
      </c>
      <c r="I50" s="201">
        <f t="shared" si="10"/>
        <v>6</v>
      </c>
      <c r="J50" s="145">
        <f>+GETPIVOTDATA(" Old All Ranks avg",'Averages Pivot Table'!$A$3,"State","MS","Category2","Two-Year")</f>
        <v>48815.648814470456</v>
      </c>
      <c r="K50" s="201">
        <f>IF(J50&gt;0,(RANK(J50,J$40:J$58)),0)</f>
        <v>10</v>
      </c>
      <c r="Q50" s="241"/>
      <c r="S50" s="78"/>
    </row>
    <row r="51" spans="1:19" ht="12.95" customHeight="1">
      <c r="A51" s="12" t="s">
        <v>447</v>
      </c>
      <c r="B51" s="136">
        <f>+GETPIVOTDATA(" Old All Ranks avg",'Averages Pivot Table'!$A$3,"State","NC","Category",7,"Category2","Two-Year")</f>
        <v>0</v>
      </c>
      <c r="C51" s="130">
        <f t="shared" si="7"/>
        <v>0</v>
      </c>
      <c r="D51" s="136">
        <f>+GETPIVOTDATA(" Old All Ranks avg",'Averages Pivot Table'!$A$3,"State","NC","Category",8,"Category2","Two-Year")</f>
        <v>48064.402660217653</v>
      </c>
      <c r="E51" s="130">
        <f t="shared" si="8"/>
        <v>9</v>
      </c>
      <c r="F51" s="136">
        <f>+GETPIVOTDATA(" Old All Ranks avg",'Averages Pivot Table'!$A$3,"State","NC","Category",9,"Category2","Two-Year")</f>
        <v>47077.458747135221</v>
      </c>
      <c r="G51" s="130">
        <f t="shared" si="9"/>
        <v>9</v>
      </c>
      <c r="H51" s="144">
        <f>+GETPIVOTDATA(" Old All Ranks avg",'Averages Pivot Table'!$A$3,"State","NC","Category",10,"Category2","Two-Year")</f>
        <v>45310.913663663661</v>
      </c>
      <c r="I51" s="201">
        <f t="shared" si="10"/>
        <v>11</v>
      </c>
      <c r="J51" s="145">
        <f>+GETPIVOTDATA(" Old All Ranks avg",'Averages Pivot Table'!$A$3,"State","NC","Category2","Two-Year")</f>
        <v>47092.319545949307</v>
      </c>
      <c r="K51" s="201">
        <f>IF(J51&gt;0,(RANK(J51,J$40:J$58)),0)</f>
        <v>12</v>
      </c>
      <c r="Q51" s="241"/>
      <c r="S51" s="78"/>
    </row>
    <row r="52" spans="1:19" ht="12.95" customHeight="1">
      <c r="A52" s="12" t="s">
        <v>448</v>
      </c>
      <c r="B52" s="136">
        <f>+GETPIVOTDATA(" Old All Ranks avg",'Averages Pivot Table'!$A$3,"State","OK","Category",7,"Category2","Two-Year")</f>
        <v>53446</v>
      </c>
      <c r="C52" s="130">
        <f t="shared" si="7"/>
        <v>3</v>
      </c>
      <c r="D52" s="136">
        <f>+GETPIVOTDATA(" Old All Ranks avg",'Averages Pivot Table'!$A$3,"State","OK","Category",8,"Category2","Two-Year")</f>
        <v>53778.978769506728</v>
      </c>
      <c r="E52" s="130">
        <f t="shared" si="8"/>
        <v>5</v>
      </c>
      <c r="F52" s="136">
        <f>+GETPIVOTDATA(" Old All Ranks avg",'Averages Pivot Table'!$A$3,"State","OK","Category",9,"Category2","Two-Year")</f>
        <v>47479.820051999995</v>
      </c>
      <c r="G52" s="130">
        <f t="shared" si="9"/>
        <v>7</v>
      </c>
      <c r="H52" s="144">
        <f>+GETPIVOTDATA(" Old All Ranks avg",'Averages Pivot Table'!$A$3,"State","OK","Category",10,"Category2","Two-Year")</f>
        <v>42741.687390476189</v>
      </c>
      <c r="I52" s="201">
        <f t="shared" si="10"/>
        <v>14</v>
      </c>
      <c r="J52" s="145">
        <f>+GETPIVOTDATA(" Old All Ranks avg",'Averages Pivot Table'!$A$3,"State","OK","Category2","Two-Year")</f>
        <v>48888.647740705128</v>
      </c>
      <c r="K52" s="201">
        <f>IF(J52&gt;0,(RANK(J52,J$40:J$58)),0)</f>
        <v>9</v>
      </c>
      <c r="Q52" s="241"/>
      <c r="S52" s="78"/>
    </row>
    <row r="53" spans="1:19" ht="12.95" customHeight="1">
      <c r="A53" s="12" t="s">
        <v>449</v>
      </c>
      <c r="B53" s="136">
        <f>+GETPIVOTDATA(" Old All Ranks avg",'Averages Pivot Table'!$A$3,"State","SC","Category",7,"Category2","Two-Year")</f>
        <v>55680.701021052635</v>
      </c>
      <c r="C53" s="130">
        <f t="shared" si="7"/>
        <v>2</v>
      </c>
      <c r="D53" s="136">
        <f>+GETPIVOTDATA(" Old All Ranks avg",'Averages Pivot Table'!$A$3,"State","SC","Category",8,"Category2","Two-Year")</f>
        <v>46918.906508875742</v>
      </c>
      <c r="E53" s="130">
        <f t="shared" si="8"/>
        <v>12</v>
      </c>
      <c r="F53" s="136">
        <f>+GETPIVOTDATA(" Old All Ranks avg",'Averages Pivot Table'!$A$3,"State","SC","Category",9,"Category2","Two-Year")</f>
        <v>46189.096008629989</v>
      </c>
      <c r="G53" s="130">
        <f t="shared" si="9"/>
        <v>13</v>
      </c>
      <c r="H53" s="144">
        <f>+GETPIVOTDATA(" Old All Ranks avg",'Averages Pivot Table'!$A$3,"State","SC","Category",10,"Category2","Two-Year")</f>
        <v>45079.401628799998</v>
      </c>
      <c r="I53" s="201">
        <f t="shared" si="10"/>
        <v>12</v>
      </c>
      <c r="J53" s="145">
        <f>+GETPIVOTDATA(" Old All Ranks avg",'Averages Pivot Table'!$A$3,"State","SC","Category2","Two-Year")</f>
        <v>46612.51484627225</v>
      </c>
      <c r="K53" s="201">
        <f>IF(J53&gt;0,(RANK(J53,J$40:J$58)),0)</f>
        <v>15</v>
      </c>
      <c r="Q53" s="241"/>
      <c r="S53" s="78"/>
    </row>
    <row r="54" spans="1:19" ht="12.95" customHeight="1">
      <c r="A54" s="12"/>
      <c r="B54" s="136"/>
      <c r="C54" s="130"/>
      <c r="D54" s="136"/>
      <c r="E54" s="130"/>
      <c r="F54" s="136"/>
      <c r="G54" s="130"/>
      <c r="H54" s="144"/>
      <c r="I54" s="201"/>
      <c r="J54" s="145"/>
      <c r="K54" s="201"/>
      <c r="Q54" s="241"/>
      <c r="S54" s="78"/>
    </row>
    <row r="55" spans="1:19" ht="12.95" customHeight="1">
      <c r="A55" s="12" t="s">
        <v>450</v>
      </c>
      <c r="B55" s="136">
        <f>+GETPIVOTDATA(" Old All Ranks avg",'Averages Pivot Table'!$A$3,"State","TN","Category",7,"Category2","Two-Year")</f>
        <v>0</v>
      </c>
      <c r="C55" s="130">
        <f t="shared" si="7"/>
        <v>0</v>
      </c>
      <c r="D55" s="136">
        <f>+GETPIVOTDATA(" Old All Ranks avg",'Averages Pivot Table'!$A$3,"State","TN","Category",8,"Category2","Two-Year")</f>
        <v>47600.536504566924</v>
      </c>
      <c r="E55" s="130">
        <f t="shared" si="8"/>
        <v>10</v>
      </c>
      <c r="F55" s="136">
        <f>+GETPIVOTDATA(" Old All Ranks avg",'Averages Pivot Table'!$A$3,"State","TN","Category",9,"Category2","Two-Year")</f>
        <v>46382.817925558797</v>
      </c>
      <c r="G55" s="130">
        <f t="shared" si="9"/>
        <v>11</v>
      </c>
      <c r="H55" s="144">
        <f>+GETPIVOTDATA(" Old All Ranks avg",'Averages Pivot Table'!$A$3,"State","TN","Category",10,"Category2","Two-Year")</f>
        <v>46971.84151111111</v>
      </c>
      <c r="I55" s="201">
        <f t="shared" si="10"/>
        <v>8</v>
      </c>
      <c r="J55" s="145">
        <f>+GETPIVOTDATA(" Old All Ranks avg",'Averages Pivot Table'!$A$3,"State","TN","Category2","Two-Year")</f>
        <v>46851.42012072177</v>
      </c>
      <c r="K55" s="201">
        <f>IF(J55&gt;0,(RANK(J55,J$40:J$58)),0)</f>
        <v>13</v>
      </c>
      <c r="O55" s="206"/>
      <c r="Q55" s="241"/>
      <c r="S55" s="78"/>
    </row>
    <row r="56" spans="1:19" ht="12.95" customHeight="1">
      <c r="A56" s="12" t="s">
        <v>451</v>
      </c>
      <c r="B56" s="136">
        <f>+GETPIVOTDATA(" Old All Ranks avg",'Averages Pivot Table'!$A$3,"State","TX","Category",7,"Category2","Two-Year")</f>
        <v>51563.563213241381</v>
      </c>
      <c r="C56" s="130">
        <f t="shared" si="7"/>
        <v>4</v>
      </c>
      <c r="D56" s="136">
        <f>+GETPIVOTDATA(" Old All Ranks avg",'Averages Pivot Table'!$A$3,"State","TX","Category",8,"Category2","Two-Year")</f>
        <v>55893.740439594279</v>
      </c>
      <c r="E56" s="130">
        <f t="shared" si="8"/>
        <v>3</v>
      </c>
      <c r="F56" s="136">
        <f>+GETPIVOTDATA(" Old All Ranks avg",'Averages Pivot Table'!$A$3,"State","TX","Category",9,"Category2","Two-Year")</f>
        <v>48357.189551877134</v>
      </c>
      <c r="G56" s="130">
        <f t="shared" si="9"/>
        <v>5</v>
      </c>
      <c r="H56" s="144">
        <f>+GETPIVOTDATA(" Old All Ranks avg",'Averages Pivot Table'!$A$3,"State","TX","Category",10,"Category2","Two-Year")</f>
        <v>43316.123463971882</v>
      </c>
      <c r="I56" s="201">
        <f t="shared" si="10"/>
        <v>13</v>
      </c>
      <c r="J56" s="145">
        <f>+GETPIVOTDATA(" Old All Ranks avg",'Averages Pivot Table'!$A$3,"State","TX","Category2","Two-Year")</f>
        <v>53284.073586265818</v>
      </c>
      <c r="K56" s="201">
        <f>IF(J56&gt;0,(RANK(J56,J$40:J$58)),0)</f>
        <v>6</v>
      </c>
      <c r="O56" s="207"/>
      <c r="Q56" s="241"/>
      <c r="S56" s="78"/>
    </row>
    <row r="57" spans="1:19" ht="12.95" customHeight="1">
      <c r="A57" s="12" t="s">
        <v>452</v>
      </c>
      <c r="B57" s="136">
        <f>+GETPIVOTDATA(" Old All Ranks avg",'Averages Pivot Table'!$A$3,"State","VA","Category",7,"Category2","Two-Year")</f>
        <v>0</v>
      </c>
      <c r="C57" s="130">
        <f t="shared" si="7"/>
        <v>0</v>
      </c>
      <c r="D57" s="136">
        <f>+GETPIVOTDATA(" Old All Ranks avg",'Averages Pivot Table'!$A$3,"State","VA","Category",8,"Category2","Two-Year")</f>
        <v>0</v>
      </c>
      <c r="E57" s="130">
        <f t="shared" si="8"/>
        <v>0</v>
      </c>
      <c r="F57" s="136">
        <f>+GETPIVOTDATA(" Old All Ranks avg",'Averages Pivot Table'!$A$3,"State","VA","Category",9,"Category2","Two-Year")</f>
        <v>0</v>
      </c>
      <c r="G57" s="130">
        <f t="shared" si="9"/>
        <v>0</v>
      </c>
      <c r="H57" s="144">
        <f>+GETPIVOTDATA(" Old All Ranks avg",'Averages Pivot Table'!$A$3,"State","VA","Category",10,"Category2","Two-Year")</f>
        <v>55425.181818181816</v>
      </c>
      <c r="I57" s="201">
        <f t="shared" si="10"/>
        <v>3</v>
      </c>
      <c r="J57" s="145">
        <f>+GETPIVOTDATA(" Old All Ranks avg",'Averages Pivot Table'!$A$3,"State","VA","Category2","Two-Year")</f>
        <v>57185.932421415615</v>
      </c>
      <c r="K57" s="201">
        <f>IF(J57&gt;0,(RANK(J57,J$40:J$58)),0)</f>
        <v>3</v>
      </c>
      <c r="O57" s="207"/>
      <c r="Q57" s="241"/>
      <c r="S57" s="78"/>
    </row>
    <row r="58" spans="1:19" ht="12.95" customHeight="1">
      <c r="A58" s="11" t="s">
        <v>453</v>
      </c>
      <c r="B58" s="137">
        <f>+GETPIVOTDATA(" Old All Ranks avg",'Averages Pivot Table'!$A$3,"State","WV","Category",7,"Category2","Two-Year")</f>
        <v>47120.757516535428</v>
      </c>
      <c r="C58" s="65">
        <f t="shared" si="7"/>
        <v>7</v>
      </c>
      <c r="D58" s="137">
        <f>+GETPIVOTDATA(" Old All Ranks avg",'Averages Pivot Table'!$A$3,"State","WV","Category",8,"Category2","Two-Year")</f>
        <v>0</v>
      </c>
      <c r="E58" s="65">
        <f t="shared" si="8"/>
        <v>0</v>
      </c>
      <c r="F58" s="137">
        <f>+GETPIVOTDATA(" Old All Ranks avg",'Averages Pivot Table'!$A$3,"State","WV","Category",9,"Category2","Two-Year")</f>
        <v>0</v>
      </c>
      <c r="G58" s="65">
        <f t="shared" si="9"/>
        <v>0</v>
      </c>
      <c r="H58" s="146">
        <f>+GETPIVOTDATA(" Old All Ranks avg",'Averages Pivot Table'!$A$3,"State","WV","Category",10,"Category2","Two-Year")</f>
        <v>46535.77732691358</v>
      </c>
      <c r="I58" s="202">
        <f t="shared" si="10"/>
        <v>9</v>
      </c>
      <c r="J58" s="147">
        <f>+GETPIVOTDATA(" Old All Ranks avg",'Averages Pivot Table'!$A$3,"State","WV","Category2","Two-Year")</f>
        <v>46675.424853383462</v>
      </c>
      <c r="K58" s="202">
        <f>IF(J58&gt;0,(RANK(J58,J$40:J$58)),0)</f>
        <v>14</v>
      </c>
      <c r="O58" s="207"/>
      <c r="Q58" s="241"/>
      <c r="S58" s="78"/>
    </row>
    <row r="59" spans="1:19" ht="30" customHeight="1">
      <c r="A59" s="627" t="s">
        <v>323</v>
      </c>
      <c r="B59" s="627"/>
      <c r="C59" s="627"/>
      <c r="D59" s="627"/>
      <c r="E59" s="627"/>
      <c r="F59" s="627"/>
      <c r="G59" s="627"/>
      <c r="H59" s="627"/>
      <c r="I59" s="627"/>
      <c r="J59" s="627"/>
      <c r="K59" s="627"/>
      <c r="L59" s="585"/>
      <c r="M59" s="585"/>
      <c r="N59" s="183"/>
      <c r="O59" s="208"/>
      <c r="Q59" s="239"/>
    </row>
    <row r="60" spans="1:19">
      <c r="K60" s="244" t="s">
        <v>1166</v>
      </c>
      <c r="Q60" s="239"/>
    </row>
    <row r="61" spans="1:19" ht="18">
      <c r="A61" s="13" t="s">
        <v>778</v>
      </c>
      <c r="B61" s="13"/>
      <c r="C61" s="13"/>
      <c r="D61" s="13"/>
      <c r="E61" s="13"/>
      <c r="F61" s="13"/>
      <c r="G61" s="135"/>
      <c r="H61" s="135"/>
      <c r="I61" s="196"/>
      <c r="J61" s="135" t="s">
        <v>457</v>
      </c>
      <c r="K61" s="135"/>
      <c r="O61" s="207"/>
      <c r="Q61" s="239"/>
    </row>
    <row r="62" spans="1:19">
      <c r="A62" s="5"/>
      <c r="B62" s="5"/>
      <c r="C62" s="5"/>
      <c r="D62" s="5"/>
      <c r="E62" s="5"/>
      <c r="F62" s="5"/>
      <c r="G62" s="135"/>
      <c r="H62" s="135"/>
      <c r="I62" s="196"/>
      <c r="J62" s="135"/>
      <c r="K62" s="135"/>
      <c r="O62" s="207"/>
      <c r="Q62" s="239"/>
    </row>
    <row r="63" spans="1:19">
      <c r="A63" s="619" t="s">
        <v>438</v>
      </c>
      <c r="B63" s="619"/>
      <c r="C63" s="619"/>
      <c r="D63" s="619"/>
      <c r="E63" s="619"/>
      <c r="F63" s="619"/>
      <c r="G63" s="619"/>
      <c r="H63" s="619"/>
      <c r="I63" s="619"/>
      <c r="J63" s="135" t="s">
        <v>457</v>
      </c>
      <c r="K63" s="135"/>
      <c r="O63" s="207"/>
      <c r="Q63" s="239"/>
    </row>
    <row r="64" spans="1:19">
      <c r="A64" s="619" t="s">
        <v>758</v>
      </c>
      <c r="B64" s="619"/>
      <c r="C64" s="619"/>
      <c r="D64" s="619"/>
      <c r="E64" s="619"/>
      <c r="F64" s="619"/>
      <c r="G64" s="619"/>
      <c r="H64" s="619"/>
      <c r="I64" s="619"/>
      <c r="J64" s="135" t="s">
        <v>457</v>
      </c>
      <c r="K64" s="135"/>
      <c r="O64" s="207"/>
      <c r="Q64" s="239"/>
    </row>
    <row r="65" spans="1:19">
      <c r="A65" s="5"/>
      <c r="B65" s="5"/>
      <c r="C65" s="5"/>
      <c r="D65" s="5"/>
      <c r="E65" s="5"/>
      <c r="F65" s="5"/>
      <c r="G65" s="135"/>
      <c r="H65" s="135"/>
      <c r="I65" s="196"/>
      <c r="J65" s="135"/>
      <c r="K65" s="135"/>
      <c r="L65" s="126"/>
      <c r="M65" s="187"/>
      <c r="N65" s="126"/>
      <c r="O65" s="209"/>
      <c r="Q65" s="239"/>
    </row>
    <row r="66" spans="1:19" s="156" customFormat="1" ht="48" customHeight="1">
      <c r="A66" s="153"/>
      <c r="B66" s="179" t="s">
        <v>462</v>
      </c>
      <c r="C66" s="180"/>
      <c r="D66" s="179" t="s">
        <v>240</v>
      </c>
      <c r="E66" s="19"/>
      <c r="F66" s="179" t="s">
        <v>241</v>
      </c>
      <c r="G66" s="19"/>
      <c r="H66" s="181" t="s">
        <v>242</v>
      </c>
      <c r="I66" s="198"/>
      <c r="L66" s="157" t="s">
        <v>457</v>
      </c>
      <c r="M66" s="231"/>
      <c r="N66" s="157"/>
      <c r="O66" s="210"/>
      <c r="Q66" s="239"/>
      <c r="R66" s="193"/>
      <c r="S66" s="74"/>
    </row>
    <row r="67" spans="1:19">
      <c r="A67" s="16"/>
      <c r="B67" s="60" t="s">
        <v>336</v>
      </c>
      <c r="C67" s="61" t="s">
        <v>427</v>
      </c>
      <c r="D67" s="60" t="s">
        <v>336</v>
      </c>
      <c r="E67" s="61" t="s">
        <v>427</v>
      </c>
      <c r="F67" s="60" t="s">
        <v>336</v>
      </c>
      <c r="G67" s="61" t="s">
        <v>427</v>
      </c>
      <c r="H67" s="134" t="s">
        <v>336</v>
      </c>
      <c r="I67" s="228" t="s">
        <v>427</v>
      </c>
      <c r="L67" s="133"/>
      <c r="M67" s="204"/>
      <c r="N67" s="133"/>
      <c r="O67" s="207"/>
      <c r="Q67" s="239"/>
    </row>
    <row r="68" spans="1:19" s="156" customFormat="1" ht="18" customHeight="1">
      <c r="A68" s="168" t="s">
        <v>456</v>
      </c>
      <c r="B68" s="172">
        <f>+GETPIVOTDATA(" Old All Ranks avg",'Averages Pivot Table'!$A$3,"Category",12,"Category2","Technical Institutes")</f>
        <v>45758.964140479758</v>
      </c>
      <c r="C68" s="172"/>
      <c r="D68" s="172">
        <f>+GETPIVOTDATA(" Old All Ranks avg",'Averages Pivot Table'!$A$3,"Category",13,"Category2","Technical Institutes")</f>
        <v>44171.575398780493</v>
      </c>
      <c r="E68" s="172"/>
      <c r="F68" s="172">
        <f>+GETPIVOTDATA(" Old All Ranks avg",'Averages Pivot Table'!$A$3,"Category",14,"Category2","Technical Institutes")</f>
        <v>40200.47929486166</v>
      </c>
      <c r="G68" s="174"/>
      <c r="H68" s="172">
        <f>+GETPIVOTDATA(" Old All Ranks avg",'Averages Pivot Table'!$A$3,"Category2","Technical Institutes")</f>
        <v>44650.237449161286</v>
      </c>
      <c r="I68" s="229"/>
      <c r="J68" s="172"/>
      <c r="K68" s="172"/>
      <c r="L68" s="172"/>
      <c r="M68" s="205"/>
      <c r="N68" s="173"/>
      <c r="O68" s="210"/>
      <c r="Q68" s="240"/>
      <c r="R68" s="193"/>
      <c r="S68" s="171"/>
    </row>
    <row r="69" spans="1:19" ht="12.95" customHeight="1">
      <c r="A69" s="12"/>
      <c r="B69" s="62"/>
      <c r="C69" s="62"/>
      <c r="D69" s="62"/>
      <c r="E69" s="62"/>
      <c r="F69" s="138"/>
      <c r="G69" s="148"/>
      <c r="H69" s="149"/>
      <c r="I69" s="151"/>
      <c r="J69" s="126"/>
      <c r="O69" s="207"/>
      <c r="Q69" s="241"/>
      <c r="S69" s="78"/>
    </row>
    <row r="70" spans="1:19" ht="12.95" customHeight="1">
      <c r="A70" s="12" t="s">
        <v>439</v>
      </c>
      <c r="B70" s="62">
        <f>+GETPIVOTDATA(" Old All Ranks avg",'Averages Pivot Table'!$A$3,"State","AL","Category",12,"Category2","Technical Institutes")</f>
        <v>54025.01278918919</v>
      </c>
      <c r="C70" s="130">
        <f>IF(B70&gt;0,(RANK(B70,B$70:B$88)),0)</f>
        <v>1</v>
      </c>
      <c r="D70" s="62">
        <f>+GETPIVOTDATA(" Old All Ranks avg",'Averages Pivot Table'!$A$3,"State","AL","Category",13,"Category2","Technical Institutes")</f>
        <v>53407.699217977526</v>
      </c>
      <c r="E70" s="130">
        <f>IF(D70&gt;0,(RANK(D70,D$70:D$88)),0)</f>
        <v>1</v>
      </c>
      <c r="F70" s="62">
        <f>+GETPIVOTDATA(" Old All Ranks avg",'Averages Pivot Table'!$A$3,"State","AL","Category",14,"Category2","Technical Institutes")</f>
        <v>0</v>
      </c>
      <c r="G70" s="130">
        <f>IF(F70&gt;0,(RANK(F70,F$70:F$88)),0)</f>
        <v>0</v>
      </c>
      <c r="H70" s="149">
        <f>+GETPIVOTDATA(" Old All Ranks avg",'Averages Pivot Table'!$A$3,"State","AL","Category2","Technical Institutes")</f>
        <v>53687.952004907973</v>
      </c>
      <c r="I70" s="201">
        <f>IF(H70&gt;0,(RANK(H70,H$70:H$88)),0)</f>
        <v>1</v>
      </c>
      <c r="J70" s="126"/>
      <c r="O70" s="209"/>
      <c r="Q70" s="241"/>
      <c r="S70" s="78"/>
    </row>
    <row r="71" spans="1:19" ht="12.95" customHeight="1">
      <c r="A71" s="12" t="s">
        <v>440</v>
      </c>
      <c r="B71" s="62">
        <f>+GETPIVOTDATA(" Old All Ranks avg",'Averages Pivot Table'!$A$3,"State","AR","Category",12,"Category2","Technical Institutes")</f>
        <v>0</v>
      </c>
      <c r="C71" s="130">
        <f>IF(B71&gt;0,(RANK(B71,B$70:B$88)),0)</f>
        <v>0</v>
      </c>
      <c r="D71" s="62">
        <f>+GETPIVOTDATA(" Old All Ranks avg",'Averages Pivot Table'!$A$3,"State","AR","Category",13,"Category2","Technical Institutes")</f>
        <v>0</v>
      </c>
      <c r="E71" s="130">
        <f>IF(D71&gt;0,(RANK(D71,D$70:D$88)),0)</f>
        <v>0</v>
      </c>
      <c r="F71" s="62">
        <f>+GETPIVOTDATA(" Old All Ranks avg",'Averages Pivot Table'!$A$3,"State","AR","Category",14,"Category2","Technical Institutes")</f>
        <v>0</v>
      </c>
      <c r="G71" s="130">
        <f>IF(F71&gt;0,(RANK(F71,F$70:F$88)),0)</f>
        <v>0</v>
      </c>
      <c r="H71" s="149">
        <f>+GETPIVOTDATA(" Old All Ranks avg",'Averages Pivot Table'!$A$3,"State","AR","Category2","Technical Institutes")</f>
        <v>0</v>
      </c>
      <c r="I71" s="201">
        <f>IF(H71&gt;0,(RANK(H71,H$70:H$88)),0)</f>
        <v>0</v>
      </c>
      <c r="J71" s="126"/>
      <c r="O71" s="207"/>
      <c r="Q71" s="241"/>
      <c r="S71" s="78"/>
    </row>
    <row r="72" spans="1:19" ht="12.95" customHeight="1">
      <c r="A72" s="12" t="s">
        <v>455</v>
      </c>
      <c r="B72" s="62">
        <f>+GETPIVOTDATA(" Old All Ranks avg",'Averages Pivot Table'!$A$3,"State","DE","Category",12,"Category2","Technical Institutes")</f>
        <v>0</v>
      </c>
      <c r="C72" s="130">
        <f>IF(B72&gt;0,(RANK(B72,B$70:B$88)),0)</f>
        <v>0</v>
      </c>
      <c r="D72" s="62">
        <f>+GETPIVOTDATA(" Old All Ranks avg",'Averages Pivot Table'!$A$3,"State","DE","Category",13,"Category2","Technical Institutes")</f>
        <v>0</v>
      </c>
      <c r="E72" s="130">
        <f>IF(D72&gt;0,(RANK(D72,D$70:D$88)),0)</f>
        <v>0</v>
      </c>
      <c r="F72" s="62">
        <f>+GETPIVOTDATA(" Old All Ranks avg",'Averages Pivot Table'!$A$3,"State","DE","Category",14,"Category2","Technical Institutes")</f>
        <v>0</v>
      </c>
      <c r="G72" s="130">
        <f>IF(F72&gt;0,(RANK(F72,F$70:F$88)),0)</f>
        <v>0</v>
      </c>
      <c r="H72" s="149">
        <f>+GETPIVOTDATA(" Old All Ranks avg",'Averages Pivot Table'!$A$3,"State","DE","Category2","Technical Institutes")</f>
        <v>0</v>
      </c>
      <c r="I72" s="201">
        <f>IF(H72&gt;0,(RANK(H72,H$70:H$88)),0)</f>
        <v>0</v>
      </c>
      <c r="J72" s="126"/>
      <c r="O72" s="207"/>
      <c r="Q72" s="241"/>
      <c r="S72" s="78"/>
    </row>
    <row r="73" spans="1:19" ht="12.95" customHeight="1">
      <c r="A73" s="12" t="s">
        <v>441</v>
      </c>
      <c r="B73" s="62">
        <f>+GETPIVOTDATA(" Old All Ranks avg",'Averages Pivot Table'!$A$3,"State","FL","Category",12,"Category2","Technical Institutes")</f>
        <v>0</v>
      </c>
      <c r="C73" s="130">
        <f>IF(B73&gt;0,(RANK(B73,B$70:B$88)),0)</f>
        <v>0</v>
      </c>
      <c r="D73" s="62">
        <f>+GETPIVOTDATA(" Old All Ranks avg",'Averages Pivot Table'!$A$3,"State","FL","Category",13,"Category2","Technical Institutes")</f>
        <v>0</v>
      </c>
      <c r="E73" s="130">
        <f>IF(D73&gt;0,(RANK(D73,D$70:D$88)),0)</f>
        <v>0</v>
      </c>
      <c r="F73" s="62">
        <f>+GETPIVOTDATA(" Old All Ranks avg",'Averages Pivot Table'!$A$3,"State","FL","Category",14,"Category2","Technical Institutes")</f>
        <v>0</v>
      </c>
      <c r="G73" s="130">
        <f>IF(F73&gt;0,(RANK(F73,F$70:F$88)),0)</f>
        <v>0</v>
      </c>
      <c r="H73" s="149">
        <f>+GETPIVOTDATA(" Old All Ranks avg",'Averages Pivot Table'!$A$3,"State","FL","Category2","Technical Institutes")</f>
        <v>0</v>
      </c>
      <c r="I73" s="201">
        <f>IF(H73&gt;0,(RANK(H73,H$70:H$88)),0)</f>
        <v>0</v>
      </c>
      <c r="J73" s="126"/>
      <c r="O73" s="207"/>
      <c r="Q73" s="241"/>
      <c r="S73" s="78"/>
    </row>
    <row r="74" spans="1:19" ht="12.95" customHeight="1">
      <c r="A74" s="12"/>
      <c r="B74" s="62"/>
      <c r="C74" s="130"/>
      <c r="D74" s="62"/>
      <c r="E74" s="130"/>
      <c r="F74" s="62"/>
      <c r="G74" s="130"/>
      <c r="H74" s="149"/>
      <c r="I74" s="201"/>
      <c r="J74" s="126"/>
      <c r="O74" s="207"/>
      <c r="Q74" s="241"/>
      <c r="S74" s="78"/>
    </row>
    <row r="75" spans="1:19" ht="12.95" customHeight="1">
      <c r="A75" s="12" t="s">
        <v>442</v>
      </c>
      <c r="B75" s="62">
        <f>+GETPIVOTDATA(" Old All Ranks avg",'Averages Pivot Table'!$A$3,"State","GA","Category",12,"Category2","Technical Institutes")</f>
        <v>44984.557607792209</v>
      </c>
      <c r="C75" s="130">
        <f>IF(B75&gt;0,(RANK(B75,B$70:B$88)),0)</f>
        <v>3</v>
      </c>
      <c r="D75" s="62">
        <f>+GETPIVOTDATA(" Old All Ranks avg",'Averages Pivot Table'!$A$3,"State","GA","Category",13,"Category2","Technical Institutes")</f>
        <v>37568.506393333337</v>
      </c>
      <c r="E75" s="130">
        <f>IF(D75&gt;0,(RANK(D75,D$70:D$88)),0)</f>
        <v>4</v>
      </c>
      <c r="F75" s="62">
        <f>+GETPIVOTDATA(" Old All Ranks avg",'Averages Pivot Table'!$A$3,"State","GA","Category",14,"Category2","Technical Institutes")</f>
        <v>0</v>
      </c>
      <c r="G75" s="130">
        <f>IF(F75&gt;0,(RANK(F75,F$70:F$88)),0)</f>
        <v>0</v>
      </c>
      <c r="H75" s="149">
        <f>+GETPIVOTDATA(" Old All Ranks avg",'Averages Pivot Table'!$A$3,"State","GA","Category2","Technical Institutes")</f>
        <v>44879.06612536747</v>
      </c>
      <c r="I75" s="201">
        <f>IF(H75&gt;0,(RANK(H75,H$70:H$88)),0)</f>
        <v>3</v>
      </c>
      <c r="J75" s="126"/>
      <c r="O75" s="207"/>
      <c r="Q75" s="241"/>
      <c r="S75" s="78"/>
    </row>
    <row r="76" spans="1:19" ht="12.95" customHeight="1">
      <c r="A76" s="12" t="s">
        <v>443</v>
      </c>
      <c r="B76" s="62">
        <f>+GETPIVOTDATA(" Old All Ranks avg",'Averages Pivot Table'!$A$3,"State","KY","Category",12,"Category2","Technical Institutes")</f>
        <v>44346.303811034486</v>
      </c>
      <c r="C76" s="130">
        <f>IF(B76&gt;0,(RANK(B76,B$70:B$88)),0)</f>
        <v>4</v>
      </c>
      <c r="D76" s="62">
        <f>+GETPIVOTDATA(" Old All Ranks avg",'Averages Pivot Table'!$A$3,"State","KY","Category",13,"Category2","Technical Institutes")</f>
        <v>0</v>
      </c>
      <c r="E76" s="130">
        <f>IF(D76&gt;0,(RANK(D76,D$70:D$88)),0)</f>
        <v>0</v>
      </c>
      <c r="F76" s="62">
        <f>+GETPIVOTDATA(" Old All Ranks avg",'Averages Pivot Table'!$A$3,"State","KY","Category",14,"Category2","Technical Institutes")</f>
        <v>0</v>
      </c>
      <c r="G76" s="130">
        <f>IF(F76&gt;0,(RANK(F76,F$70:F$88)),0)</f>
        <v>0</v>
      </c>
      <c r="H76" s="149">
        <f>+GETPIVOTDATA(" Old All Ranks avg",'Averages Pivot Table'!$A$3,"State","KY","Category2","Technical Institutes")</f>
        <v>44346.303811034486</v>
      </c>
      <c r="I76" s="201">
        <f>IF(H76&gt;0,(RANK(H76,H$70:H$88)),0)</f>
        <v>4</v>
      </c>
      <c r="J76" s="126"/>
      <c r="O76" s="207"/>
      <c r="Q76" s="241"/>
      <c r="S76" s="78"/>
    </row>
    <row r="77" spans="1:19" ht="12.95" customHeight="1">
      <c r="A77" s="12" t="s">
        <v>444</v>
      </c>
      <c r="B77" s="62">
        <f>+GETPIVOTDATA(" Old All Ranks avg",'Averages Pivot Table'!$A$3,"State","LA","Category",12,"Category2","Technical Institutes")</f>
        <v>41512.950705882351</v>
      </c>
      <c r="C77" s="130">
        <f>IF(B77&gt;0,(RANK(B77,B$70:B$88)),0)</f>
        <v>5</v>
      </c>
      <c r="D77" s="62">
        <f>+GETPIVOTDATA(" Old All Ranks avg",'Averages Pivot Table'!$A$3,"State","LA","Category",13,"Category2","Technical Institutes")</f>
        <v>37662.391721951222</v>
      </c>
      <c r="E77" s="130">
        <f>IF(D77&gt;0,(RANK(D77,D$70:D$88)),0)</f>
        <v>3</v>
      </c>
      <c r="F77" s="62">
        <f>+GETPIVOTDATA(" Old All Ranks avg",'Averages Pivot Table'!$A$3,"State","LA","Category",14,"Category2","Technical Institutes")</f>
        <v>40121.755793600001</v>
      </c>
      <c r="G77" s="130">
        <f>IF(F77&gt;0,(RANK(F77,F$70:F$88)),0)</f>
        <v>2</v>
      </c>
      <c r="H77" s="149">
        <f>+GETPIVOTDATA(" Old All Ranks avg",'Averages Pivot Table'!$A$3,"State","LA","Category2","Technical Institutes")</f>
        <v>40111.521519540227</v>
      </c>
      <c r="I77" s="201">
        <f>IF(H77&gt;0,(RANK(H77,H$70:H$88)),0)</f>
        <v>5</v>
      </c>
      <c r="J77" s="126"/>
      <c r="Q77" s="241"/>
      <c r="S77" s="78"/>
    </row>
    <row r="78" spans="1:19" ht="12.95" customHeight="1">
      <c r="A78" s="12" t="s">
        <v>445</v>
      </c>
      <c r="B78" s="62">
        <f>+GETPIVOTDATA(" Old All Ranks avg",'Averages Pivot Table'!$A$3,"State","MD","Category",12,"Category2","Technical Institutes")</f>
        <v>0</v>
      </c>
      <c r="C78" s="130">
        <f>IF(B78&gt;0,(RANK(B78,B$70:B$88)),0)</f>
        <v>0</v>
      </c>
      <c r="D78" s="62">
        <f>+GETPIVOTDATA(" Old All Ranks avg",'Averages Pivot Table'!$A$3,"State","MD","Category",13,"Category2","Technical Institutes")</f>
        <v>0</v>
      </c>
      <c r="E78" s="130">
        <f>IF(D78&gt;0,(RANK(D78,D$70:D$88)),0)</f>
        <v>0</v>
      </c>
      <c r="F78" s="62">
        <f>+GETPIVOTDATA(" Old All Ranks avg",'Averages Pivot Table'!$A$3,"State","MD","Category",14,"Category2","Technical Institutes")</f>
        <v>0</v>
      </c>
      <c r="G78" s="130">
        <f>IF(F78&gt;0,(RANK(F78,F$70:F$88)),0)</f>
        <v>0</v>
      </c>
      <c r="H78" s="149">
        <f>+GETPIVOTDATA(" Old All Ranks avg",'Averages Pivot Table'!$A$3,"State","MD","Category2","Technical Institutes")</f>
        <v>0</v>
      </c>
      <c r="I78" s="201">
        <f>IF(H78&gt;0,(RANK(H78,H$70:H$88)),0)</f>
        <v>0</v>
      </c>
      <c r="J78" s="126"/>
      <c r="Q78" s="241"/>
      <c r="S78" s="78"/>
    </row>
    <row r="79" spans="1:19" ht="12.95" customHeight="1">
      <c r="A79" s="12"/>
      <c r="B79" s="62"/>
      <c r="C79" s="130"/>
      <c r="D79" s="62"/>
      <c r="E79" s="130"/>
      <c r="F79" s="62"/>
      <c r="G79" s="130"/>
      <c r="H79" s="149"/>
      <c r="I79" s="201"/>
      <c r="J79" s="126"/>
      <c r="Q79" s="241"/>
      <c r="S79" s="78"/>
    </row>
    <row r="80" spans="1:19" ht="12.95" customHeight="1">
      <c r="A80" s="12" t="s">
        <v>446</v>
      </c>
      <c r="B80" s="62">
        <f>+GETPIVOTDATA(" Old All Ranks avg",'Averages Pivot Table'!$A$3,"State","MS","Category",12,"Category2","Technical Institutes")</f>
        <v>0</v>
      </c>
      <c r="C80" s="130">
        <f>IF(B80&gt;0,(RANK(B80,B$70:B$88)),0)</f>
        <v>0</v>
      </c>
      <c r="D80" s="62">
        <f>+GETPIVOTDATA(" Old All Ranks avg",'Averages Pivot Table'!$A$3,"State","MS","Category",13,"Category2","Technical Institutes")</f>
        <v>0</v>
      </c>
      <c r="E80" s="130">
        <f>IF(D80&gt;0,(RANK(D80,D$70:D$88)),0)</f>
        <v>0</v>
      </c>
      <c r="F80" s="62">
        <f>+GETPIVOTDATA(" Old All Ranks avg",'Averages Pivot Table'!$A$3,"State","MS","Category",14,"Category2","Technical Institutes")</f>
        <v>0</v>
      </c>
      <c r="G80" s="130">
        <f>IF(F80&gt;0,(RANK(F80,F$70:F$88)),0)</f>
        <v>0</v>
      </c>
      <c r="H80" s="149">
        <f>+GETPIVOTDATA(" Old All Ranks avg",'Averages Pivot Table'!$A$3,"State","MS","Category2","Technical Institutes")</f>
        <v>0</v>
      </c>
      <c r="I80" s="201">
        <f>IF(H80&gt;0,(RANK(H80,H$70:H$88)),0)</f>
        <v>0</v>
      </c>
      <c r="J80" s="126"/>
      <c r="Q80" s="241"/>
      <c r="S80" s="78"/>
    </row>
    <row r="81" spans="1:19" ht="12.95" customHeight="1">
      <c r="A81" s="12" t="s">
        <v>447</v>
      </c>
      <c r="B81" s="62">
        <f>+GETPIVOTDATA(" Old All Ranks avg",'Averages Pivot Table'!$A$3,"State","NC","Category",12,"Category2","Technical Institutes")</f>
        <v>0</v>
      </c>
      <c r="C81" s="130">
        <f>IF(B81&gt;0,(RANK(B81,B$70:B$88)),0)</f>
        <v>0</v>
      </c>
      <c r="D81" s="62">
        <f>+GETPIVOTDATA(" Old All Ranks avg",'Averages Pivot Table'!$A$3,"State","NC","Category",13,"Category2","Technical Institutes")</f>
        <v>0</v>
      </c>
      <c r="E81" s="130">
        <f>IF(D81&gt;0,(RANK(D81,D$70:D$88)),0)</f>
        <v>0</v>
      </c>
      <c r="F81" s="62">
        <f>+GETPIVOTDATA(" Old All Ranks avg",'Averages Pivot Table'!$A$3,"State","NC","Category",14,"Category2","Technical Institutes")</f>
        <v>0</v>
      </c>
      <c r="G81" s="130">
        <f>IF(F81&gt;0,(RANK(F81,F$70:F$88)),0)</f>
        <v>0</v>
      </c>
      <c r="H81" s="149">
        <f>+GETPIVOTDATA(" Old All Ranks avg",'Averages Pivot Table'!$A$3,"State","NC","Category2","Technical Institutes")</f>
        <v>0</v>
      </c>
      <c r="I81" s="201">
        <f>IF(H81&gt;0,(RANK(H81,H$70:H$88)),0)</f>
        <v>0</v>
      </c>
      <c r="J81" s="126"/>
      <c r="Q81" s="241"/>
      <c r="S81" s="78"/>
    </row>
    <row r="82" spans="1:19" ht="12.95" customHeight="1">
      <c r="A82" s="12" t="s">
        <v>448</v>
      </c>
      <c r="B82" s="62">
        <f>+GETPIVOTDATA(" Old All Ranks avg",'Averages Pivot Table'!$A$3,"State","OK","Category",12,"Category2","Technical Institutes")</f>
        <v>50698.925209271525</v>
      </c>
      <c r="C82" s="130">
        <f>IF(B82&gt;0,(RANK(B82,B$70:B$88)),0)</f>
        <v>2</v>
      </c>
      <c r="D82" s="62">
        <f>+GETPIVOTDATA(" Old All Ranks avg",'Averages Pivot Table'!$A$3,"State","OK","Category",13,"Category2","Technical Institutes")</f>
        <v>48010.763139877301</v>
      </c>
      <c r="E82" s="130">
        <f>IF(D82&gt;0,(RANK(D82,D$70:D$88)),0)</f>
        <v>2</v>
      </c>
      <c r="F82" s="62">
        <f>+GETPIVOTDATA(" Old All Ranks avg",'Averages Pivot Table'!$A$3,"State","OK","Category",14,"Category2","Technical Institutes")</f>
        <v>46760.771066666668</v>
      </c>
      <c r="G82" s="130">
        <f>IF(F82&gt;0,(RANK(F82,F$70:F$88)),0)</f>
        <v>1</v>
      </c>
      <c r="H82" s="149">
        <f>+GETPIVOTDATA(" Old All Ranks avg",'Averages Pivot Table'!$A$3,"State","OK","Category2","Technical Institutes")</f>
        <v>48726.991984505796</v>
      </c>
      <c r="I82" s="201">
        <f>IF(H82&gt;0,(RANK(H82,H$70:H$88)),0)</f>
        <v>2</v>
      </c>
      <c r="J82" s="126"/>
      <c r="Q82" s="241"/>
      <c r="S82" s="78"/>
    </row>
    <row r="83" spans="1:19" ht="12.95" customHeight="1">
      <c r="A83" s="12" t="s">
        <v>449</v>
      </c>
      <c r="B83" s="62">
        <f>+GETPIVOTDATA(" Old All Ranks avg",'Averages Pivot Table'!$A$3,"State","SC","Category",12,"Category2","Technical Institutes")</f>
        <v>0</v>
      </c>
      <c r="C83" s="130">
        <f>IF(B83&gt;0,(RANK(B83,B$70:B$88)),0)</f>
        <v>0</v>
      </c>
      <c r="D83" s="62">
        <f>+GETPIVOTDATA(" Old All Ranks avg",'Averages Pivot Table'!$A$3,"State","SC","Category",13,"Category2","Technical Institutes")</f>
        <v>0</v>
      </c>
      <c r="E83" s="130">
        <f>IF(D83&gt;0,(RANK(D83,D$70:D$88)),0)</f>
        <v>0</v>
      </c>
      <c r="F83" s="62">
        <f>+GETPIVOTDATA(" Old All Ranks avg",'Averages Pivot Table'!$A$3,"State","SC","Category",14,"Category2","Technical Institutes")</f>
        <v>0</v>
      </c>
      <c r="G83" s="130">
        <f>IF(F83&gt;0,(RANK(F83,F$70:F$88)),0)</f>
        <v>0</v>
      </c>
      <c r="H83" s="149">
        <f>+GETPIVOTDATA(" Old All Ranks avg",'Averages Pivot Table'!$A$3,"State","SC","Category2","Technical Institutes")</f>
        <v>0</v>
      </c>
      <c r="I83" s="201">
        <f>IF(H83&gt;0,(RANK(H83,H$70:H$88)),0)</f>
        <v>0</v>
      </c>
      <c r="J83" s="126"/>
      <c r="Q83" s="241"/>
      <c r="S83" s="78"/>
    </row>
    <row r="84" spans="1:19" ht="12.95" customHeight="1">
      <c r="A84" s="12"/>
      <c r="B84" s="62"/>
      <c r="C84" s="130"/>
      <c r="D84" s="62"/>
      <c r="E84" s="130"/>
      <c r="F84" s="62"/>
      <c r="G84" s="130"/>
      <c r="H84" s="149"/>
      <c r="I84" s="201"/>
      <c r="J84" s="126"/>
      <c r="Q84" s="241"/>
      <c r="S84" s="78"/>
    </row>
    <row r="85" spans="1:19" ht="12.95" customHeight="1">
      <c r="A85" s="12" t="s">
        <v>450</v>
      </c>
      <c r="B85" s="129">
        <f>+GETPIVOTDATA(" Old All Ranks avg",'Averages Pivot Table'!$A$3,"State","TN","Category",12,"Category2","Technical Institutes")</f>
        <v>0</v>
      </c>
      <c r="C85" s="130">
        <f>IF(B85&gt;0,(RANK(B85,B$70:B$88)),0)</f>
        <v>0</v>
      </c>
      <c r="D85" s="129">
        <f>+GETPIVOTDATA(" Old All Ranks avg",'Averages Pivot Table'!$A$3,"State","TN","Category",13,"Category2","Technical Institutes")</f>
        <v>37213.522648303377</v>
      </c>
      <c r="E85" s="130">
        <f>IF(D85&gt;0,(RANK(D85,D$70:D$88)),0)</f>
        <v>5</v>
      </c>
      <c r="F85" s="129">
        <f>+GETPIVOTDATA(" Old All Ranks avg",'Averages Pivot Table'!$A$3,"State","TN","Category",14,"Category2","Technical Institutes")</f>
        <v>0</v>
      </c>
      <c r="G85" s="130">
        <f>IF(F85&gt;0,(RANK(F85,F$70:F$88)),0)</f>
        <v>0</v>
      </c>
      <c r="H85" s="149">
        <f>+GETPIVOTDATA(" Old All Ranks avg",'Averages Pivot Table'!$A$3,"State","TN","Category2","Technical Institutes")</f>
        <v>37213.522648303377</v>
      </c>
      <c r="I85" s="201">
        <f>IF(H85&gt;0,(RANK(H85,H$70:H$88)),0)</f>
        <v>6</v>
      </c>
      <c r="J85" s="126"/>
      <c r="Q85" s="241"/>
      <c r="S85" s="78"/>
    </row>
    <row r="86" spans="1:19" ht="12.95" customHeight="1">
      <c r="A86" s="12" t="s">
        <v>451</v>
      </c>
      <c r="B86" s="129">
        <f>+GETPIVOTDATA(" Old All Ranks avg",'Averages Pivot Table'!$A$3,"State","TX","Category",12,"Category2","Technical Institutes")</f>
        <v>0</v>
      </c>
      <c r="C86" s="130">
        <f>IF(B86&gt;0,(RANK(B86,B$70:B$88)),0)</f>
        <v>0</v>
      </c>
      <c r="D86" s="129">
        <f>+GETPIVOTDATA(" Old All Ranks avg",'Averages Pivot Table'!$A$3,"State","TX","Category",13,"Category2","Technical Institutes")</f>
        <v>0</v>
      </c>
      <c r="E86" s="130">
        <f>IF(D86&gt;0,(RANK(D86,D$70:D$88)),0)</f>
        <v>0</v>
      </c>
      <c r="F86" s="129">
        <f>+GETPIVOTDATA(" Old All Ranks avg",'Averages Pivot Table'!$A$3,"State","TX","Category",14,"Category2","Technical Institutes")</f>
        <v>0</v>
      </c>
      <c r="G86" s="130">
        <f>IF(F86&gt;0,(RANK(F86,F$70:F$88)),0)</f>
        <v>0</v>
      </c>
      <c r="H86" s="149">
        <f>+GETPIVOTDATA(" Old All Ranks avg",'Averages Pivot Table'!$A$3,"State","TX","Category2","Technical Institutes")</f>
        <v>0</v>
      </c>
      <c r="I86" s="201">
        <f>IF(H86&gt;0,(RANK(H86,H$70:H$88)),0)</f>
        <v>0</v>
      </c>
      <c r="J86" s="126"/>
      <c r="Q86" s="241"/>
      <c r="S86" s="78"/>
    </row>
    <row r="87" spans="1:19" ht="12.95" customHeight="1">
      <c r="A87" s="12" t="s">
        <v>452</v>
      </c>
      <c r="B87" s="129">
        <f>+GETPIVOTDATA(" Old All Ranks avg",'Averages Pivot Table'!$A$3,"State","VA","Category",12,"Category2","Technical Institutes")</f>
        <v>0</v>
      </c>
      <c r="C87" s="130">
        <f>IF(B87&gt;0,(RANK(B87,B$70:B$88)),0)</f>
        <v>0</v>
      </c>
      <c r="D87" s="129">
        <f>+GETPIVOTDATA(" Old All Ranks avg",'Averages Pivot Table'!$A$3,"State","VA","Category",13,"Category2","Technical Institutes")</f>
        <v>0</v>
      </c>
      <c r="E87" s="130">
        <f>IF(D87&gt;0,(RANK(D87,D$70:D$88)),0)</f>
        <v>0</v>
      </c>
      <c r="F87" s="129">
        <f>+GETPIVOTDATA(" Old All Ranks avg",'Averages Pivot Table'!$A$3,"State","VA","Category",14,"Category2","Technical Institutes")</f>
        <v>0</v>
      </c>
      <c r="G87" s="130">
        <f>IF(F87&gt;0,(RANK(F87,F$70:F$88)),0)</f>
        <v>0</v>
      </c>
      <c r="H87" s="149">
        <f>+GETPIVOTDATA(" Old All Ranks avg",'Averages Pivot Table'!$A$3,"State","VA","Category2","Technical Institutes")</f>
        <v>0</v>
      </c>
      <c r="I87" s="201">
        <f>IF(H87&gt;0,(RANK(H87,H$70:H$88)),0)</f>
        <v>0</v>
      </c>
      <c r="J87" s="126"/>
      <c r="Q87" s="241"/>
      <c r="S87" s="78"/>
    </row>
    <row r="88" spans="1:19" ht="12.95" customHeight="1">
      <c r="A88" s="11" t="s">
        <v>453</v>
      </c>
      <c r="B88" s="64">
        <f>+GETPIVOTDATA(" Old All Ranks avg",'Averages Pivot Table'!$A$3,"State","WV","Category",12,"Category2","Technical Institutes")</f>
        <v>0</v>
      </c>
      <c r="C88" s="65">
        <f>IF(B88&gt;0,(RANK(B88,B$70:B$88)),0)</f>
        <v>0</v>
      </c>
      <c r="D88" s="64">
        <f>+GETPIVOTDATA(" Old All Ranks avg",'Averages Pivot Table'!$A$3,"State","WV","Category",13,"Category2","Technical Institutes")</f>
        <v>0</v>
      </c>
      <c r="E88" s="65">
        <f>IF(D88&gt;0,(RANK(D88,D$70:D$88)),0)</f>
        <v>0</v>
      </c>
      <c r="F88" s="64">
        <f>+GETPIVOTDATA(" Old All Ranks avg",'Averages Pivot Table'!$A$3,"State","WV","Category",14,"Category2","Technical Institutes")</f>
        <v>0</v>
      </c>
      <c r="G88" s="65">
        <f>IF(F88&gt;0,(RANK(F88,F$70:F$88)),0)</f>
        <v>0</v>
      </c>
      <c r="H88" s="150">
        <f>+GETPIVOTDATA(" Old All Ranks avg",'Averages Pivot Table'!$A$3,"State","WV","Category2","Technical Institutes")</f>
        <v>0</v>
      </c>
      <c r="I88" s="202">
        <f>IF(H88&gt;0,(RANK(H88,H$70:H$88)),0)</f>
        <v>0</v>
      </c>
      <c r="J88" s="126"/>
      <c r="Q88" s="241"/>
      <c r="S88" s="78"/>
    </row>
    <row r="89" spans="1:19" ht="39" customHeight="1">
      <c r="A89" s="629" t="s">
        <v>324</v>
      </c>
      <c r="B89" s="632"/>
      <c r="C89" s="632"/>
      <c r="D89" s="632"/>
      <c r="E89" s="632"/>
      <c r="F89" s="632"/>
      <c r="G89" s="633"/>
      <c r="H89" s="633"/>
      <c r="I89" s="633"/>
      <c r="J89" s="126"/>
    </row>
    <row r="90" spans="1:19">
      <c r="I90" s="244" t="s">
        <v>1166</v>
      </c>
    </row>
    <row r="91" spans="1:19" ht="18">
      <c r="A91" s="618" t="s">
        <v>779</v>
      </c>
      <c r="B91" s="618"/>
      <c r="C91" s="618"/>
      <c r="D91" s="618"/>
      <c r="E91" s="618"/>
      <c r="F91" s="618"/>
      <c r="G91" s="618"/>
      <c r="H91" s="618"/>
      <c r="I91" s="618"/>
      <c r="J91" s="618"/>
      <c r="K91" s="618"/>
      <c r="L91" s="618"/>
      <c r="M91" s="618"/>
      <c r="N91" s="167"/>
      <c r="O91" s="166"/>
    </row>
    <row r="92" spans="1:19">
      <c r="A92" s="23"/>
      <c r="B92" s="5"/>
      <c r="C92" s="5"/>
      <c r="D92" s="5"/>
      <c r="E92" s="5"/>
      <c r="F92" s="5"/>
      <c r="G92" s="5"/>
      <c r="H92" s="5"/>
      <c r="I92" s="159"/>
      <c r="J92" s="5"/>
      <c r="K92" s="5"/>
      <c r="L92" s="5"/>
      <c r="M92" s="159"/>
      <c r="N92" s="5"/>
      <c r="O92" s="159"/>
    </row>
    <row r="93" spans="1:19">
      <c r="A93" s="619" t="s">
        <v>454</v>
      </c>
      <c r="B93" s="619"/>
      <c r="C93" s="619"/>
      <c r="D93" s="619"/>
      <c r="E93" s="619"/>
      <c r="F93" s="619"/>
      <c r="G93" s="619"/>
      <c r="H93" s="619"/>
      <c r="I93" s="619"/>
      <c r="J93" s="619"/>
      <c r="K93" s="619"/>
      <c r="L93" s="619"/>
      <c r="M93" s="619"/>
      <c r="N93" s="177"/>
      <c r="O93" s="211"/>
    </row>
    <row r="94" spans="1:19">
      <c r="A94" s="619" t="s">
        <v>756</v>
      </c>
      <c r="B94" s="619"/>
      <c r="C94" s="619"/>
      <c r="D94" s="619"/>
      <c r="E94" s="619"/>
      <c r="F94" s="619"/>
      <c r="G94" s="619"/>
      <c r="H94" s="619"/>
      <c r="I94" s="619"/>
      <c r="J94" s="619"/>
      <c r="K94" s="619"/>
      <c r="L94" s="619"/>
      <c r="M94" s="619"/>
      <c r="N94" s="177"/>
      <c r="O94" s="211"/>
    </row>
    <row r="95" spans="1:19">
      <c r="A95" s="12"/>
      <c r="B95" s="12"/>
      <c r="C95" s="12"/>
      <c r="D95" s="12"/>
      <c r="E95" s="12"/>
      <c r="F95" s="12"/>
      <c r="G95" s="12"/>
      <c r="H95" s="12"/>
      <c r="I95" s="215"/>
      <c r="J95" s="12"/>
      <c r="K95" s="12"/>
      <c r="L95" s="12"/>
      <c r="M95" s="215"/>
      <c r="N95" s="12"/>
      <c r="O95" s="215"/>
    </row>
    <row r="96" spans="1:19" ht="31.5" customHeight="1">
      <c r="A96" s="15"/>
      <c r="B96" s="21" t="s">
        <v>332</v>
      </c>
      <c r="C96" s="22"/>
      <c r="D96" s="141" t="s">
        <v>333</v>
      </c>
      <c r="E96" s="142"/>
      <c r="F96" s="141" t="s">
        <v>334</v>
      </c>
      <c r="G96" s="142"/>
      <c r="H96" s="21" t="s">
        <v>335</v>
      </c>
      <c r="I96" s="225"/>
      <c r="J96" s="141" t="s">
        <v>461</v>
      </c>
      <c r="K96" s="142"/>
      <c r="L96" s="22" t="s">
        <v>316</v>
      </c>
      <c r="M96" s="225"/>
      <c r="N96" s="63" t="s">
        <v>457</v>
      </c>
      <c r="O96" s="212"/>
    </row>
    <row r="97" spans="1:19">
      <c r="A97" s="16"/>
      <c r="B97" s="19" t="s">
        <v>336</v>
      </c>
      <c r="C97" s="18" t="s">
        <v>427</v>
      </c>
      <c r="D97" s="19" t="s">
        <v>336</v>
      </c>
      <c r="E97" s="18" t="s">
        <v>427</v>
      </c>
      <c r="F97" s="19" t="s">
        <v>336</v>
      </c>
      <c r="G97" s="18" t="s">
        <v>427</v>
      </c>
      <c r="H97" s="19" t="s">
        <v>336</v>
      </c>
      <c r="I97" s="226" t="s">
        <v>427</v>
      </c>
      <c r="J97" s="19" t="s">
        <v>336</v>
      </c>
      <c r="K97" s="18" t="s">
        <v>427</v>
      </c>
      <c r="L97" s="19" t="s">
        <v>336</v>
      </c>
      <c r="M97" s="226" t="s">
        <v>427</v>
      </c>
    </row>
    <row r="98" spans="1:19" s="156" customFormat="1" ht="18" customHeight="1">
      <c r="A98" s="168" t="s">
        <v>456</v>
      </c>
      <c r="B98" s="172">
        <f>+GETPIVOTDATA(" Old Prof avg",'Averages Pivot Table'!$A$3,"Category2","Four-Year")</f>
        <v>102686.2313987228</v>
      </c>
      <c r="C98" s="172"/>
      <c r="D98" s="172">
        <f>+GETPIVOTDATA(" Old Asc. avg",'Averages Pivot Table'!$A$3,"Category2","Four-Year")</f>
        <v>73705.508191769768</v>
      </c>
      <c r="E98" s="172"/>
      <c r="F98" s="172">
        <f>+GETPIVOTDATA(" Old Ast. avg",'Averages Pivot Table'!$A$3,"Category2","Four-Year")</f>
        <v>62023.818978570336</v>
      </c>
      <c r="G98" s="172"/>
      <c r="H98" s="172">
        <f>+GETPIVOTDATA(" Old Inst. avg",'Averages Pivot Table'!$A$3,"Category2","Four-Year")</f>
        <v>44173.296970433912</v>
      </c>
      <c r="I98" s="229"/>
      <c r="J98" s="172">
        <f>+GETPIVOTDATA(" Old Undesg. avg",'Averages Pivot Table'!$A$3,"Category2","Four-Year")</f>
        <v>49836.723308499582</v>
      </c>
      <c r="K98" s="172"/>
      <c r="L98" s="172">
        <f>+GETPIVOTDATA(" Old All Ranks avg",'Averages Pivot Table'!$A$3,"Category2","Four-Year")</f>
        <v>73458.825806119945</v>
      </c>
      <c r="M98" s="232"/>
      <c r="N98" s="172"/>
      <c r="O98" s="216"/>
      <c r="Q98" s="193"/>
      <c r="R98" s="193"/>
      <c r="S98" s="193"/>
    </row>
    <row r="99" spans="1:19" ht="12.95" customHeight="1">
      <c r="A99" s="12"/>
      <c r="B99" s="9"/>
      <c r="C99" s="17"/>
      <c r="D99" s="9"/>
      <c r="E99" s="17"/>
      <c r="F99" s="9"/>
      <c r="G99" s="17"/>
      <c r="H99" s="9"/>
      <c r="I99" s="233"/>
      <c r="J99" s="9"/>
      <c r="K99" s="17"/>
      <c r="L99" s="9"/>
      <c r="M99" s="233"/>
      <c r="N99" s="9"/>
      <c r="O99" s="217"/>
    </row>
    <row r="100" spans="1:19" ht="12.95" customHeight="1">
      <c r="A100" s="12" t="s">
        <v>439</v>
      </c>
      <c r="B100" s="10">
        <f>+GETPIVOTDATA(" Old Prof avg",'Averages Pivot Table'!$A$3,"State","AL","Category2","Four-Year")</f>
        <v>99641.217242563493</v>
      </c>
      <c r="C100" s="130">
        <f t="shared" ref="C100:C118" si="11">IF(B100&gt;0,(RANK(B100,B$100:B$118)),0)</f>
        <v>8</v>
      </c>
      <c r="D100" s="10">
        <f>+GETPIVOTDATA(" Old Asc. avg",'Averages Pivot Table'!$A$3,"State","AL","Category2","Four-Year")</f>
        <v>72720.743155680408</v>
      </c>
      <c r="E100" s="130">
        <f t="shared" ref="E100:E118" si="12">IF(D100&gt;0,(RANK(D100,D$100:D$118)),0)</f>
        <v>7</v>
      </c>
      <c r="F100" s="10">
        <f>+GETPIVOTDATA(" Old Ast. avg",'Averages Pivot Table'!$A$3,"State","AL","Category2","Four-Year")</f>
        <v>58534.230897084235</v>
      </c>
      <c r="G100" s="130">
        <f t="shared" ref="G100:G118" si="13">IF(F100&gt;0,(RANK(F100,F$100:F$118)),0)</f>
        <v>9</v>
      </c>
      <c r="H100" s="10">
        <f>+GETPIVOTDATA(" Old Inst. avg",'Averages Pivot Table'!$A$3,"State","AL","Category2","Four-Year")</f>
        <v>43804.09698118949</v>
      </c>
      <c r="I100" s="201">
        <f t="shared" ref="I100:I118" si="14">IF(H100&gt;0,(RANK(H100,H$100:H$118)),0)</f>
        <v>8</v>
      </c>
      <c r="J100" s="10">
        <f>+GETPIVOTDATA(" Old Undesg. avg",'Averages Pivot Table'!$A$3,"State","AL","Category2","Four-Year")</f>
        <v>45132.858746428574</v>
      </c>
      <c r="K100" s="130">
        <f t="shared" ref="K100:K118" si="15">IF(J100&gt;0,(RANK(J100,J$100:J$118)),0)</f>
        <v>10</v>
      </c>
      <c r="L100" s="10">
        <f>+GETPIVOTDATA(" Old All Ranks avg",'Averages Pivot Table'!$A$3,"State","AL","Category2","Four-Year")</f>
        <v>71754.306204442197</v>
      </c>
      <c r="M100" s="201">
        <f t="shared" ref="M100:M118" si="16">IF(L100&gt;0,(RANK(L100,L$100:L$118)),0)</f>
        <v>8</v>
      </c>
      <c r="N100" s="10"/>
      <c r="O100" s="218"/>
    </row>
    <row r="101" spans="1:19" ht="12.95" customHeight="1">
      <c r="A101" s="12" t="s">
        <v>440</v>
      </c>
      <c r="B101" s="10">
        <f>+GETPIVOTDATA(" Old Prof avg",'Averages Pivot Table'!$A$3,"State","AR","Category2","Four-Year")</f>
        <v>84106.527087542854</v>
      </c>
      <c r="C101" s="130">
        <f t="shared" si="11"/>
        <v>16</v>
      </c>
      <c r="D101" s="10">
        <f>+GETPIVOTDATA(" Old Asc. avg",'Averages Pivot Table'!$A$3,"State","AR","Category2","Four-Year")</f>
        <v>63488.049473849882</v>
      </c>
      <c r="E101" s="130">
        <f t="shared" si="12"/>
        <v>16</v>
      </c>
      <c r="F101" s="10">
        <f>+GETPIVOTDATA(" Old Ast. avg",'Averages Pivot Table'!$A$3,"State","AR","Category2","Four-Year")</f>
        <v>53979.609057453104</v>
      </c>
      <c r="G101" s="130">
        <f t="shared" si="13"/>
        <v>15</v>
      </c>
      <c r="H101" s="10">
        <f>+GETPIVOTDATA(" Old Inst. avg",'Averages Pivot Table'!$A$3,"State","AR","Category2","Four-Year")</f>
        <v>39951.702523099848</v>
      </c>
      <c r="I101" s="201">
        <f t="shared" si="14"/>
        <v>15</v>
      </c>
      <c r="J101" s="10">
        <f>+GETPIVOTDATA(" Old Undesg. avg",'Averages Pivot Table'!$A$3,"State","AR","Category2","Four-Year")</f>
        <v>37692.196947413795</v>
      </c>
      <c r="K101" s="130">
        <f t="shared" si="15"/>
        <v>14</v>
      </c>
      <c r="L101" s="10">
        <f>+GETPIVOTDATA(" Old All Ranks avg",'Averages Pivot Table'!$A$3,"State","AR","Category2","Four-Year")</f>
        <v>59792.055882499313</v>
      </c>
      <c r="M101" s="201">
        <f t="shared" si="16"/>
        <v>16</v>
      </c>
      <c r="N101" s="10"/>
      <c r="O101" s="218"/>
    </row>
    <row r="102" spans="1:19" ht="12.95" customHeight="1">
      <c r="A102" s="12" t="s">
        <v>455</v>
      </c>
      <c r="B102" s="10">
        <f>+GETPIVOTDATA(" Old Prof avg",'Averages Pivot Table'!$A$3,"State","DE","Category2","Four-Year")</f>
        <v>127690.77924339623</v>
      </c>
      <c r="C102" s="130">
        <f t="shared" si="11"/>
        <v>1</v>
      </c>
      <c r="D102" s="10">
        <f>+GETPIVOTDATA(" Old Asc. avg",'Averages Pivot Table'!$A$3,"State","DE","Category2","Four-Year")</f>
        <v>84905.642485308053</v>
      </c>
      <c r="E102" s="130">
        <f t="shared" si="12"/>
        <v>1</v>
      </c>
      <c r="F102" s="10">
        <f>+GETPIVOTDATA(" Old Ast. avg",'Averages Pivot Table'!$A$3,"State","DE","Category2","Four-Year")</f>
        <v>73025.887110086449</v>
      </c>
      <c r="G102" s="130">
        <f t="shared" si="13"/>
        <v>1</v>
      </c>
      <c r="H102" s="10">
        <f>+GETPIVOTDATA(" Old Inst. avg",'Averages Pivot Table'!$A$3,"State","DE","Category2","Four-Year")</f>
        <v>59724.837942592596</v>
      </c>
      <c r="I102" s="201">
        <f t="shared" si="14"/>
        <v>1</v>
      </c>
      <c r="J102" s="10">
        <f>+GETPIVOTDATA(" Old Undesg. avg",'Averages Pivot Table'!$A$3,"State","DE","Category2","Four-Year")</f>
        <v>38786</v>
      </c>
      <c r="K102" s="130">
        <f t="shared" si="15"/>
        <v>12</v>
      </c>
      <c r="L102" s="10">
        <f>+GETPIVOTDATA(" Old All Ranks avg",'Averages Pivot Table'!$A$3,"State","DE","Category2","Four-Year")</f>
        <v>93548.481453917047</v>
      </c>
      <c r="M102" s="201">
        <f t="shared" si="16"/>
        <v>1</v>
      </c>
      <c r="N102" s="10"/>
      <c r="O102" s="218"/>
    </row>
    <row r="103" spans="1:19" ht="12.95" customHeight="1">
      <c r="A103" s="12" t="s">
        <v>441</v>
      </c>
      <c r="B103" s="10">
        <f>+GETPIVOTDATA(" Old Prof avg",'Averages Pivot Table'!$A$3,"State","FL","Category2","Four-Year")</f>
        <v>106498.22720428936</v>
      </c>
      <c r="C103" s="130">
        <f t="shared" si="11"/>
        <v>6</v>
      </c>
      <c r="D103" s="10">
        <f>+GETPIVOTDATA(" Old Asc. avg",'Averages Pivot Table'!$A$3,"State","FL","Category2","Four-Year")</f>
        <v>74303.444425425536</v>
      </c>
      <c r="E103" s="130">
        <f t="shared" si="12"/>
        <v>6</v>
      </c>
      <c r="F103" s="10">
        <f>+GETPIVOTDATA(" Old Ast. avg",'Averages Pivot Table'!$A$3,"State","FL","Category2","Four-Year")</f>
        <v>64485.363385468285</v>
      </c>
      <c r="G103" s="130">
        <f t="shared" si="13"/>
        <v>6</v>
      </c>
      <c r="H103" s="10">
        <f>+GETPIVOTDATA(" Old Inst. avg",'Averages Pivot Table'!$A$3,"State","FL","Category2","Four-Year")</f>
        <v>47556.364741666664</v>
      </c>
      <c r="I103" s="201">
        <f t="shared" si="14"/>
        <v>5</v>
      </c>
      <c r="J103" s="10">
        <f>+GETPIVOTDATA(" Old Undesg. avg",'Averages Pivot Table'!$A$3,"State","FL","Category2","Four-Year")</f>
        <v>54148.199862851005</v>
      </c>
      <c r="K103" s="130">
        <f t="shared" si="15"/>
        <v>2</v>
      </c>
      <c r="L103" s="10">
        <f>+GETPIVOTDATA(" Old All Ranks avg",'Averages Pivot Table'!$A$3,"State","FL","Category2","Four-Year")</f>
        <v>76316.768813501709</v>
      </c>
      <c r="M103" s="201">
        <f t="shared" si="16"/>
        <v>5</v>
      </c>
      <c r="N103" s="10"/>
      <c r="O103" s="218"/>
    </row>
    <row r="104" spans="1:19" ht="12.95" customHeight="1">
      <c r="A104" s="12"/>
      <c r="B104" s="10"/>
      <c r="C104" s="130"/>
      <c r="D104" s="10"/>
      <c r="E104" s="130"/>
      <c r="F104" s="10"/>
      <c r="G104" s="130"/>
      <c r="H104" s="10"/>
      <c r="I104" s="201"/>
      <c r="J104" s="10"/>
      <c r="K104" s="130"/>
      <c r="L104" s="10"/>
      <c r="M104" s="201"/>
      <c r="N104" s="10"/>
      <c r="O104" s="218"/>
    </row>
    <row r="105" spans="1:19" ht="12.95" customHeight="1">
      <c r="A105" s="12" t="s">
        <v>442</v>
      </c>
      <c r="B105" s="10">
        <f>+GETPIVOTDATA(" Old Prof avg",'Averages Pivot Table'!$A$3,"State","GA","Category2","Four-Year")</f>
        <v>102274.0080089807</v>
      </c>
      <c r="C105" s="130">
        <f t="shared" si="11"/>
        <v>7</v>
      </c>
      <c r="D105" s="10">
        <f>+GETPIVOTDATA(" Old Asc. avg",'Averages Pivot Table'!$A$3,"State","GA","Category2","Four-Year")</f>
        <v>72435.153299857353</v>
      </c>
      <c r="E105" s="130">
        <f t="shared" si="12"/>
        <v>8</v>
      </c>
      <c r="F105" s="10">
        <f>+GETPIVOTDATA(" Old Ast. avg",'Averages Pivot Table'!$A$3,"State","GA","Category2","Four-Year")</f>
        <v>60836.626523173429</v>
      </c>
      <c r="G105" s="130">
        <f t="shared" si="13"/>
        <v>8</v>
      </c>
      <c r="H105" s="10">
        <f>+GETPIVOTDATA(" Old Inst. avg",'Averages Pivot Table'!$A$3,"State","GA","Category2","Four-Year")</f>
        <v>41927.760893439998</v>
      </c>
      <c r="I105" s="201">
        <f t="shared" si="14"/>
        <v>11</v>
      </c>
      <c r="J105" s="10">
        <f>+GETPIVOTDATA(" Old Undesg. avg",'Averages Pivot Table'!$A$3,"State","GA","Category2","Four-Year")</f>
        <v>49828.168300173311</v>
      </c>
      <c r="K105" s="130">
        <f t="shared" si="15"/>
        <v>6</v>
      </c>
      <c r="L105" s="10">
        <f>+GETPIVOTDATA(" Old All Ranks avg",'Averages Pivot Table'!$A$3,"State","GA","Category2","Four-Year")</f>
        <v>72787.952532273717</v>
      </c>
      <c r="M105" s="201">
        <f t="shared" si="16"/>
        <v>7</v>
      </c>
      <c r="N105" s="10"/>
      <c r="O105" s="218"/>
    </row>
    <row r="106" spans="1:19" ht="12.95" customHeight="1">
      <c r="A106" s="12" t="s">
        <v>443</v>
      </c>
      <c r="B106" s="10">
        <f>+GETPIVOTDATA(" Old Prof avg",'Averages Pivot Table'!$A$3,"State","KY","Category2","Four-Year")</f>
        <v>94058.351458385107</v>
      </c>
      <c r="C106" s="130">
        <f t="shared" si="11"/>
        <v>10</v>
      </c>
      <c r="D106" s="10">
        <f>+GETPIVOTDATA(" Old Asc. avg",'Averages Pivot Table'!$A$3,"State","KY","Category2","Four-Year")</f>
        <v>69684.16048414816</v>
      </c>
      <c r="E106" s="130">
        <f t="shared" si="12"/>
        <v>10</v>
      </c>
      <c r="F106" s="10">
        <f>+GETPIVOTDATA(" Old Ast. avg",'Averages Pivot Table'!$A$3,"State","KY","Category2","Four-Year")</f>
        <v>58276.829570738846</v>
      </c>
      <c r="G106" s="130">
        <f t="shared" si="13"/>
        <v>10</v>
      </c>
      <c r="H106" s="10">
        <f>+GETPIVOTDATA(" Old Inst. avg",'Averages Pivot Table'!$A$3,"State","KY","Category2","Four-Year")</f>
        <v>43567.223700000002</v>
      </c>
      <c r="I106" s="201">
        <f t="shared" si="14"/>
        <v>9</v>
      </c>
      <c r="J106" s="10">
        <f>+GETPIVOTDATA(" Old Undesg. avg",'Averages Pivot Table'!$A$3,"State","KY","Category2","Four-Year")</f>
        <v>46941.913049912742</v>
      </c>
      <c r="K106" s="130">
        <f t="shared" si="15"/>
        <v>8</v>
      </c>
      <c r="L106" s="10">
        <f>+GETPIVOTDATA(" Old All Ranks avg",'Averages Pivot Table'!$A$3,"State","KY","Category2","Four-Year")</f>
        <v>68260.838038756556</v>
      </c>
      <c r="M106" s="201">
        <f t="shared" si="16"/>
        <v>10</v>
      </c>
      <c r="N106" s="10"/>
      <c r="O106" s="218"/>
    </row>
    <row r="107" spans="1:19" ht="12.95" customHeight="1">
      <c r="A107" s="12" t="s">
        <v>444</v>
      </c>
      <c r="B107" s="10">
        <f>+GETPIVOTDATA(" Old Prof avg",'Averages Pivot Table'!$A$3,"State","LA","Category2","Four-Year")</f>
        <v>91676.451248076919</v>
      </c>
      <c r="C107" s="130">
        <f t="shared" si="11"/>
        <v>12</v>
      </c>
      <c r="D107" s="10">
        <f>+GETPIVOTDATA(" Old Asc. avg",'Averages Pivot Table'!$A$3,"State","LA","Category2","Four-Year")</f>
        <v>68777.562699664995</v>
      </c>
      <c r="E107" s="130">
        <f t="shared" si="12"/>
        <v>11</v>
      </c>
      <c r="F107" s="10">
        <f>+GETPIVOTDATA(" Old Ast. avg",'Averages Pivot Table'!$A$3,"State","LA","Category2","Four-Year")</f>
        <v>58139.87442454655</v>
      </c>
      <c r="G107" s="130">
        <f t="shared" si="13"/>
        <v>11</v>
      </c>
      <c r="H107" s="10">
        <f>+GETPIVOTDATA(" Old Inst. avg",'Averages Pivot Table'!$A$3,"State","LA","Category2","Four-Year")</f>
        <v>42529.406797375334</v>
      </c>
      <c r="I107" s="201">
        <f t="shared" si="14"/>
        <v>10</v>
      </c>
      <c r="J107" s="10">
        <f>+GETPIVOTDATA(" Old Undesg. avg",'Averages Pivot Table'!$A$3,"State","LA","Category2","Four-Year")</f>
        <v>52161.128852631577</v>
      </c>
      <c r="K107" s="130">
        <f t="shared" si="15"/>
        <v>3</v>
      </c>
      <c r="L107" s="10">
        <f>+GETPIVOTDATA(" Old All Ranks avg",'Averages Pivot Table'!$A$3,"State","LA","Category2","Four-Year")</f>
        <v>65474.383098579077</v>
      </c>
      <c r="M107" s="201">
        <f t="shared" si="16"/>
        <v>13</v>
      </c>
      <c r="N107" s="10"/>
      <c r="O107" s="218"/>
    </row>
    <row r="108" spans="1:19" ht="12.95" customHeight="1">
      <c r="A108" s="12" t="s">
        <v>445</v>
      </c>
      <c r="B108" s="10">
        <f>+GETPIVOTDATA(" Old Prof avg",'Averages Pivot Table'!$A$3,"State","MD","Category2","Four-Year")</f>
        <v>114903.87663006273</v>
      </c>
      <c r="C108" s="130">
        <f t="shared" si="11"/>
        <v>2</v>
      </c>
      <c r="D108" s="10">
        <f>+GETPIVOTDATA(" Old Asc. avg",'Averages Pivot Table'!$A$3,"State","MD","Category2","Four-Year")</f>
        <v>81861.616236754213</v>
      </c>
      <c r="E108" s="130">
        <f t="shared" si="12"/>
        <v>2</v>
      </c>
      <c r="F108" s="10">
        <f>+GETPIVOTDATA(" Old Ast. avg",'Averages Pivot Table'!$A$3,"State","MD","Category2","Four-Year")</f>
        <v>68004.721256122037</v>
      </c>
      <c r="G108" s="130">
        <f t="shared" si="13"/>
        <v>2</v>
      </c>
      <c r="H108" s="10">
        <f>+GETPIVOTDATA(" Old Inst. avg",'Averages Pivot Table'!$A$3,"State","MD","Category2","Four-Year")</f>
        <v>53947.832794660695</v>
      </c>
      <c r="I108" s="201">
        <f t="shared" si="14"/>
        <v>3</v>
      </c>
      <c r="J108" s="10">
        <f>+GETPIVOTDATA(" Old Undesg. avg",'Averages Pivot Table'!$A$3,"State","MD","Category2","Four-Year")</f>
        <v>49031.090688201257</v>
      </c>
      <c r="K108" s="130">
        <f t="shared" si="15"/>
        <v>7</v>
      </c>
      <c r="L108" s="10">
        <f>+GETPIVOTDATA(" Old All Ranks avg",'Averages Pivot Table'!$A$3,"State","MD","Category2","Four-Year")</f>
        <v>81158.682618265375</v>
      </c>
      <c r="M108" s="201">
        <f t="shared" si="16"/>
        <v>2</v>
      </c>
      <c r="N108" s="10"/>
      <c r="O108" s="218"/>
    </row>
    <row r="109" spans="1:19" ht="12.95" customHeight="1">
      <c r="A109" s="12"/>
      <c r="B109" s="10"/>
      <c r="C109" s="130"/>
      <c r="D109" s="10"/>
      <c r="E109" s="130"/>
      <c r="F109" s="10"/>
      <c r="G109" s="130"/>
      <c r="H109" s="10"/>
      <c r="I109" s="201"/>
      <c r="J109" s="10"/>
      <c r="K109" s="130"/>
      <c r="L109" s="10"/>
      <c r="M109" s="201"/>
      <c r="N109" s="10"/>
      <c r="O109" s="218"/>
    </row>
    <row r="110" spans="1:19" ht="12.95" customHeight="1">
      <c r="A110" s="12" t="s">
        <v>446</v>
      </c>
      <c r="B110" s="10">
        <f>+GETPIVOTDATA(" Old Prof avg",'Averages Pivot Table'!$A$3,"State","MS","Category2","Four-Year")</f>
        <v>87872.32668994565</v>
      </c>
      <c r="C110" s="130">
        <f t="shared" si="11"/>
        <v>14</v>
      </c>
      <c r="D110" s="10">
        <f>+GETPIVOTDATA(" Old Asc. avg",'Averages Pivot Table'!$A$3,"State","MS","Category2","Four-Year")</f>
        <v>67184.379283703704</v>
      </c>
      <c r="E110" s="130">
        <f t="shared" si="12"/>
        <v>13</v>
      </c>
      <c r="F110" s="10">
        <f>+GETPIVOTDATA(" Old Ast. avg",'Averages Pivot Table'!$A$3,"State","MS","Category2","Four-Year")</f>
        <v>56703.512490579087</v>
      </c>
      <c r="G110" s="130">
        <f t="shared" si="13"/>
        <v>13</v>
      </c>
      <c r="H110" s="10">
        <f>+GETPIVOTDATA(" Old Inst. avg",'Averages Pivot Table'!$A$3,"State","MS","Category2","Four-Year")</f>
        <v>41673.343213953485</v>
      </c>
      <c r="I110" s="201">
        <f t="shared" si="14"/>
        <v>12</v>
      </c>
      <c r="J110" s="10">
        <f>+GETPIVOTDATA(" Old Undesg. avg",'Averages Pivot Table'!$A$3,"State","MS","Category2","Four-Year")</f>
        <v>31054.976061971833</v>
      </c>
      <c r="K110" s="130">
        <f t="shared" si="15"/>
        <v>15</v>
      </c>
      <c r="L110" s="10">
        <f>+GETPIVOTDATA(" Old All Ranks avg",'Averages Pivot Table'!$A$3,"State","MS","Category2","Four-Year")</f>
        <v>62528.093971512135</v>
      </c>
      <c r="M110" s="201">
        <f t="shared" si="16"/>
        <v>15</v>
      </c>
      <c r="N110" s="10"/>
      <c r="O110" s="218"/>
    </row>
    <row r="111" spans="1:19" ht="12.95" customHeight="1">
      <c r="A111" s="12" t="s">
        <v>447</v>
      </c>
      <c r="B111" s="10">
        <f>+GETPIVOTDATA(" Old Prof avg",'Averages Pivot Table'!$A$3,"State","NC","Category2","Four-Year")</f>
        <v>110977.8663939695</v>
      </c>
      <c r="C111" s="130">
        <f t="shared" si="11"/>
        <v>3</v>
      </c>
      <c r="D111" s="10">
        <f>+GETPIVOTDATA(" Old Asc. avg",'Averages Pivot Table'!$A$3,"State","NC","Category2","Four-Year")</f>
        <v>79272.397933668341</v>
      </c>
      <c r="E111" s="130">
        <f t="shared" si="12"/>
        <v>3</v>
      </c>
      <c r="F111" s="10">
        <f>+GETPIVOTDATA(" Old Ast. avg",'Averages Pivot Table'!$A$3,"State","NC","Category2","Four-Year")</f>
        <v>66985.211817031071</v>
      </c>
      <c r="G111" s="130">
        <f t="shared" si="13"/>
        <v>3</v>
      </c>
      <c r="H111" s="10">
        <f>+GETPIVOTDATA(" Old Inst. avg",'Averages Pivot Table'!$A$3,"State","NC","Category2","Four-Year")</f>
        <v>58952.187439790578</v>
      </c>
      <c r="I111" s="201">
        <f t="shared" si="14"/>
        <v>2</v>
      </c>
      <c r="J111" s="10">
        <f>+GETPIVOTDATA(" Old Undesg. avg",'Averages Pivot Table'!$A$3,"State","NC","Category2","Four-Year")</f>
        <v>54436.697349583948</v>
      </c>
      <c r="K111" s="130">
        <f t="shared" si="15"/>
        <v>1</v>
      </c>
      <c r="L111" s="10">
        <f>+GETPIVOTDATA(" Old All Ranks avg",'Averages Pivot Table'!$A$3,"State","NC","Category2","Four-Year")</f>
        <v>79533.217853819646</v>
      </c>
      <c r="M111" s="201">
        <f t="shared" si="16"/>
        <v>4</v>
      </c>
      <c r="N111" s="10"/>
      <c r="O111" s="218"/>
    </row>
    <row r="112" spans="1:19" ht="12.95" customHeight="1">
      <c r="A112" s="12" t="s">
        <v>448</v>
      </c>
      <c r="B112" s="10">
        <f>+GETPIVOTDATA(" Old Prof avg",'Averages Pivot Table'!$A$3,"State","OK","Category2","Four-Year")</f>
        <v>92940.646662867017</v>
      </c>
      <c r="C112" s="130">
        <f t="shared" si="11"/>
        <v>11</v>
      </c>
      <c r="D112" s="10">
        <f>+GETPIVOTDATA(" Old Asc. avg",'Averages Pivot Table'!$A$3,"State","OK","Category2","Four-Year")</f>
        <v>66916.056176180253</v>
      </c>
      <c r="E112" s="130">
        <f t="shared" si="12"/>
        <v>14</v>
      </c>
      <c r="F112" s="10">
        <f>+GETPIVOTDATA(" Old Ast. avg",'Averages Pivot Table'!$A$3,"State","OK","Category2","Four-Year")</f>
        <v>56855.334875785586</v>
      </c>
      <c r="G112" s="130">
        <f t="shared" si="13"/>
        <v>12</v>
      </c>
      <c r="H112" s="10">
        <f>+GETPIVOTDATA(" Old Inst. avg",'Averages Pivot Table'!$A$3,"State","OK","Category2","Four-Year")</f>
        <v>40433.644271076526</v>
      </c>
      <c r="I112" s="201">
        <f t="shared" si="14"/>
        <v>14</v>
      </c>
      <c r="J112" s="10">
        <f>+GETPIVOTDATA(" Old Undesg. avg",'Averages Pivot Table'!$A$3,"State","OK","Category2","Four-Year")</f>
        <v>0</v>
      </c>
      <c r="K112" s="130">
        <f t="shared" si="15"/>
        <v>0</v>
      </c>
      <c r="L112" s="10">
        <f>+GETPIVOTDATA(" Old All Ranks avg",'Averages Pivot Table'!$A$3,"State","OK","Category2","Four-Year")</f>
        <v>66620.046984630986</v>
      </c>
      <c r="M112" s="201">
        <f t="shared" si="16"/>
        <v>12</v>
      </c>
      <c r="N112" s="10"/>
      <c r="O112" s="218"/>
    </row>
    <row r="113" spans="1:19" ht="12.95" customHeight="1">
      <c r="A113" s="12" t="s">
        <v>449</v>
      </c>
      <c r="B113" s="10">
        <f>+GETPIVOTDATA(" Old Prof avg",'Averages Pivot Table'!$A$3,"State","SC","Category2","Four-Year")</f>
        <v>95298.720725971725</v>
      </c>
      <c r="C113" s="130">
        <f t="shared" si="11"/>
        <v>9</v>
      </c>
      <c r="D113" s="10">
        <f>+GETPIVOTDATA(" Old Asc. avg",'Averages Pivot Table'!$A$3,"State","SC","Category2","Four-Year")</f>
        <v>70363.69988496622</v>
      </c>
      <c r="E113" s="130">
        <f t="shared" si="12"/>
        <v>9</v>
      </c>
      <c r="F113" s="10">
        <f>+GETPIVOTDATA(" Old Ast. avg",'Averages Pivot Table'!$A$3,"State","SC","Category2","Four-Year")</f>
        <v>61739.020448600881</v>
      </c>
      <c r="G113" s="130">
        <f t="shared" si="13"/>
        <v>7</v>
      </c>
      <c r="H113" s="10">
        <f>+GETPIVOTDATA(" Old Inst. avg",'Averages Pivot Table'!$A$3,"State","SC","Category2","Four-Year")</f>
        <v>44746.145194859811</v>
      </c>
      <c r="I113" s="201">
        <f t="shared" si="14"/>
        <v>6</v>
      </c>
      <c r="J113" s="10">
        <f>+GETPIVOTDATA(" Old Undesg. avg",'Averages Pivot Table'!$A$3,"State","SC","Category2","Four-Year")</f>
        <v>45096.377405904059</v>
      </c>
      <c r="K113" s="130">
        <f t="shared" si="15"/>
        <v>11</v>
      </c>
      <c r="L113" s="10">
        <f>+GETPIVOTDATA(" Old All Ranks avg",'Averages Pivot Table'!$A$3,"State","SC","Category2","Four-Year")</f>
        <v>70066.963346718505</v>
      </c>
      <c r="M113" s="201">
        <f t="shared" si="16"/>
        <v>9</v>
      </c>
      <c r="N113" s="10"/>
      <c r="O113" s="218"/>
    </row>
    <row r="114" spans="1:19" ht="12.95" customHeight="1">
      <c r="A114" s="12"/>
      <c r="B114" s="10"/>
      <c r="C114" s="130"/>
      <c r="D114" s="10"/>
      <c r="E114" s="130"/>
      <c r="F114" s="10"/>
      <c r="G114" s="130"/>
      <c r="H114" s="10"/>
      <c r="I114" s="201"/>
      <c r="J114" s="10"/>
      <c r="K114" s="130"/>
      <c r="L114" s="10"/>
      <c r="M114" s="201"/>
      <c r="N114" s="10"/>
      <c r="O114" s="218"/>
    </row>
    <row r="115" spans="1:19" ht="12.95" customHeight="1">
      <c r="A115" s="12" t="s">
        <v>450</v>
      </c>
      <c r="B115" s="140">
        <f>+GETPIVOTDATA(" Old Prof avg",'Averages Pivot Table'!$A$3,"State","TN","Category2","Four-Year")</f>
        <v>89551.949207799451</v>
      </c>
      <c r="C115" s="130">
        <f t="shared" si="11"/>
        <v>13</v>
      </c>
      <c r="D115" s="140">
        <f>+GETPIVOTDATA(" Old Asc. avg",'Averages Pivot Table'!$A$3,"State","TN","Category2","Four-Year")</f>
        <v>67670.380488033596</v>
      </c>
      <c r="E115" s="130">
        <f t="shared" si="12"/>
        <v>12</v>
      </c>
      <c r="F115" s="140">
        <f>+GETPIVOTDATA(" Old Ast. avg",'Averages Pivot Table'!$A$3,"State","TN","Category2","Four-Year")</f>
        <v>55535.193088815358</v>
      </c>
      <c r="G115" s="130">
        <f t="shared" si="13"/>
        <v>14</v>
      </c>
      <c r="H115" s="140">
        <f>+GETPIVOTDATA(" Old Inst. avg",'Averages Pivot Table'!$A$3,"State","TN","Category2","Four-Year")</f>
        <v>40759.590661951217</v>
      </c>
      <c r="I115" s="201">
        <f t="shared" si="14"/>
        <v>13</v>
      </c>
      <c r="J115" s="140">
        <f>+GETPIVOTDATA(" Old Undesg. avg",'Averages Pivot Table'!$A$3,"State","TN","Category2","Four-Year")</f>
        <v>38074.641007142855</v>
      </c>
      <c r="K115" s="130">
        <f t="shared" si="15"/>
        <v>13</v>
      </c>
      <c r="L115" s="140">
        <f>+GETPIVOTDATA(" Old All Ranks avg",'Averages Pivot Table'!$A$3,"State","TN","Category2","Four-Year")</f>
        <v>67217.103449595699</v>
      </c>
      <c r="M115" s="201">
        <f t="shared" si="16"/>
        <v>11</v>
      </c>
      <c r="N115" s="10"/>
      <c r="O115" s="218"/>
    </row>
    <row r="116" spans="1:19" ht="12.95" customHeight="1">
      <c r="A116" s="12" t="s">
        <v>451</v>
      </c>
      <c r="B116" s="140">
        <f>+GETPIVOTDATA(" Old Prof avg",'Averages Pivot Table'!$A$3,"State","TX","Category2","Four-Year")</f>
        <v>109112.85358532802</v>
      </c>
      <c r="C116" s="130">
        <f t="shared" si="11"/>
        <v>5</v>
      </c>
      <c r="D116" s="140">
        <f>+GETPIVOTDATA(" Old Asc. avg",'Averages Pivot Table'!$A$3,"State","TX","Category2","Four-Year")</f>
        <v>76143.892203863434</v>
      </c>
      <c r="E116" s="130">
        <f t="shared" si="12"/>
        <v>5</v>
      </c>
      <c r="F116" s="140">
        <f>+GETPIVOTDATA(" Old Ast. avg",'Averages Pivot Table'!$A$3,"State","TX","Category2","Four-Year")</f>
        <v>66361.602965525715</v>
      </c>
      <c r="G116" s="130">
        <f t="shared" si="13"/>
        <v>4</v>
      </c>
      <c r="H116" s="140">
        <f>+GETPIVOTDATA(" Old Inst. avg",'Averages Pivot Table'!$A$3,"State","TX","Category2","Four-Year")</f>
        <v>44733.000139750002</v>
      </c>
      <c r="I116" s="201">
        <f t="shared" si="14"/>
        <v>7</v>
      </c>
      <c r="J116" s="140">
        <f>+GETPIVOTDATA(" Old Undesg. avg",'Averages Pivot Table'!$A$3,"State","TX","Category2","Four-Year")</f>
        <v>50114.917028841744</v>
      </c>
      <c r="K116" s="130">
        <f t="shared" si="15"/>
        <v>5</v>
      </c>
      <c r="L116" s="140">
        <f>+GETPIVOTDATA(" Old All Ranks avg",'Averages Pivot Table'!$A$3,"State","TX","Category2","Four-Year")</f>
        <v>76261.234018070681</v>
      </c>
      <c r="M116" s="201">
        <f t="shared" si="16"/>
        <v>6</v>
      </c>
      <c r="N116" s="10"/>
      <c r="O116" s="218"/>
    </row>
    <row r="117" spans="1:19" ht="12.95" customHeight="1">
      <c r="A117" s="12" t="s">
        <v>452</v>
      </c>
      <c r="B117" s="140">
        <f>+GETPIVOTDATA(" Old Prof avg",'Averages Pivot Table'!$A$3,"State","VA","Category2","Four-Year")</f>
        <v>110961.64908872974</v>
      </c>
      <c r="C117" s="130">
        <f t="shared" si="11"/>
        <v>4</v>
      </c>
      <c r="D117" s="140">
        <f>+GETPIVOTDATA(" Old Asc. avg",'Averages Pivot Table'!$A$3,"State","VA","Category2","Four-Year")</f>
        <v>78087.085054355688</v>
      </c>
      <c r="E117" s="130">
        <f t="shared" si="12"/>
        <v>4</v>
      </c>
      <c r="F117" s="140">
        <f>+GETPIVOTDATA(" Old Ast. avg",'Averages Pivot Table'!$A$3,"State","VA","Category2","Four-Year")</f>
        <v>64591.00046001649</v>
      </c>
      <c r="G117" s="130">
        <f t="shared" si="13"/>
        <v>5</v>
      </c>
      <c r="H117" s="140">
        <f>+GETPIVOTDATA(" Old Inst. avg",'Averages Pivot Table'!$A$3,"State","VA","Category2","Four-Year")</f>
        <v>48355.272898424242</v>
      </c>
      <c r="I117" s="201">
        <f t="shared" si="14"/>
        <v>4</v>
      </c>
      <c r="J117" s="140">
        <f>+GETPIVOTDATA(" Old Undesg. avg",'Averages Pivot Table'!$A$3,"State","VA","Category2","Four-Year")</f>
        <v>50863.538230388695</v>
      </c>
      <c r="K117" s="130">
        <f t="shared" si="15"/>
        <v>4</v>
      </c>
      <c r="L117" s="140">
        <f>+GETPIVOTDATA(" Old All Ranks avg",'Averages Pivot Table'!$A$3,"State","VA","Category2","Four-Year")</f>
        <v>80650.084406453097</v>
      </c>
      <c r="M117" s="201">
        <f t="shared" si="16"/>
        <v>3</v>
      </c>
      <c r="N117" s="10"/>
      <c r="O117" s="218"/>
    </row>
    <row r="118" spans="1:19" ht="12.95" customHeight="1">
      <c r="A118" s="11" t="s">
        <v>453</v>
      </c>
      <c r="B118" s="66">
        <f>+GETPIVOTDATA(" Old Prof avg",'Averages Pivot Table'!$A$3,"State","WV","Category2","Four-Year")</f>
        <v>84810.070395942035</v>
      </c>
      <c r="C118" s="65">
        <f t="shared" si="11"/>
        <v>15</v>
      </c>
      <c r="D118" s="66">
        <f>+GETPIVOTDATA(" Old Asc. avg",'Averages Pivot Table'!$A$3,"State","WV","Category2","Four-Year")</f>
        <v>65054.922291062394</v>
      </c>
      <c r="E118" s="65">
        <f t="shared" si="12"/>
        <v>15</v>
      </c>
      <c r="F118" s="66">
        <f>+GETPIVOTDATA(" Old Ast. avg",'Averages Pivot Table'!$A$3,"State","WV","Category2","Four-Year")</f>
        <v>53926.174088144326</v>
      </c>
      <c r="G118" s="65">
        <f t="shared" si="13"/>
        <v>16</v>
      </c>
      <c r="H118" s="66">
        <f>+GETPIVOTDATA(" Old Inst. avg",'Averages Pivot Table'!$A$3,"State","WV","Category2","Four-Year")</f>
        <v>39571.521993063587</v>
      </c>
      <c r="I118" s="202">
        <f t="shared" si="14"/>
        <v>16</v>
      </c>
      <c r="J118" s="66">
        <f>+GETPIVOTDATA(" Old Undesg. avg",'Averages Pivot Table'!$A$3,"State","WV","Category2","Four-Year")</f>
        <v>45840.403078260875</v>
      </c>
      <c r="K118" s="65">
        <f t="shared" si="15"/>
        <v>9</v>
      </c>
      <c r="L118" s="66">
        <f>+GETPIVOTDATA(" Old All Ranks avg",'Averages Pivot Table'!$A$3,"State","WV","Category2","Four-Year")</f>
        <v>64924.3900046532</v>
      </c>
      <c r="M118" s="202">
        <f t="shared" si="16"/>
        <v>14</v>
      </c>
      <c r="N118" s="10"/>
      <c r="O118" s="213"/>
    </row>
    <row r="119" spans="1:19" ht="30" customHeight="1">
      <c r="A119" s="629" t="s">
        <v>323</v>
      </c>
      <c r="B119" s="633"/>
      <c r="C119" s="633"/>
      <c r="D119" s="633"/>
      <c r="E119" s="633"/>
      <c r="F119" s="633"/>
      <c r="G119" s="633"/>
      <c r="H119" s="633"/>
      <c r="I119" s="633"/>
      <c r="J119" s="633"/>
      <c r="K119" s="633"/>
      <c r="L119" s="633"/>
      <c r="M119" s="633"/>
      <c r="N119" s="12"/>
      <c r="O119" s="215"/>
    </row>
    <row r="120" spans="1:19">
      <c r="M120" s="244" t="s">
        <v>1166</v>
      </c>
      <c r="O120" s="214"/>
    </row>
    <row r="121" spans="1:19" ht="18">
      <c r="A121" s="618" t="s">
        <v>780</v>
      </c>
      <c r="B121" s="618"/>
      <c r="C121" s="618"/>
      <c r="D121" s="618"/>
      <c r="E121" s="618"/>
      <c r="F121" s="618"/>
      <c r="G121" s="618"/>
      <c r="H121" s="618"/>
      <c r="I121" s="618"/>
      <c r="J121" s="618"/>
      <c r="K121" s="618"/>
      <c r="L121" s="618"/>
      <c r="M121" s="618"/>
      <c r="N121" s="167"/>
      <c r="O121" s="166"/>
    </row>
    <row r="122" spans="1:19">
      <c r="A122" s="23"/>
      <c r="B122" s="5"/>
      <c r="C122" s="5"/>
      <c r="D122" s="5"/>
      <c r="E122" s="5"/>
      <c r="F122" s="5"/>
      <c r="G122" s="5"/>
      <c r="H122" s="5"/>
      <c r="I122" s="159"/>
      <c r="J122" s="5"/>
      <c r="K122" s="5"/>
      <c r="L122" s="5"/>
      <c r="M122" s="159"/>
      <c r="N122" s="5"/>
      <c r="O122" s="159"/>
    </row>
    <row r="123" spans="1:19">
      <c r="A123" s="619" t="s">
        <v>454</v>
      </c>
      <c r="B123" s="619"/>
      <c r="C123" s="619"/>
      <c r="D123" s="619"/>
      <c r="E123" s="619"/>
      <c r="F123" s="619"/>
      <c r="G123" s="619"/>
      <c r="H123" s="619"/>
      <c r="I123" s="619"/>
      <c r="J123" s="619"/>
      <c r="K123" s="619"/>
      <c r="L123" s="619"/>
      <c r="M123" s="619"/>
      <c r="N123" s="177"/>
      <c r="O123" s="211"/>
    </row>
    <row r="124" spans="1:19">
      <c r="A124" s="619" t="s">
        <v>759</v>
      </c>
      <c r="B124" s="619"/>
      <c r="C124" s="619"/>
      <c r="D124" s="619"/>
      <c r="E124" s="619"/>
      <c r="F124" s="619"/>
      <c r="G124" s="619"/>
      <c r="H124" s="619"/>
      <c r="I124" s="619"/>
      <c r="J124" s="619"/>
      <c r="K124" s="619"/>
      <c r="L124" s="619"/>
      <c r="M124" s="619"/>
      <c r="N124" s="177"/>
      <c r="O124" s="211"/>
    </row>
    <row r="125" spans="1:19">
      <c r="A125" s="12"/>
      <c r="B125" s="12"/>
      <c r="C125" s="12"/>
      <c r="D125" s="12"/>
      <c r="E125" s="12"/>
      <c r="F125" s="12"/>
      <c r="G125" s="12"/>
      <c r="H125" s="12"/>
      <c r="I125" s="215"/>
      <c r="J125" s="12"/>
      <c r="K125" s="12"/>
      <c r="L125" s="12"/>
      <c r="M125" s="215"/>
      <c r="N125" s="12"/>
      <c r="O125" s="215"/>
    </row>
    <row r="126" spans="1:19" ht="31.5" customHeight="1">
      <c r="A126" s="15"/>
      <c r="B126" s="21" t="s">
        <v>332</v>
      </c>
      <c r="C126" s="22"/>
      <c r="D126" s="141" t="s">
        <v>333</v>
      </c>
      <c r="E126" s="142"/>
      <c r="F126" s="141" t="s">
        <v>334</v>
      </c>
      <c r="G126" s="142"/>
      <c r="H126" s="21" t="s">
        <v>335</v>
      </c>
      <c r="I126" s="225"/>
      <c r="J126" s="141" t="s">
        <v>461</v>
      </c>
      <c r="K126" s="142"/>
      <c r="L126" s="22" t="s">
        <v>316</v>
      </c>
      <c r="M126" s="225"/>
      <c r="N126" s="63" t="s">
        <v>457</v>
      </c>
      <c r="O126" s="212"/>
    </row>
    <row r="127" spans="1:19">
      <c r="A127" s="16"/>
      <c r="B127" s="19" t="s">
        <v>336</v>
      </c>
      <c r="C127" s="18" t="s">
        <v>427</v>
      </c>
      <c r="D127" s="19" t="s">
        <v>336</v>
      </c>
      <c r="E127" s="18" t="s">
        <v>427</v>
      </c>
      <c r="F127" s="19" t="s">
        <v>336</v>
      </c>
      <c r="G127" s="18" t="s">
        <v>427</v>
      </c>
      <c r="H127" s="19" t="s">
        <v>336</v>
      </c>
      <c r="I127" s="226" t="s">
        <v>427</v>
      </c>
      <c r="J127" s="19" t="s">
        <v>336</v>
      </c>
      <c r="K127" s="18" t="s">
        <v>427</v>
      </c>
      <c r="L127" s="19" t="s">
        <v>336</v>
      </c>
      <c r="M127" s="226" t="s">
        <v>427</v>
      </c>
    </row>
    <row r="128" spans="1:19" s="156" customFormat="1" ht="18" customHeight="1">
      <c r="A128" s="168" t="s">
        <v>456</v>
      </c>
      <c r="B128" s="172">
        <f>+GETPIVOTDATA(" Old Prof avg",'Averages Pivot Table'!$A$3,"Category",1,"Category2","Four-Year")</f>
        <v>115409.27465911765</v>
      </c>
      <c r="C128" s="172"/>
      <c r="D128" s="172">
        <f>+GETPIVOTDATA(" Old Asc. avg",'Averages Pivot Table'!$A$3,"Category",1,"Category2","Four-Year")</f>
        <v>79485.373303937406</v>
      </c>
      <c r="E128" s="172"/>
      <c r="F128" s="172">
        <f>+GETPIVOTDATA(" Old Ast. avg",'Averages Pivot Table'!$A$3,"Category",1,"Category2","Four-Year")</f>
        <v>68490.39231876297</v>
      </c>
      <c r="G128" s="172"/>
      <c r="H128" s="172">
        <f>+GETPIVOTDATA(" Old Inst. avg",'Averages Pivot Table'!$A$3,"Category",1,"Category2","Four-Year")</f>
        <v>45440.397388325277</v>
      </c>
      <c r="I128" s="229"/>
      <c r="J128" s="172">
        <f>+GETPIVOTDATA(" Old Undesg. avg",'Averages Pivot Table'!$A$3,"Category",1,"Category2","Four-Year")</f>
        <v>53402.96867845676</v>
      </c>
      <c r="K128" s="172"/>
      <c r="L128" s="172">
        <f>+GETPIVOTDATA(" Old All Ranks avg",'Averages Pivot Table'!$A$3,"Category",1,"Category2","Four-Year")</f>
        <v>84009.036482834694</v>
      </c>
      <c r="M128" s="232"/>
      <c r="N128" s="172"/>
      <c r="O128" s="216"/>
      <c r="Q128" s="193"/>
      <c r="R128" s="193"/>
      <c r="S128" s="193"/>
    </row>
    <row r="129" spans="1:15" ht="12.95" customHeight="1">
      <c r="A129" s="12"/>
      <c r="B129" s="9"/>
      <c r="C129" s="17"/>
      <c r="D129" s="9"/>
      <c r="E129" s="17"/>
      <c r="F129" s="9"/>
      <c r="G129" s="17"/>
      <c r="H129" s="9"/>
      <c r="I129" s="233"/>
      <c r="J129" s="9"/>
      <c r="K129" s="17"/>
      <c r="L129" s="9"/>
      <c r="M129" s="233"/>
      <c r="N129" s="9"/>
      <c r="O129" s="217"/>
    </row>
    <row r="130" spans="1:15" ht="12.95" customHeight="1">
      <c r="A130" s="12" t="s">
        <v>439</v>
      </c>
      <c r="B130" s="10">
        <f>+GETPIVOTDATA(" Old Prof avg",'Averages Pivot Table'!$A$3,"State","AL","Category",1,"Category2","Four-Year")</f>
        <v>110530.15078506559</v>
      </c>
      <c r="C130" s="130">
        <f>IF(B130&gt;0,(RANK(B130,B$130:B$148)),0)</f>
        <v>8</v>
      </c>
      <c r="D130" s="10">
        <f>+GETPIVOTDATA(" Old Asc. avg",'Averages Pivot Table'!$A$3,"State","AL","Category",1,"Category2","Four-Year")</f>
        <v>77232.989429333349</v>
      </c>
      <c r="E130" s="130">
        <f>IF(D130&gt;0,(RANK(D130,D$130:D$148)),0)</f>
        <v>8</v>
      </c>
      <c r="F130" s="10">
        <f>+GETPIVOTDATA(" Old Ast. avg",'Averages Pivot Table'!$A$3,"State","AL","Category",1,"Category2","Four-Year")</f>
        <v>62223.369255304737</v>
      </c>
      <c r="G130" s="130">
        <f t="shared" ref="G130:G148" si="17">IF(F130&gt;0,(RANK(F130,F$130:F$148)),0)</f>
        <v>14</v>
      </c>
      <c r="H130" s="10">
        <f>+GETPIVOTDATA(" Old Inst. avg",'Averages Pivot Table'!$A$3,"State","AL","Category",1,"Category2","Four-Year")</f>
        <v>42038.857241121492</v>
      </c>
      <c r="I130" s="201">
        <f t="shared" ref="I130:I148" si="18">IF(H130&gt;0,(RANK(H130,H$130:H$148)),0)</f>
        <v>13</v>
      </c>
      <c r="J130" s="10">
        <f>+GETPIVOTDATA(" Old Undesg. avg",'Averages Pivot Table'!$A$3,"State","AL","Category",1,"Category2","Four-Year")</f>
        <v>60525.153633333335</v>
      </c>
      <c r="K130" s="130">
        <f t="shared" ref="K130:K148" si="19">IF(J130&gt;0,(RANK(J130,J$130:J$148)),0)</f>
        <v>3</v>
      </c>
      <c r="L130" s="10">
        <f>+GETPIVOTDATA(" Old All Ranks avg",'Averages Pivot Table'!$A$3,"State","AL","Category",1,"Category2","Four-Year")</f>
        <v>79795.660453619479</v>
      </c>
      <c r="M130" s="201">
        <f t="shared" ref="M130:M148" si="20">IF(L130&gt;0,(RANK(L130,L$130:L$148)),0)</f>
        <v>9</v>
      </c>
      <c r="N130" s="10"/>
      <c r="O130" s="218"/>
    </row>
    <row r="131" spans="1:15" ht="12.95" customHeight="1">
      <c r="A131" s="12" t="s">
        <v>440</v>
      </c>
      <c r="B131" s="10">
        <f>+GETPIVOTDATA(" Old Prof avg",'Averages Pivot Table'!$A$3,"State","AR","Category",1,"Category2","Four-Year")</f>
        <v>100592.21345501434</v>
      </c>
      <c r="C131" s="130">
        <f t="shared" ref="C131:E148" si="21">IF(B131&gt;0,(RANK(B131,B$130:B$148)),0)</f>
        <v>15</v>
      </c>
      <c r="D131" s="10">
        <f>+GETPIVOTDATA(" Old Asc. avg",'Averages Pivot Table'!$A$3,"State","AR","Category",1,"Category2","Four-Year")</f>
        <v>72851.858457657654</v>
      </c>
      <c r="E131" s="130">
        <f t="shared" si="21"/>
        <v>14</v>
      </c>
      <c r="F131" s="10">
        <f>+GETPIVOTDATA(" Old Ast. avg",'Averages Pivot Table'!$A$3,"State","AR","Category",1,"Category2","Four-Year")</f>
        <v>68676.963821794867</v>
      </c>
      <c r="G131" s="130">
        <f t="shared" si="17"/>
        <v>9</v>
      </c>
      <c r="H131" s="10">
        <f>+GETPIVOTDATA(" Old Inst. avg",'Averages Pivot Table'!$A$3,"State","AR","Category",1,"Category2","Four-Year")</f>
        <v>41159.926911864408</v>
      </c>
      <c r="I131" s="201">
        <f t="shared" si="18"/>
        <v>14</v>
      </c>
      <c r="J131" s="10">
        <f>+GETPIVOTDATA(" Old Undesg. avg",'Averages Pivot Table'!$A$3,"State","AR","Category",1,"Category2","Four-Year")</f>
        <v>45072.460987301587</v>
      </c>
      <c r="K131" s="130">
        <f t="shared" si="19"/>
        <v>12</v>
      </c>
      <c r="L131" s="10">
        <f>+GETPIVOTDATA(" Old All Ranks avg",'Averages Pivot Table'!$A$3,"State","AR","Category",1,"Category2","Four-Year")</f>
        <v>76750.922739427304</v>
      </c>
      <c r="M131" s="201">
        <f t="shared" si="20"/>
        <v>14</v>
      </c>
      <c r="N131" s="10"/>
      <c r="O131" s="218"/>
    </row>
    <row r="132" spans="1:15" ht="12.95" customHeight="1">
      <c r="A132" s="12" t="s">
        <v>455</v>
      </c>
      <c r="B132" s="10">
        <f>+GETPIVOTDATA(" Old Prof avg",'Averages Pivot Table'!$A$3,"State","DE","Category",1,"Category2","Four-Year")</f>
        <v>133148.79136781004</v>
      </c>
      <c r="C132" s="130">
        <f t="shared" si="21"/>
        <v>2</v>
      </c>
      <c r="D132" s="10">
        <f>+GETPIVOTDATA(" Old Asc. avg",'Averages Pivot Table'!$A$3,"State","DE","Category",1,"Category2","Four-Year")</f>
        <v>89724.521129824556</v>
      </c>
      <c r="E132" s="130">
        <f t="shared" si="21"/>
        <v>2</v>
      </c>
      <c r="F132" s="10">
        <f>+GETPIVOTDATA(" Old Ast. avg",'Averages Pivot Table'!$A$3,"State","DE","Category",1,"Category2","Four-Year")</f>
        <v>75828.517864808367</v>
      </c>
      <c r="G132" s="130">
        <f t="shared" si="17"/>
        <v>2</v>
      </c>
      <c r="H132" s="10">
        <f>+GETPIVOTDATA(" Old Inst. avg",'Averages Pivot Table'!$A$3,"State","DE","Category",1,"Category2","Four-Year")</f>
        <v>60107.280878846155</v>
      </c>
      <c r="I132" s="201">
        <f t="shared" si="18"/>
        <v>3</v>
      </c>
      <c r="J132" s="10">
        <f>+GETPIVOTDATA(" Old Undesg. avg",'Averages Pivot Table'!$A$3,"State","DE","Category",1,"Category2","Four-Year")</f>
        <v>0</v>
      </c>
      <c r="K132" s="130">
        <f t="shared" si="19"/>
        <v>0</v>
      </c>
      <c r="L132" s="10">
        <f>+GETPIVOTDATA(" Old All Ranks avg",'Averages Pivot Table'!$A$3,"State","DE","Category",1,"Category2","Four-Year")</f>
        <v>98168.273375359713</v>
      </c>
      <c r="M132" s="201">
        <f t="shared" si="20"/>
        <v>2</v>
      </c>
      <c r="N132" s="10"/>
      <c r="O132" s="218"/>
    </row>
    <row r="133" spans="1:15" ht="12.95" customHeight="1">
      <c r="A133" s="12" t="s">
        <v>441</v>
      </c>
      <c r="B133" s="10">
        <f>+GETPIVOTDATA(" Old Prof avg",'Averages Pivot Table'!$A$3,"State","FL","Category",1,"Category2","Four-Year")</f>
        <v>111587.72045161662</v>
      </c>
      <c r="C133" s="130">
        <f t="shared" si="21"/>
        <v>6</v>
      </c>
      <c r="D133" s="10">
        <f>+GETPIVOTDATA(" Old Asc. avg",'Averages Pivot Table'!$A$3,"State","FL","Category",1,"Category2","Four-Year")</f>
        <v>76020.638553505894</v>
      </c>
      <c r="E133" s="130">
        <f t="shared" si="21"/>
        <v>11</v>
      </c>
      <c r="F133" s="10">
        <f>+GETPIVOTDATA(" Old Ast. avg",'Averages Pivot Table'!$A$3,"State","FL","Category",1,"Category2","Four-Year")</f>
        <v>66855.384912122317</v>
      </c>
      <c r="G133" s="130">
        <f t="shared" si="17"/>
        <v>10</v>
      </c>
      <c r="H133" s="10">
        <f>+GETPIVOTDATA(" Old Inst. avg",'Averages Pivot Table'!$A$3,"State","FL","Category",1,"Category2","Four-Year")</f>
        <v>48838.408139220737</v>
      </c>
      <c r="I133" s="201">
        <f t="shared" si="18"/>
        <v>6</v>
      </c>
      <c r="J133" s="10">
        <f>+GETPIVOTDATA(" Old Undesg. avg",'Averages Pivot Table'!$A$3,"State","FL","Category",1,"Category2","Four-Year")</f>
        <v>55525.997185152548</v>
      </c>
      <c r="K133" s="130">
        <f t="shared" si="19"/>
        <v>5</v>
      </c>
      <c r="L133" s="10">
        <f>+GETPIVOTDATA(" Old All Ranks avg",'Averages Pivot Table'!$A$3,"State","FL","Category",1,"Category2","Four-Year")</f>
        <v>80136.293242337037</v>
      </c>
      <c r="M133" s="201">
        <f t="shared" si="20"/>
        <v>8</v>
      </c>
      <c r="N133" s="10"/>
      <c r="O133" s="218"/>
    </row>
    <row r="134" spans="1:15" ht="12.95" customHeight="1">
      <c r="A134" s="12"/>
      <c r="B134" s="10"/>
      <c r="C134" s="130">
        <f t="shared" si="21"/>
        <v>0</v>
      </c>
      <c r="D134" s="10"/>
      <c r="E134" s="130">
        <f t="shared" si="21"/>
        <v>0</v>
      </c>
      <c r="F134" s="10"/>
      <c r="G134" s="130">
        <f t="shared" si="17"/>
        <v>0</v>
      </c>
      <c r="H134" s="10"/>
      <c r="I134" s="201">
        <f t="shared" si="18"/>
        <v>0</v>
      </c>
      <c r="J134" s="10"/>
      <c r="K134" s="130">
        <f t="shared" si="19"/>
        <v>0</v>
      </c>
      <c r="L134" s="10"/>
      <c r="M134" s="201">
        <f t="shared" si="20"/>
        <v>0</v>
      </c>
      <c r="N134" s="10"/>
      <c r="O134" s="218"/>
    </row>
    <row r="135" spans="1:15" ht="12.95" customHeight="1">
      <c r="A135" s="12" t="s">
        <v>442</v>
      </c>
      <c r="B135" s="10">
        <f>+GETPIVOTDATA(" Old Prof avg",'Averages Pivot Table'!$A$3,"State","GA","Category",1,"Category2","Four-Year")</f>
        <v>110364.92425900552</v>
      </c>
      <c r="C135" s="130">
        <f t="shared" si="21"/>
        <v>9</v>
      </c>
      <c r="D135" s="10">
        <f>+GETPIVOTDATA(" Old Asc. avg",'Averages Pivot Table'!$A$3,"State","GA","Category",1,"Category2","Four-Year")</f>
        <v>78353.591338144324</v>
      </c>
      <c r="E135" s="130">
        <f t="shared" si="21"/>
        <v>7</v>
      </c>
      <c r="F135" s="10">
        <f>+GETPIVOTDATA(" Old Ast. avg",'Averages Pivot Table'!$A$3,"State","GA","Category",1,"Category2","Four-Year")</f>
        <v>69698.758312628866</v>
      </c>
      <c r="G135" s="130">
        <f t="shared" si="17"/>
        <v>6</v>
      </c>
      <c r="H135" s="10">
        <f>+GETPIVOTDATA(" Old Inst. avg",'Averages Pivot Table'!$A$3,"State","GA","Category",1,"Category2","Four-Year")</f>
        <v>50880.656231775705</v>
      </c>
      <c r="I135" s="201">
        <f t="shared" si="18"/>
        <v>4</v>
      </c>
      <c r="J135" s="10">
        <f>+GETPIVOTDATA(" Old Undesg. avg",'Averages Pivot Table'!$A$3,"State","GA","Category",1,"Category2","Four-Year")</f>
        <v>50649.577307984793</v>
      </c>
      <c r="K135" s="130">
        <f t="shared" si="19"/>
        <v>8</v>
      </c>
      <c r="L135" s="10">
        <f>+GETPIVOTDATA(" Old All Ranks avg",'Averages Pivot Table'!$A$3,"State","GA","Category",1,"Category2","Four-Year")</f>
        <v>82608.400718853911</v>
      </c>
      <c r="M135" s="201">
        <f t="shared" si="20"/>
        <v>6</v>
      </c>
      <c r="N135" s="10"/>
      <c r="O135" s="218"/>
    </row>
    <row r="136" spans="1:15" ht="12.95" customHeight="1">
      <c r="A136" s="12" t="s">
        <v>443</v>
      </c>
      <c r="B136" s="10">
        <f>+GETPIVOTDATA(" Old Prof avg",'Averages Pivot Table'!$A$3,"State","KY","Category",1,"Category2","Four-Year")</f>
        <v>102228.45063302264</v>
      </c>
      <c r="C136" s="130">
        <f t="shared" si="21"/>
        <v>14</v>
      </c>
      <c r="D136" s="10">
        <f>+GETPIVOTDATA(" Old Asc. avg",'Averages Pivot Table'!$A$3,"State","KY","Category",1,"Category2","Four-Year")</f>
        <v>75792.599856628483</v>
      </c>
      <c r="E136" s="130">
        <f t="shared" si="21"/>
        <v>12</v>
      </c>
      <c r="F136" s="10">
        <f>+GETPIVOTDATA(" Old Ast. avg",'Averages Pivot Table'!$A$3,"State","KY","Category",1,"Category2","Four-Year")</f>
        <v>63351.517042907799</v>
      </c>
      <c r="G136" s="130">
        <f t="shared" si="17"/>
        <v>12</v>
      </c>
      <c r="H136" s="10">
        <f>+GETPIVOTDATA(" Old Inst. avg",'Averages Pivot Table'!$A$3,"State","KY","Category",1,"Category2","Four-Year")</f>
        <v>48847.351597916662</v>
      </c>
      <c r="I136" s="201">
        <f t="shared" si="18"/>
        <v>5</v>
      </c>
      <c r="J136" s="10">
        <f>+GETPIVOTDATA(" Old Undesg. avg",'Averages Pivot Table'!$A$3,"State","KY","Category",1,"Category2","Four-Year")</f>
        <v>46445.11940165289</v>
      </c>
      <c r="K136" s="130">
        <f t="shared" si="19"/>
        <v>11</v>
      </c>
      <c r="L136" s="10">
        <f>+GETPIVOTDATA(" Old All Ranks avg",'Averages Pivot Table'!$A$3,"State","KY","Category",1,"Category2","Four-Year")</f>
        <v>78918.481451703221</v>
      </c>
      <c r="M136" s="201">
        <f t="shared" si="20"/>
        <v>10</v>
      </c>
      <c r="N136" s="10"/>
      <c r="O136" s="218"/>
    </row>
    <row r="137" spans="1:15" ht="12.95" customHeight="1">
      <c r="A137" s="12" t="s">
        <v>444</v>
      </c>
      <c r="B137" s="10">
        <f>+GETPIVOTDATA(" Old Prof avg",'Averages Pivot Table'!$A$3,"State","LA","Category",1,"Category2","Four-Year")</f>
        <v>110926.9698564334</v>
      </c>
      <c r="C137" s="130">
        <f t="shared" si="21"/>
        <v>7</v>
      </c>
      <c r="D137" s="10">
        <f>+GETPIVOTDATA(" Old Asc. avg",'Averages Pivot Table'!$A$3,"State","LA","Category",1,"Category2","Four-Year")</f>
        <v>79185.971375838926</v>
      </c>
      <c r="E137" s="130">
        <f t="shared" si="21"/>
        <v>6</v>
      </c>
      <c r="F137" s="10">
        <f>+GETPIVOTDATA(" Old Ast. avg",'Averages Pivot Table'!$A$3,"State","LA","Category",1,"Category2","Four-Year")</f>
        <v>69183.330636655955</v>
      </c>
      <c r="G137" s="130">
        <f t="shared" si="17"/>
        <v>7</v>
      </c>
      <c r="H137" s="10">
        <f>+GETPIVOTDATA(" Old Inst. avg",'Averages Pivot Table'!$A$3,"State","LA","Category",1,"Category2","Four-Year")</f>
        <v>43679.484133620688</v>
      </c>
      <c r="I137" s="201">
        <f t="shared" si="18"/>
        <v>10</v>
      </c>
      <c r="J137" s="10">
        <f>+GETPIVOTDATA(" Old Undesg. avg",'Averages Pivot Table'!$A$3,"State","LA","Category",1,"Category2","Four-Year")</f>
        <v>55637.574857142856</v>
      </c>
      <c r="K137" s="130">
        <f t="shared" si="19"/>
        <v>4</v>
      </c>
      <c r="L137" s="10">
        <f>+GETPIVOTDATA(" Old All Ranks avg",'Averages Pivot Table'!$A$3,"State","LA","Category",1,"Category2","Four-Year")</f>
        <v>80885.909835555562</v>
      </c>
      <c r="M137" s="201">
        <f t="shared" si="20"/>
        <v>7</v>
      </c>
      <c r="N137" s="10"/>
      <c r="O137" s="218"/>
    </row>
    <row r="138" spans="1:15" ht="12.95" customHeight="1">
      <c r="A138" s="12" t="s">
        <v>445</v>
      </c>
      <c r="B138" s="10">
        <f>+GETPIVOTDATA(" Old Prof avg",'Averages Pivot Table'!$A$3,"State","MD","Category",1,"Category2","Four-Year")</f>
        <v>134735.74440210598</v>
      </c>
      <c r="C138" s="130">
        <f t="shared" si="21"/>
        <v>1</v>
      </c>
      <c r="D138" s="10">
        <f>+GETPIVOTDATA(" Old Asc. avg",'Averages Pivot Table'!$A$3,"State","MD","Category",1,"Category2","Four-Year")</f>
        <v>94414.649651089581</v>
      </c>
      <c r="E138" s="130">
        <f t="shared" si="21"/>
        <v>1</v>
      </c>
      <c r="F138" s="10">
        <f>+GETPIVOTDATA(" Old Ast. avg",'Averages Pivot Table'!$A$3,"State","MD","Category",1,"Category2","Four-Year")</f>
        <v>82575.018831481997</v>
      </c>
      <c r="G138" s="130">
        <f t="shared" si="17"/>
        <v>1</v>
      </c>
      <c r="H138" s="10">
        <f>+GETPIVOTDATA(" Old Inst. avg",'Averages Pivot Table'!$A$3,"State","MD","Category",1,"Category2","Four-Year")</f>
        <v>60147.22811000856</v>
      </c>
      <c r="I138" s="201">
        <f t="shared" si="18"/>
        <v>2</v>
      </c>
      <c r="J138" s="10">
        <f>+GETPIVOTDATA(" Old Undesg. avg",'Averages Pivot Table'!$A$3,"State","MD","Category",1,"Category2","Four-Year")</f>
        <v>61073.979490218881</v>
      </c>
      <c r="K138" s="130">
        <f t="shared" si="19"/>
        <v>2</v>
      </c>
      <c r="L138" s="10">
        <f>+GETPIVOTDATA(" Old All Ranks avg",'Averages Pivot Table'!$A$3,"State","MD","Category",1,"Category2","Four-Year")</f>
        <v>103615.90642451914</v>
      </c>
      <c r="M138" s="201">
        <f t="shared" si="20"/>
        <v>1</v>
      </c>
      <c r="N138" s="10"/>
      <c r="O138" s="218"/>
    </row>
    <row r="139" spans="1:15" ht="12.95" customHeight="1">
      <c r="A139" s="12"/>
      <c r="B139" s="10"/>
      <c r="C139" s="130">
        <f t="shared" si="21"/>
        <v>0</v>
      </c>
      <c r="D139" s="10"/>
      <c r="E139" s="130">
        <f t="shared" si="21"/>
        <v>0</v>
      </c>
      <c r="F139" s="10"/>
      <c r="G139" s="130">
        <f t="shared" si="17"/>
        <v>0</v>
      </c>
      <c r="H139" s="10"/>
      <c r="I139" s="201">
        <f t="shared" si="18"/>
        <v>0</v>
      </c>
      <c r="J139" s="10"/>
      <c r="K139" s="130">
        <f t="shared" si="19"/>
        <v>0</v>
      </c>
      <c r="L139" s="10"/>
      <c r="M139" s="201">
        <f t="shared" si="20"/>
        <v>0</v>
      </c>
      <c r="N139" s="10"/>
      <c r="O139" s="218"/>
    </row>
    <row r="140" spans="1:15" ht="12.95" customHeight="1">
      <c r="A140" s="12" t="s">
        <v>446</v>
      </c>
      <c r="B140" s="10">
        <f>+GETPIVOTDATA(" Old Prof avg",'Averages Pivot Table'!$A$3,"State","MS","Category",1,"Category2","Four-Year")</f>
        <v>90254.612538618923</v>
      </c>
      <c r="C140" s="130">
        <f t="shared" si="21"/>
        <v>16</v>
      </c>
      <c r="D140" s="10">
        <f>+GETPIVOTDATA(" Old Asc. avg",'Averages Pivot Table'!$A$3,"State","MS","Category",1,"Category2","Four-Year")</f>
        <v>67569.274476363629</v>
      </c>
      <c r="E140" s="130">
        <f t="shared" si="21"/>
        <v>16</v>
      </c>
      <c r="F140" s="10">
        <f>+GETPIVOTDATA(" Old Ast. avg",'Averages Pivot Table'!$A$3,"State","MS","Category",1,"Category2","Four-Year")</f>
        <v>58275.455219927535</v>
      </c>
      <c r="G140" s="130">
        <f t="shared" si="17"/>
        <v>16</v>
      </c>
      <c r="H140" s="10">
        <f>+GETPIVOTDATA(" Old Inst. avg",'Averages Pivot Table'!$A$3,"State","MS","Category",1,"Category2","Four-Year")</f>
        <v>42774.379896028884</v>
      </c>
      <c r="I140" s="201">
        <f t="shared" si="18"/>
        <v>12</v>
      </c>
      <c r="J140" s="10">
        <f>+GETPIVOTDATA(" Old Undesg. avg",'Averages Pivot Table'!$A$3,"State","MS","Category",1,"Category2","Four-Year")</f>
        <v>29203.22</v>
      </c>
      <c r="K140" s="130">
        <f t="shared" si="19"/>
        <v>14</v>
      </c>
      <c r="L140" s="10">
        <f>+GETPIVOTDATA(" Old All Ranks avg",'Averages Pivot Table'!$A$3,"State","MS","Category",1,"Category2","Four-Year")</f>
        <v>64519.903135105742</v>
      </c>
      <c r="M140" s="201">
        <f t="shared" si="20"/>
        <v>16</v>
      </c>
      <c r="N140" s="10"/>
      <c r="O140" s="218"/>
    </row>
    <row r="141" spans="1:15" ht="12.95" customHeight="1">
      <c r="A141" s="12" t="s">
        <v>447</v>
      </c>
      <c r="B141" s="10">
        <f>+GETPIVOTDATA(" Old Prof avg",'Averages Pivot Table'!$A$3,"State","NC","Category",1,"Category2","Four-Year")</f>
        <v>128359.66752744188</v>
      </c>
      <c r="C141" s="130">
        <f t="shared" si="21"/>
        <v>3</v>
      </c>
      <c r="D141" s="10">
        <f>+GETPIVOTDATA(" Old Asc. avg",'Averages Pivot Table'!$A$3,"State","NC","Category",1,"Category2","Four-Year")</f>
        <v>88032.309731407047</v>
      </c>
      <c r="E141" s="130">
        <f t="shared" si="21"/>
        <v>3</v>
      </c>
      <c r="F141" s="10">
        <f>+GETPIVOTDATA(" Old Ast. avg",'Averages Pivot Table'!$A$3,"State","NC","Category",1,"Category2","Four-Year")</f>
        <v>75272.817938102176</v>
      </c>
      <c r="G141" s="130">
        <f t="shared" si="17"/>
        <v>3</v>
      </c>
      <c r="H141" s="10">
        <f>+GETPIVOTDATA(" Old Inst. avg",'Averages Pivot Table'!$A$3,"State","NC","Category",1,"Category2","Four-Year")</f>
        <v>78792.192715789468</v>
      </c>
      <c r="I141" s="201">
        <f t="shared" si="18"/>
        <v>1</v>
      </c>
      <c r="J141" s="10">
        <f>+GETPIVOTDATA(" Old Undesg. avg",'Averages Pivot Table'!$A$3,"State","NC","Category",1,"Category2","Four-Year")</f>
        <v>64268.028826186586</v>
      </c>
      <c r="K141" s="130">
        <f t="shared" si="19"/>
        <v>1</v>
      </c>
      <c r="L141" s="10">
        <f>+GETPIVOTDATA(" Old All Ranks avg",'Averages Pivot Table'!$A$3,"State","NC","Category",1,"Category2","Four-Year")</f>
        <v>96437.632231284908</v>
      </c>
      <c r="M141" s="201">
        <f t="shared" si="20"/>
        <v>3</v>
      </c>
      <c r="N141" s="10"/>
      <c r="O141" s="218"/>
    </row>
    <row r="142" spans="1:15" ht="12.95" customHeight="1">
      <c r="A142" s="12" t="s">
        <v>448</v>
      </c>
      <c r="B142" s="10">
        <f>+GETPIVOTDATA(" Old Prof avg",'Averages Pivot Table'!$A$3,"State","OK","Category",1,"Category2","Four-Year")</f>
        <v>106390.91847839773</v>
      </c>
      <c r="C142" s="130">
        <f t="shared" si="21"/>
        <v>11</v>
      </c>
      <c r="D142" s="10">
        <f>+GETPIVOTDATA(" Old Asc. avg",'Averages Pivot Table'!$A$3,"State","OK","Category",1,"Category2","Four-Year")</f>
        <v>72220.855290744104</v>
      </c>
      <c r="E142" s="130">
        <f t="shared" si="21"/>
        <v>15</v>
      </c>
      <c r="F142" s="10">
        <f>+GETPIVOTDATA(" Old Ast. avg",'Averages Pivot Table'!$A$3,"State","OK","Category",1,"Category2","Four-Year")</f>
        <v>62827.387157495257</v>
      </c>
      <c r="G142" s="130">
        <f t="shared" si="17"/>
        <v>13</v>
      </c>
      <c r="H142" s="10">
        <f>+GETPIVOTDATA(" Old Inst. avg",'Averages Pivot Table'!$A$3,"State","OK","Category",1,"Category2","Four-Year")</f>
        <v>40564.009512727273</v>
      </c>
      <c r="I142" s="201">
        <f t="shared" si="18"/>
        <v>15</v>
      </c>
      <c r="J142" s="10">
        <f>+GETPIVOTDATA(" Old Undesg. avg",'Averages Pivot Table'!$A$3,"State","OK","Category",1,"Category2","Four-Year")</f>
        <v>0</v>
      </c>
      <c r="K142" s="130">
        <f t="shared" si="19"/>
        <v>0</v>
      </c>
      <c r="L142" s="10">
        <f>+GETPIVOTDATA(" Old All Ranks avg",'Averages Pivot Table'!$A$3,"State","OK","Category",1,"Category2","Four-Year")</f>
        <v>77205.691486159849</v>
      </c>
      <c r="M142" s="201">
        <f t="shared" si="20"/>
        <v>12</v>
      </c>
      <c r="N142" s="10"/>
      <c r="O142" s="218"/>
    </row>
    <row r="143" spans="1:15" ht="12.95" customHeight="1">
      <c r="A143" s="12" t="s">
        <v>449</v>
      </c>
      <c r="B143" s="10">
        <f>+GETPIVOTDATA(" Old Prof avg",'Averages Pivot Table'!$A$3,"State","SC","Category",1,"Category2","Four-Year")</f>
        <v>108014.34876501549</v>
      </c>
      <c r="C143" s="130">
        <f t="shared" si="21"/>
        <v>10</v>
      </c>
      <c r="D143" s="10">
        <f>+GETPIVOTDATA(" Old Asc. avg",'Averages Pivot Table'!$A$3,"State","SC","Category",1,"Category2","Four-Year")</f>
        <v>76868.617911073248</v>
      </c>
      <c r="E143" s="130">
        <f t="shared" si="21"/>
        <v>9</v>
      </c>
      <c r="F143" s="10">
        <f>+GETPIVOTDATA(" Old Ast. avg",'Averages Pivot Table'!$A$3,"State","SC","Category",1,"Category2","Four-Year")</f>
        <v>69181.005486495182</v>
      </c>
      <c r="G143" s="130">
        <f t="shared" si="17"/>
        <v>8</v>
      </c>
      <c r="H143" s="10">
        <f>+GETPIVOTDATA(" Old Inst. avg",'Averages Pivot Table'!$A$3,"State","SC","Category",1,"Category2","Four-Year")</f>
        <v>44025.485224460434</v>
      </c>
      <c r="I143" s="201">
        <f t="shared" si="18"/>
        <v>8</v>
      </c>
      <c r="J143" s="10">
        <f>+GETPIVOTDATA(" Old Undesg. avg",'Averages Pivot Table'!$A$3,"State","SC","Category",1,"Category2","Four-Year")</f>
        <v>46500.545283809523</v>
      </c>
      <c r="K143" s="130">
        <f t="shared" si="19"/>
        <v>10</v>
      </c>
      <c r="L143" s="10">
        <f>+GETPIVOTDATA(" Old All Ranks avg",'Averages Pivot Table'!$A$3,"State","SC","Category",1,"Category2","Four-Year")</f>
        <v>78863.153531941934</v>
      </c>
      <c r="M143" s="201">
        <f t="shared" si="20"/>
        <v>11</v>
      </c>
      <c r="N143" s="10"/>
      <c r="O143" s="218"/>
    </row>
    <row r="144" spans="1:15" ht="12.95" customHeight="1">
      <c r="A144" s="12"/>
      <c r="B144" s="10"/>
      <c r="C144" s="130">
        <f t="shared" si="21"/>
        <v>0</v>
      </c>
      <c r="D144" s="10"/>
      <c r="E144" s="130">
        <f t="shared" si="21"/>
        <v>0</v>
      </c>
      <c r="F144" s="10"/>
      <c r="G144" s="130">
        <f t="shared" si="17"/>
        <v>0</v>
      </c>
      <c r="H144" s="10"/>
      <c r="I144" s="201">
        <f t="shared" si="18"/>
        <v>0</v>
      </c>
      <c r="J144" s="10"/>
      <c r="K144" s="130">
        <f t="shared" si="19"/>
        <v>0</v>
      </c>
      <c r="L144" s="10"/>
      <c r="M144" s="201">
        <f t="shared" si="20"/>
        <v>0</v>
      </c>
      <c r="N144" s="10"/>
      <c r="O144" s="218"/>
    </row>
    <row r="145" spans="1:19" ht="12.95" customHeight="1">
      <c r="A145" s="12" t="s">
        <v>450</v>
      </c>
      <c r="B145" s="140">
        <f>+GETPIVOTDATA(" Old Prof avg",'Averages Pivot Table'!$A$3,"State","TN","Category",1,"Category2","Four-Year")</f>
        <v>105155.25094719387</v>
      </c>
      <c r="C145" s="130">
        <f t="shared" si="21"/>
        <v>12</v>
      </c>
      <c r="D145" s="140">
        <f>+GETPIVOTDATA(" Old Asc. avg",'Averages Pivot Table'!$A$3,"State","TN","Category",1,"Category2","Four-Year")</f>
        <v>76116.110820307687</v>
      </c>
      <c r="E145" s="130">
        <f t="shared" si="21"/>
        <v>10</v>
      </c>
      <c r="F145" s="140">
        <f>+GETPIVOTDATA(" Old Ast. avg",'Averages Pivot Table'!$A$3,"State","TN","Category",1,"Category2","Four-Year")</f>
        <v>63711.8867875</v>
      </c>
      <c r="G145" s="130">
        <f t="shared" si="17"/>
        <v>11</v>
      </c>
      <c r="H145" s="140">
        <f>+GETPIVOTDATA(" Old Inst. avg",'Averages Pivot Table'!$A$3,"State","TN","Category",1,"Category2","Four-Year")</f>
        <v>43974.417581944443</v>
      </c>
      <c r="I145" s="201">
        <f t="shared" si="18"/>
        <v>9</v>
      </c>
      <c r="J145" s="140">
        <f>+GETPIVOTDATA(" Old Undesg. avg",'Averages Pivot Table'!$A$3,"State","TN","Category",1,"Category2","Four-Year")</f>
        <v>39769.769561316869</v>
      </c>
      <c r="K145" s="130">
        <f t="shared" si="19"/>
        <v>13</v>
      </c>
      <c r="L145" s="140">
        <f>+GETPIVOTDATA(" Old All Ranks avg",'Averages Pivot Table'!$A$3,"State","TN","Category",1,"Category2","Four-Year")</f>
        <v>77017.774593491864</v>
      </c>
      <c r="M145" s="201">
        <f t="shared" si="20"/>
        <v>13</v>
      </c>
      <c r="N145" s="10"/>
      <c r="O145" s="218"/>
    </row>
    <row r="146" spans="1:19" ht="12.95" customHeight="1">
      <c r="A146" s="12" t="s">
        <v>451</v>
      </c>
      <c r="B146" s="140">
        <f>+GETPIVOTDATA(" Old Prof avg",'Averages Pivot Table'!$A$3,"State","TX","Category",1,"Category2","Four-Year")</f>
        <v>121278.66604238539</v>
      </c>
      <c r="C146" s="130">
        <f t="shared" si="21"/>
        <v>5</v>
      </c>
      <c r="D146" s="140">
        <f>+GETPIVOTDATA(" Old Asc. avg",'Averages Pivot Table'!$A$3,"State","TX","Category",1,"Category2","Four-Year")</f>
        <v>81575.394710789478</v>
      </c>
      <c r="E146" s="130">
        <f t="shared" si="21"/>
        <v>5</v>
      </c>
      <c r="F146" s="140">
        <f>+GETPIVOTDATA(" Old Ast. avg",'Averages Pivot Table'!$A$3,"State","TX","Category",1,"Category2","Four-Year")</f>
        <v>73324.10223887609</v>
      </c>
      <c r="G146" s="130">
        <f t="shared" si="17"/>
        <v>4</v>
      </c>
      <c r="H146" s="140">
        <f>+GETPIVOTDATA(" Old Inst. avg",'Averages Pivot Table'!$A$3,"State","TX","Category",1,"Category2","Four-Year")</f>
        <v>38586.150686222223</v>
      </c>
      <c r="I146" s="201">
        <f t="shared" si="18"/>
        <v>16</v>
      </c>
      <c r="J146" s="140">
        <f>+GETPIVOTDATA(" Old Undesg. avg",'Averages Pivot Table'!$A$3,"State","TX","Category",1,"Category2","Four-Year")</f>
        <v>52816.444034630345</v>
      </c>
      <c r="K146" s="130">
        <f t="shared" si="19"/>
        <v>6</v>
      </c>
      <c r="L146" s="140">
        <f>+GETPIVOTDATA(" Old All Ranks avg",'Averages Pivot Table'!$A$3,"State","TX","Category",1,"Category2","Four-Year")</f>
        <v>87134.146502431191</v>
      </c>
      <c r="M146" s="201">
        <f t="shared" si="20"/>
        <v>5</v>
      </c>
      <c r="N146" s="10"/>
      <c r="O146" s="218"/>
    </row>
    <row r="147" spans="1:19" ht="12.95" customHeight="1">
      <c r="A147" s="12" t="s">
        <v>452</v>
      </c>
      <c r="B147" s="140">
        <f>+GETPIVOTDATA(" Old Prof avg",'Averages Pivot Table'!$A$3,"State","VA","Category",1,"Category2","Four-Year")</f>
        <v>123207.05297099538</v>
      </c>
      <c r="C147" s="130">
        <f t="shared" si="21"/>
        <v>4</v>
      </c>
      <c r="D147" s="140">
        <f>+GETPIVOTDATA(" Old Asc. avg",'Averages Pivot Table'!$A$3,"State","VA","Category",1,"Category2","Four-Year")</f>
        <v>83844.053434898276</v>
      </c>
      <c r="E147" s="130">
        <f t="shared" si="21"/>
        <v>4</v>
      </c>
      <c r="F147" s="140">
        <f>+GETPIVOTDATA(" Old Ast. avg",'Averages Pivot Table'!$A$3,"State","VA","Category",1,"Category2","Four-Year")</f>
        <v>70490.984317516224</v>
      </c>
      <c r="G147" s="130">
        <f t="shared" si="17"/>
        <v>5</v>
      </c>
      <c r="H147" s="140">
        <f>+GETPIVOTDATA(" Old Inst. avg",'Averages Pivot Table'!$A$3,"State","VA","Category",1,"Category2","Four-Year")</f>
        <v>48026.807789130435</v>
      </c>
      <c r="I147" s="201">
        <f t="shared" si="18"/>
        <v>7</v>
      </c>
      <c r="J147" s="140">
        <f>+GETPIVOTDATA(" Old Undesg. avg",'Averages Pivot Table'!$A$3,"State","VA","Category",1,"Category2","Four-Year")</f>
        <v>50936.546836363632</v>
      </c>
      <c r="K147" s="130">
        <f t="shared" si="19"/>
        <v>7</v>
      </c>
      <c r="L147" s="140">
        <f>+GETPIVOTDATA(" Old All Ranks avg",'Averages Pivot Table'!$A$3,"State","VA","Category",1,"Category2","Four-Year")</f>
        <v>90193.862815430271</v>
      </c>
      <c r="M147" s="201">
        <f t="shared" si="20"/>
        <v>4</v>
      </c>
      <c r="N147" s="10"/>
      <c r="O147" s="218"/>
    </row>
    <row r="148" spans="1:19" ht="12.95" customHeight="1">
      <c r="A148" s="11" t="s">
        <v>453</v>
      </c>
      <c r="B148" s="66">
        <f>+GETPIVOTDATA(" Old Prof avg",'Averages Pivot Table'!$A$3,"State","WV","Category",1,"Category2","Four-Year")</f>
        <v>103317.23262422145</v>
      </c>
      <c r="C148" s="65">
        <f t="shared" si="21"/>
        <v>13</v>
      </c>
      <c r="D148" s="66">
        <f>+GETPIVOTDATA(" Old Asc. avg",'Averages Pivot Table'!$A$3,"State","WV","Category",1,"Category2","Four-Year")</f>
        <v>74251.752683739833</v>
      </c>
      <c r="E148" s="65">
        <f t="shared" si="21"/>
        <v>13</v>
      </c>
      <c r="F148" s="66">
        <f>+GETPIVOTDATA(" Old Ast. avg",'Averages Pivot Table'!$A$3,"State","WV","Category",1,"Category2","Four-Year")</f>
        <v>59835.4220244186</v>
      </c>
      <c r="G148" s="65">
        <f t="shared" si="17"/>
        <v>15</v>
      </c>
      <c r="H148" s="66">
        <f>+GETPIVOTDATA(" Old Inst. avg",'Averages Pivot Table'!$A$3,"State","WV","Category",1,"Category2","Four-Year")</f>
        <v>43646.034963265309</v>
      </c>
      <c r="I148" s="202">
        <f t="shared" si="18"/>
        <v>11</v>
      </c>
      <c r="J148" s="66">
        <f>+GETPIVOTDATA(" Old Undesg. avg",'Averages Pivot Table'!$A$3,"State","WV","Category",1,"Category2","Four-Year")</f>
        <v>47966.887873684209</v>
      </c>
      <c r="K148" s="65">
        <f t="shared" si="19"/>
        <v>9</v>
      </c>
      <c r="L148" s="66">
        <f>+GETPIVOTDATA(" Old All Ranks avg",'Averages Pivot Table'!$A$3,"State","WV","Category",1,"Category2","Four-Year")</f>
        <v>75774.047674551213</v>
      </c>
      <c r="M148" s="202">
        <f t="shared" si="20"/>
        <v>15</v>
      </c>
      <c r="N148" s="10"/>
      <c r="O148" s="213"/>
    </row>
    <row r="149" spans="1:19" ht="30" customHeight="1">
      <c r="A149" s="629" t="s">
        <v>323</v>
      </c>
      <c r="B149" s="633"/>
      <c r="C149" s="633"/>
      <c r="D149" s="633"/>
      <c r="E149" s="633"/>
      <c r="F149" s="633"/>
      <c r="G149" s="633"/>
      <c r="H149" s="633"/>
      <c r="I149" s="633"/>
      <c r="J149" s="633"/>
      <c r="K149" s="633"/>
      <c r="L149" s="633"/>
      <c r="M149" s="633"/>
      <c r="N149" s="12"/>
      <c r="O149" s="215"/>
    </row>
    <row r="150" spans="1:19">
      <c r="M150" s="244" t="s">
        <v>1166</v>
      </c>
      <c r="O150" s="214"/>
    </row>
    <row r="151" spans="1:19" ht="18">
      <c r="A151" s="618" t="s">
        <v>781</v>
      </c>
      <c r="B151" s="618"/>
      <c r="C151" s="618"/>
      <c r="D151" s="618"/>
      <c r="E151" s="618"/>
      <c r="F151" s="618"/>
      <c r="G151" s="618"/>
      <c r="H151" s="618"/>
      <c r="I151" s="618"/>
      <c r="J151" s="618"/>
      <c r="K151" s="618"/>
      <c r="L151" s="618"/>
      <c r="M151" s="618"/>
      <c r="N151" s="167"/>
      <c r="O151" s="166"/>
    </row>
    <row r="152" spans="1:19">
      <c r="A152" s="12"/>
      <c r="B152" s="5"/>
      <c r="C152" s="5"/>
      <c r="D152" s="5"/>
      <c r="E152" s="5"/>
      <c r="F152" s="5"/>
      <c r="G152" s="5"/>
      <c r="H152" s="5"/>
      <c r="I152" s="159"/>
      <c r="J152" s="5"/>
      <c r="K152" s="5"/>
      <c r="L152" s="5"/>
      <c r="M152" s="159"/>
      <c r="N152" s="5"/>
      <c r="O152" s="159"/>
    </row>
    <row r="153" spans="1:19">
      <c r="A153" s="619" t="s">
        <v>454</v>
      </c>
      <c r="B153" s="619"/>
      <c r="C153" s="619"/>
      <c r="D153" s="619"/>
      <c r="E153" s="619"/>
      <c r="F153" s="619"/>
      <c r="G153" s="619"/>
      <c r="H153" s="619"/>
      <c r="I153" s="619"/>
      <c r="J153" s="619"/>
      <c r="K153" s="619"/>
      <c r="L153" s="619"/>
      <c r="M153" s="619"/>
      <c r="N153" s="177"/>
      <c r="O153" s="211"/>
    </row>
    <row r="154" spans="1:19">
      <c r="A154" s="619" t="s">
        <v>760</v>
      </c>
      <c r="B154" s="619"/>
      <c r="C154" s="619"/>
      <c r="D154" s="619"/>
      <c r="E154" s="619"/>
      <c r="F154" s="619"/>
      <c r="G154" s="619"/>
      <c r="H154" s="619"/>
      <c r="I154" s="619"/>
      <c r="J154" s="619"/>
      <c r="K154" s="619"/>
      <c r="L154" s="619"/>
      <c r="M154" s="619"/>
      <c r="N154" s="177"/>
      <c r="O154" s="211"/>
    </row>
    <row r="155" spans="1:19">
      <c r="A155" s="12"/>
      <c r="B155" s="12"/>
      <c r="C155" s="12"/>
      <c r="D155" s="12"/>
      <c r="E155" s="12"/>
      <c r="F155" s="12"/>
      <c r="G155" s="12"/>
      <c r="H155" s="12"/>
      <c r="I155" s="215"/>
      <c r="J155" s="12"/>
      <c r="K155" s="12"/>
      <c r="L155" s="12"/>
      <c r="M155" s="215"/>
      <c r="N155" s="12"/>
      <c r="O155" s="215"/>
    </row>
    <row r="156" spans="1:19" ht="30.75" customHeight="1">
      <c r="A156" s="15"/>
      <c r="B156" s="21" t="s">
        <v>332</v>
      </c>
      <c r="C156" s="22"/>
      <c r="D156" s="141" t="s">
        <v>333</v>
      </c>
      <c r="E156" s="142"/>
      <c r="F156" s="141" t="s">
        <v>334</v>
      </c>
      <c r="G156" s="142"/>
      <c r="H156" s="21" t="s">
        <v>335</v>
      </c>
      <c r="I156" s="225"/>
      <c r="J156" s="141" t="s">
        <v>461</v>
      </c>
      <c r="K156" s="142"/>
      <c r="L156" s="22" t="s">
        <v>316</v>
      </c>
      <c r="M156" s="225"/>
      <c r="N156" s="63" t="s">
        <v>457</v>
      </c>
      <c r="O156" s="212"/>
    </row>
    <row r="157" spans="1:19">
      <c r="A157" s="16"/>
      <c r="B157" s="19" t="s">
        <v>336</v>
      </c>
      <c r="C157" s="18" t="s">
        <v>427</v>
      </c>
      <c r="D157" s="19" t="s">
        <v>336</v>
      </c>
      <c r="E157" s="18" t="s">
        <v>427</v>
      </c>
      <c r="F157" s="19" t="s">
        <v>336</v>
      </c>
      <c r="G157" s="18" t="s">
        <v>427</v>
      </c>
      <c r="H157" s="19" t="s">
        <v>336</v>
      </c>
      <c r="I157" s="226" t="s">
        <v>427</v>
      </c>
      <c r="J157" s="19" t="s">
        <v>336</v>
      </c>
      <c r="K157" s="18" t="s">
        <v>427</v>
      </c>
      <c r="L157" s="19" t="s">
        <v>336</v>
      </c>
      <c r="M157" s="226" t="s">
        <v>427</v>
      </c>
    </row>
    <row r="158" spans="1:19" s="156" customFormat="1" ht="18" customHeight="1">
      <c r="A158" s="168" t="s">
        <v>456</v>
      </c>
      <c r="B158" s="172">
        <f>+GETPIVOTDATA(" Old Prof avg",'Averages Pivot Table'!$A$3,"Category",2,"Category2","Four-Year")</f>
        <v>109113.51517165861</v>
      </c>
      <c r="C158" s="172"/>
      <c r="D158" s="172">
        <f>+GETPIVOTDATA(" Old Asc. avg",'Averages Pivot Table'!$A$3,"Category",2,"Category2","Four-Year")</f>
        <v>77884.21142560782</v>
      </c>
      <c r="E158" s="172"/>
      <c r="F158" s="172">
        <f>+GETPIVOTDATA(" Old Ast. avg",'Averages Pivot Table'!$A$3,"Category",2,"Category2","Four-Year")</f>
        <v>65404.056965130876</v>
      </c>
      <c r="G158" s="172"/>
      <c r="H158" s="172">
        <f>+GETPIVOTDATA(" Old Inst. avg",'Averages Pivot Table'!$A$3,"Category",2,"Category2","Four-Year")</f>
        <v>44019.937567883921</v>
      </c>
      <c r="I158" s="229"/>
      <c r="J158" s="172">
        <f>+GETPIVOTDATA(" Old Undesg. avg",'Averages Pivot Table'!$A$3,"Category",2,"Category2","Four-Year")</f>
        <v>49321.873296441365</v>
      </c>
      <c r="K158" s="172"/>
      <c r="L158" s="172">
        <f>+GETPIVOTDATA(" Old All Ranks avg",'Averages Pivot Table'!$A$3,"Category",2,"Category2","Four-Year")</f>
        <v>75982.479552900986</v>
      </c>
      <c r="M158" s="232"/>
      <c r="N158" s="172"/>
      <c r="O158" s="216"/>
      <c r="Q158" s="193"/>
      <c r="R158" s="193"/>
      <c r="S158" s="193"/>
    </row>
    <row r="159" spans="1:19" ht="12.95" customHeight="1">
      <c r="A159" s="12"/>
      <c r="B159" s="9"/>
      <c r="C159" s="17"/>
      <c r="D159" s="9"/>
      <c r="E159" s="17"/>
      <c r="F159" s="9"/>
      <c r="G159" s="17"/>
      <c r="H159" s="9"/>
      <c r="I159" s="233"/>
      <c r="J159" s="9"/>
      <c r="K159" s="17"/>
      <c r="L159" s="9"/>
      <c r="M159" s="233"/>
      <c r="N159" s="9"/>
      <c r="O159" s="217"/>
    </row>
    <row r="160" spans="1:19" ht="12.95" customHeight="1">
      <c r="A160" s="12" t="s">
        <v>439</v>
      </c>
      <c r="B160" s="62">
        <f>+GETPIVOTDATA(" Old Prof avg",'Averages Pivot Table'!$A$3,"State","AL","Category",2,"Category2","Four-Year")</f>
        <v>105078.76645</v>
      </c>
      <c r="C160" s="130">
        <f>IF(B160&gt;0,(RANK(B160,B$160:B$178)),0)</f>
        <v>5</v>
      </c>
      <c r="D160" s="62">
        <f>+GETPIVOTDATA(" Old Asc. avg",'Averages Pivot Table'!$A$3,"State","AL","Category",2,"Category2","Four-Year")</f>
        <v>77672.662505376342</v>
      </c>
      <c r="E160" s="130">
        <f>IF(D160&gt;0,(RANK(D160,D$160:D$178)),0)</f>
        <v>5</v>
      </c>
      <c r="F160" s="62">
        <f>+GETPIVOTDATA(" Old Ast. avg",'Averages Pivot Table'!$A$3,"State","AL","Category",2,"Category2","Four-Year")</f>
        <v>62166.204025581392</v>
      </c>
      <c r="G160" s="130">
        <f t="shared" ref="G160:G178" si="22">IF(F160&gt;0,(RANK(F160,F$160:F$178)),0)</f>
        <v>6</v>
      </c>
      <c r="H160" s="62">
        <f>+GETPIVOTDATA(" Old Inst. avg",'Averages Pivot Table'!$A$3,"State","AL","Category",2,"Category2","Four-Year")</f>
        <v>54054.545454545456</v>
      </c>
      <c r="I160" s="201">
        <f t="shared" ref="I160:I178" si="23">IF(H160&gt;0,(RANK(H160,H$160:H$178)),0)</f>
        <v>2</v>
      </c>
      <c r="J160" s="62">
        <f>+GETPIVOTDATA(" Old Undesg. avg",'Averages Pivot Table'!$A$3,"State","AL","Category",2,"Category2","Four-Year")</f>
        <v>42078.142843243244</v>
      </c>
      <c r="K160" s="130">
        <f t="shared" ref="K160:K178" si="24">IF(J160&gt;0,(RANK(J160,J$160:J$178)),0)</f>
        <v>8</v>
      </c>
      <c r="L160" s="62">
        <f>+GETPIVOTDATA(" Old All Ranks avg",'Averages Pivot Table'!$A$3,"State","AL","Category",2,"Category2","Four-Year")</f>
        <v>74941.678860066007</v>
      </c>
      <c r="M160" s="201">
        <f t="shared" ref="M160:M178" si="25">IF(L160&gt;0,(RANK(L160,L$160:L$178)),0)</f>
        <v>5</v>
      </c>
      <c r="N160" s="62"/>
      <c r="O160" s="212"/>
    </row>
    <row r="161" spans="1:15" ht="12.95" customHeight="1">
      <c r="A161" s="12" t="s">
        <v>440</v>
      </c>
      <c r="B161" s="62">
        <f>+GETPIVOTDATA(" Old Prof avg",'Averages Pivot Table'!$A$3,"State","AR","Category",2,"Category2","Four-Year")</f>
        <v>0</v>
      </c>
      <c r="C161" s="130">
        <f t="shared" ref="C161:E178" si="26">IF(B161&gt;0,(RANK(B161,B$160:B$178)),0)</f>
        <v>0</v>
      </c>
      <c r="D161" s="62">
        <f>+GETPIVOTDATA(" Old Asc. avg",'Averages Pivot Table'!$A$3,"State","AR","Category",2,"Category2","Four-Year")</f>
        <v>0</v>
      </c>
      <c r="E161" s="130">
        <f t="shared" si="26"/>
        <v>0</v>
      </c>
      <c r="F161" s="62">
        <f>+GETPIVOTDATA(" Old Ast. avg",'Averages Pivot Table'!$A$3,"State","AR","Category",2,"Category2","Four-Year")</f>
        <v>0</v>
      </c>
      <c r="G161" s="130">
        <f t="shared" si="22"/>
        <v>0</v>
      </c>
      <c r="H161" s="62">
        <f>+GETPIVOTDATA(" Old Inst. avg",'Averages Pivot Table'!$A$3,"State","AR","Category",2,"Category2","Four-Year")</f>
        <v>0</v>
      </c>
      <c r="I161" s="201">
        <f t="shared" si="23"/>
        <v>0</v>
      </c>
      <c r="J161" s="62">
        <f>+GETPIVOTDATA(" Old Undesg. avg",'Averages Pivot Table'!$A$3,"State","AR","Category",2,"Category2","Four-Year")</f>
        <v>0</v>
      </c>
      <c r="K161" s="130">
        <f t="shared" si="24"/>
        <v>0</v>
      </c>
      <c r="L161" s="62">
        <f>+GETPIVOTDATA(" Old All Ranks avg",'Averages Pivot Table'!$A$3,"State","AR","Category",2,"Category2","Four-Year")</f>
        <v>0</v>
      </c>
      <c r="M161" s="201">
        <f t="shared" si="25"/>
        <v>0</v>
      </c>
      <c r="N161" s="62"/>
      <c r="O161" s="212"/>
    </row>
    <row r="162" spans="1:15" ht="12.95" customHeight="1">
      <c r="A162" s="12" t="s">
        <v>455</v>
      </c>
      <c r="B162" s="62">
        <f>+GETPIVOTDATA(" Old Prof avg",'Averages Pivot Table'!$A$3,"State","DE","Category",2,"Category2","Four-Year")</f>
        <v>0</v>
      </c>
      <c r="C162" s="130">
        <f t="shared" si="26"/>
        <v>0</v>
      </c>
      <c r="D162" s="62">
        <f>+GETPIVOTDATA(" Old Asc. avg",'Averages Pivot Table'!$A$3,"State","DE","Category",2,"Category2","Four-Year")</f>
        <v>0</v>
      </c>
      <c r="E162" s="130">
        <f t="shared" si="26"/>
        <v>0</v>
      </c>
      <c r="F162" s="62">
        <f>+GETPIVOTDATA(" Old Ast. avg",'Averages Pivot Table'!$A$3,"State","DE","Category",2,"Category2","Four-Year")</f>
        <v>0</v>
      </c>
      <c r="G162" s="130">
        <f t="shared" si="22"/>
        <v>0</v>
      </c>
      <c r="H162" s="62">
        <f>+GETPIVOTDATA(" Old Inst. avg",'Averages Pivot Table'!$A$3,"State","DE","Category",2,"Category2","Four-Year")</f>
        <v>0</v>
      </c>
      <c r="I162" s="201">
        <f t="shared" si="23"/>
        <v>0</v>
      </c>
      <c r="J162" s="62">
        <f>+GETPIVOTDATA(" Old Undesg. avg",'Averages Pivot Table'!$A$3,"State","DE","Category",2,"Category2","Four-Year")</f>
        <v>0</v>
      </c>
      <c r="K162" s="130">
        <f t="shared" si="24"/>
        <v>0</v>
      </c>
      <c r="L162" s="62">
        <f>+GETPIVOTDATA(" Old All Ranks avg",'Averages Pivot Table'!$A$3,"State","DE","Category",2,"Category2","Four-Year")</f>
        <v>0</v>
      </c>
      <c r="M162" s="201">
        <f t="shared" si="25"/>
        <v>0</v>
      </c>
      <c r="N162" s="62"/>
      <c r="O162" s="212"/>
    </row>
    <row r="163" spans="1:15" ht="12.95" customHeight="1">
      <c r="A163" s="12" t="s">
        <v>441</v>
      </c>
      <c r="B163" s="62">
        <f>+GETPIVOTDATA(" Old Prof avg",'Averages Pivot Table'!$A$3,"State","FL","Category",2,"Category2","Four-Year")</f>
        <v>92222.822972292939</v>
      </c>
      <c r="C163" s="130">
        <f t="shared" si="26"/>
        <v>9</v>
      </c>
      <c r="D163" s="62">
        <f>+GETPIVOTDATA(" Old Asc. avg",'Averages Pivot Table'!$A$3,"State","FL","Category",2,"Category2","Four-Year")</f>
        <v>70942.851757450655</v>
      </c>
      <c r="E163" s="130">
        <f t="shared" si="26"/>
        <v>8</v>
      </c>
      <c r="F163" s="62">
        <f>+GETPIVOTDATA(" Old Ast. avg",'Averages Pivot Table'!$A$3,"State","FL","Category",2,"Category2","Four-Year")</f>
        <v>62075.278617638432</v>
      </c>
      <c r="G163" s="130">
        <f t="shared" si="22"/>
        <v>7</v>
      </c>
      <c r="H163" s="62">
        <f>+GETPIVOTDATA(" Old Inst. avg",'Averages Pivot Table'!$A$3,"State","FL","Category",2,"Category2","Four-Year")</f>
        <v>45227.150464946106</v>
      </c>
      <c r="I163" s="201">
        <f t="shared" si="23"/>
        <v>6</v>
      </c>
      <c r="J163" s="62">
        <f>+GETPIVOTDATA(" Old Undesg. avg",'Averages Pivot Table'!$A$3,"State","FL","Category",2,"Category2","Four-Year")</f>
        <v>58679.506411500006</v>
      </c>
      <c r="K163" s="130">
        <f t="shared" si="24"/>
        <v>3</v>
      </c>
      <c r="L163" s="62">
        <f>+GETPIVOTDATA(" Old All Ranks avg",'Averages Pivot Table'!$A$3,"State","FL","Category",2,"Category2","Four-Year")</f>
        <v>68760.949777424903</v>
      </c>
      <c r="M163" s="201">
        <f t="shared" si="25"/>
        <v>7</v>
      </c>
      <c r="N163" s="62"/>
      <c r="O163" s="212"/>
    </row>
    <row r="164" spans="1:15" ht="12.95" customHeight="1">
      <c r="A164" s="12"/>
      <c r="B164" s="62"/>
      <c r="C164" s="130">
        <f t="shared" si="26"/>
        <v>0</v>
      </c>
      <c r="D164" s="62"/>
      <c r="E164" s="130">
        <f t="shared" si="26"/>
        <v>0</v>
      </c>
      <c r="F164" s="62"/>
      <c r="G164" s="130">
        <f t="shared" si="22"/>
        <v>0</v>
      </c>
      <c r="H164" s="62"/>
      <c r="I164" s="201">
        <f t="shared" si="23"/>
        <v>0</v>
      </c>
      <c r="J164" s="62"/>
      <c r="K164" s="130">
        <f t="shared" si="24"/>
        <v>0</v>
      </c>
      <c r="L164" s="62"/>
      <c r="M164" s="201">
        <f t="shared" si="25"/>
        <v>0</v>
      </c>
      <c r="N164" s="62"/>
      <c r="O164" s="212"/>
    </row>
    <row r="165" spans="1:15" ht="12.95" customHeight="1">
      <c r="A165" s="12" t="s">
        <v>235</v>
      </c>
      <c r="B165" s="62">
        <f>+GETPIVOTDATA(" Old Prof avg",'Averages Pivot Table'!$A$3,"State","GA","Category",2,"Category2","Four-Year")</f>
        <v>140555.8193678392</v>
      </c>
      <c r="C165" s="130">
        <f t="shared" si="26"/>
        <v>1</v>
      </c>
      <c r="D165" s="62">
        <f>+GETPIVOTDATA(" Old Asc. avg",'Averages Pivot Table'!$A$3,"State","GA","Category",2,"Category2","Four-Year")</f>
        <v>95295.542560165966</v>
      </c>
      <c r="E165" s="130">
        <f t="shared" si="26"/>
        <v>1</v>
      </c>
      <c r="F165" s="62">
        <f>+GETPIVOTDATA(" Old Ast. avg",'Averages Pivot Table'!$A$3,"State","GA","Category",2,"Category2","Four-Year")</f>
        <v>85264</v>
      </c>
      <c r="G165" s="130">
        <f t="shared" si="22"/>
        <v>1</v>
      </c>
      <c r="H165" s="62">
        <f>+GETPIVOTDATA(" Old Inst. avg",'Averages Pivot Table'!$A$3,"State","GA","Category",2,"Category2","Four-Year")</f>
        <v>33762.976744186046</v>
      </c>
      <c r="I165" s="201">
        <f t="shared" si="23"/>
        <v>9</v>
      </c>
      <c r="J165" s="62">
        <f>+GETPIVOTDATA(" Old Undesg. avg",'Averages Pivot Table'!$A$3,"State","GA","Category",2,"Category2","Four-Year")</f>
        <v>67810.412901960794</v>
      </c>
      <c r="K165" s="130">
        <f t="shared" si="24"/>
        <v>2</v>
      </c>
      <c r="L165" s="62">
        <f>+GETPIVOTDATA(" Old All Ranks avg",'Averages Pivot Table'!$A$3,"State","GA","Category",2,"Category2","Four-Year")</f>
        <v>107062.63898098159</v>
      </c>
      <c r="M165" s="201">
        <f t="shared" si="25"/>
        <v>1</v>
      </c>
      <c r="N165" s="62"/>
      <c r="O165" s="212"/>
    </row>
    <row r="166" spans="1:15" ht="12.95" customHeight="1">
      <c r="A166" s="12" t="s">
        <v>443</v>
      </c>
      <c r="B166" s="62">
        <f>+GETPIVOTDATA(" Old Prof avg",'Averages Pivot Table'!$A$3,"State","KY","Category",2,"Category2","Four-Year")</f>
        <v>0</v>
      </c>
      <c r="C166" s="130">
        <f t="shared" si="26"/>
        <v>0</v>
      </c>
      <c r="D166" s="62">
        <f>+GETPIVOTDATA(" Old Asc. avg",'Averages Pivot Table'!$A$3,"State","KY","Category",2,"Category2","Four-Year")</f>
        <v>0</v>
      </c>
      <c r="E166" s="130">
        <f t="shared" si="26"/>
        <v>0</v>
      </c>
      <c r="F166" s="62">
        <f>+GETPIVOTDATA(" Old Ast. avg",'Averages Pivot Table'!$A$3,"State","KY","Category",2,"Category2","Four-Year")</f>
        <v>0</v>
      </c>
      <c r="G166" s="130">
        <f t="shared" si="22"/>
        <v>0</v>
      </c>
      <c r="H166" s="62">
        <f>+GETPIVOTDATA(" Old Inst. avg",'Averages Pivot Table'!$A$3,"State","KY","Category",2,"Category2","Four-Year")</f>
        <v>0</v>
      </c>
      <c r="I166" s="201">
        <f t="shared" si="23"/>
        <v>0</v>
      </c>
      <c r="J166" s="62">
        <f>+GETPIVOTDATA(" Old Undesg. avg",'Averages Pivot Table'!$A$3,"State","KY","Category",2,"Category2","Four-Year")</f>
        <v>0</v>
      </c>
      <c r="K166" s="130">
        <f t="shared" si="24"/>
        <v>0</v>
      </c>
      <c r="L166" s="62">
        <f>+GETPIVOTDATA(" Old All Ranks avg",'Averages Pivot Table'!$A$3,"State","KY","Category",2,"Category2","Four-Year")</f>
        <v>0</v>
      </c>
      <c r="M166" s="201">
        <f t="shared" si="25"/>
        <v>0</v>
      </c>
      <c r="N166" s="62"/>
      <c r="O166" s="212"/>
    </row>
    <row r="167" spans="1:15" ht="12.95" customHeight="1">
      <c r="A167" s="12" t="s">
        <v>444</v>
      </c>
      <c r="B167" s="62">
        <f>+GETPIVOTDATA(" Old Prof avg",'Averages Pivot Table'!$A$3,"State","LA","Category",2,"Category2","Four-Year")</f>
        <v>93054.029508215302</v>
      </c>
      <c r="C167" s="130">
        <f t="shared" si="26"/>
        <v>8</v>
      </c>
      <c r="D167" s="62">
        <f>+GETPIVOTDATA(" Old Asc. avg",'Averages Pivot Table'!$A$3,"State","LA","Category",2,"Category2","Four-Year")</f>
        <v>70345.243630538927</v>
      </c>
      <c r="E167" s="130">
        <f t="shared" si="26"/>
        <v>9</v>
      </c>
      <c r="F167" s="62">
        <f>+GETPIVOTDATA(" Old Ast. avg",'Averages Pivot Table'!$A$3,"State","LA","Category",2,"Category2","Four-Year")</f>
        <v>60476.623506234413</v>
      </c>
      <c r="G167" s="130">
        <f t="shared" si="22"/>
        <v>8</v>
      </c>
      <c r="H167" s="62">
        <f>+GETPIVOTDATA(" Old Inst. avg",'Averages Pivot Table'!$A$3,"State","LA","Category",2,"Category2","Four-Year")</f>
        <v>42931.320405047314</v>
      </c>
      <c r="I167" s="201">
        <f t="shared" si="23"/>
        <v>7</v>
      </c>
      <c r="J167" s="62">
        <f>+GETPIVOTDATA(" Old Undesg. avg",'Averages Pivot Table'!$A$3,"State","LA","Category",2,"Category2","Four-Year")</f>
        <v>51961.885714285716</v>
      </c>
      <c r="K167" s="130">
        <f t="shared" si="24"/>
        <v>5</v>
      </c>
      <c r="L167" s="62">
        <f>+GETPIVOTDATA(" Old All Ranks avg",'Averages Pivot Table'!$A$3,"State","LA","Category",2,"Category2","Four-Year")</f>
        <v>66682.225266249996</v>
      </c>
      <c r="M167" s="201">
        <f t="shared" si="25"/>
        <v>8</v>
      </c>
      <c r="N167" s="62"/>
      <c r="O167" s="212"/>
    </row>
    <row r="168" spans="1:15" ht="12.95" customHeight="1">
      <c r="A168" s="12" t="s">
        <v>445</v>
      </c>
      <c r="B168" s="62">
        <f>+GETPIVOTDATA(" Old Prof avg",'Averages Pivot Table'!$A$3,"State","MD","Category",2,"Category2","Four-Year")</f>
        <v>112937.61679183674</v>
      </c>
      <c r="C168" s="130">
        <f t="shared" si="26"/>
        <v>2</v>
      </c>
      <c r="D168" s="62">
        <f>+GETPIVOTDATA(" Old Asc. avg",'Averages Pivot Table'!$A$3,"State","MD","Category",2,"Category2","Four-Year")</f>
        <v>78265.737448648651</v>
      </c>
      <c r="E168" s="130">
        <f t="shared" si="26"/>
        <v>4</v>
      </c>
      <c r="F168" s="62">
        <f>+GETPIVOTDATA(" Old Ast. avg",'Averages Pivot Table'!$A$3,"State","MD","Category",2,"Category2","Four-Year")</f>
        <v>67309.511893495146</v>
      </c>
      <c r="G168" s="130">
        <f t="shared" si="22"/>
        <v>2</v>
      </c>
      <c r="H168" s="62">
        <f>+GETPIVOTDATA(" Old Inst. avg",'Averages Pivot Table'!$A$3,"State","MD","Category",2,"Category2","Four-Year")</f>
        <v>51297.281461538463</v>
      </c>
      <c r="I168" s="201">
        <f t="shared" si="23"/>
        <v>3</v>
      </c>
      <c r="J168" s="62">
        <f>+GETPIVOTDATA(" Old Undesg. avg",'Averages Pivot Table'!$A$3,"State","MD","Category",2,"Category2","Four-Year")</f>
        <v>52329.127927536232</v>
      </c>
      <c r="K168" s="130">
        <f t="shared" si="24"/>
        <v>4</v>
      </c>
      <c r="L168" s="62">
        <f>+GETPIVOTDATA(" Old All Ranks avg",'Averages Pivot Table'!$A$3,"State","MD","Category",2,"Category2","Four-Year")</f>
        <v>82074.193795479165</v>
      </c>
      <c r="M168" s="201">
        <f t="shared" si="25"/>
        <v>2</v>
      </c>
      <c r="N168" s="62"/>
      <c r="O168" s="212"/>
    </row>
    <row r="169" spans="1:15" ht="12.95" customHeight="1">
      <c r="A169" s="12"/>
      <c r="B169" s="62"/>
      <c r="C169" s="130">
        <f t="shared" si="26"/>
        <v>0</v>
      </c>
      <c r="D169" s="62"/>
      <c r="E169" s="130">
        <f t="shared" si="26"/>
        <v>0</v>
      </c>
      <c r="F169" s="62"/>
      <c r="G169" s="130">
        <f t="shared" si="22"/>
        <v>0</v>
      </c>
      <c r="H169" s="62"/>
      <c r="I169" s="201">
        <f t="shared" si="23"/>
        <v>0</v>
      </c>
      <c r="J169" s="62"/>
      <c r="K169" s="130">
        <f t="shared" si="24"/>
        <v>0</v>
      </c>
      <c r="L169" s="62"/>
      <c r="M169" s="201">
        <f t="shared" si="25"/>
        <v>0</v>
      </c>
      <c r="N169" s="62"/>
      <c r="O169" s="212"/>
    </row>
    <row r="170" spans="1:15" ht="12.95" customHeight="1">
      <c r="A170" s="12" t="s">
        <v>446</v>
      </c>
      <c r="B170" s="62">
        <f>+GETPIVOTDATA(" Old Prof avg",'Averages Pivot Table'!$A$3,"State","MS","Category",2,"Category2","Four-Year")</f>
        <v>95277.344485957452</v>
      </c>
      <c r="C170" s="130">
        <f t="shared" si="26"/>
        <v>7</v>
      </c>
      <c r="D170" s="62">
        <f>+GETPIVOTDATA(" Old Asc. avg",'Averages Pivot Table'!$A$3,"State","MS","Category",2,"Category2","Four-Year")</f>
        <v>70970.972759075899</v>
      </c>
      <c r="E170" s="130">
        <f t="shared" si="26"/>
        <v>7</v>
      </c>
      <c r="F170" s="62">
        <f>+GETPIVOTDATA(" Old Ast. avg",'Averages Pivot Table'!$A$3,"State","MS","Category",2,"Category2","Four-Year")</f>
        <v>58812.520712432437</v>
      </c>
      <c r="G170" s="130">
        <f t="shared" si="22"/>
        <v>9</v>
      </c>
      <c r="H170" s="62">
        <f>+GETPIVOTDATA(" Old Inst. avg",'Averages Pivot Table'!$A$3,"State","MS","Category",2,"Category2","Four-Year")</f>
        <v>38023.690722279789</v>
      </c>
      <c r="I170" s="201">
        <f t="shared" si="23"/>
        <v>8</v>
      </c>
      <c r="J170" s="62">
        <f>+GETPIVOTDATA(" Old Undesg. avg",'Averages Pivot Table'!$A$3,"State","MS","Category",2,"Category2","Four-Year")</f>
        <v>35463.919066666669</v>
      </c>
      <c r="K170" s="130">
        <f t="shared" si="24"/>
        <v>9</v>
      </c>
      <c r="L170" s="62">
        <f>+GETPIVOTDATA(" Old All Ranks avg",'Averages Pivot Table'!$A$3,"State","MS","Category",2,"Category2","Four-Year")</f>
        <v>65720.434914081998</v>
      </c>
      <c r="M170" s="201">
        <f t="shared" si="25"/>
        <v>9</v>
      </c>
      <c r="N170" s="62"/>
      <c r="O170" s="212"/>
    </row>
    <row r="171" spans="1:15" ht="12.95" customHeight="1">
      <c r="A171" s="12" t="s">
        <v>447</v>
      </c>
      <c r="B171" s="62">
        <f>+GETPIVOTDATA(" Old Prof avg",'Averages Pivot Table'!$A$3,"State","NC","Category",2,"Category2","Four-Year")</f>
        <v>109599.00862268041</v>
      </c>
      <c r="C171" s="130">
        <f t="shared" si="26"/>
        <v>4</v>
      </c>
      <c r="D171" s="62">
        <f>+GETPIVOTDATA(" Old Asc. avg",'Averages Pivot Table'!$A$3,"State","NC","Category",2,"Category2","Four-Year")</f>
        <v>80231.359370703125</v>
      </c>
      <c r="E171" s="130">
        <f t="shared" si="26"/>
        <v>2</v>
      </c>
      <c r="F171" s="62">
        <f>+GETPIVOTDATA(" Old Ast. avg",'Averages Pivot Table'!$A$3,"State","NC","Category",2,"Category2","Four-Year")</f>
        <v>67216.233712871297</v>
      </c>
      <c r="G171" s="130">
        <f t="shared" si="22"/>
        <v>3</v>
      </c>
      <c r="H171" s="62">
        <f>+GETPIVOTDATA(" Old Inst. avg",'Averages Pivot Table'!$A$3,"State","NC","Category",2,"Category2","Four-Year")</f>
        <v>55604.957447457629</v>
      </c>
      <c r="I171" s="201">
        <f t="shared" si="23"/>
        <v>1</v>
      </c>
      <c r="J171" s="62">
        <f>+GETPIVOTDATA(" Old Undesg. avg",'Averages Pivot Table'!$A$3,"State","NC","Category",2,"Category2","Four-Year")</f>
        <v>47630.000750793646</v>
      </c>
      <c r="K171" s="130">
        <f t="shared" si="24"/>
        <v>7</v>
      </c>
      <c r="L171" s="62">
        <f>+GETPIVOTDATA(" Old All Ranks avg",'Averages Pivot Table'!$A$3,"State","NC","Category",2,"Category2","Four-Year")</f>
        <v>75843.229486846642</v>
      </c>
      <c r="M171" s="201">
        <f t="shared" si="25"/>
        <v>4</v>
      </c>
      <c r="N171" s="62"/>
      <c r="O171" s="212"/>
    </row>
    <row r="172" spans="1:15" ht="12.95" customHeight="1">
      <c r="A172" s="12" t="s">
        <v>448</v>
      </c>
      <c r="B172" s="62">
        <f>+GETPIVOTDATA(" Old Prof avg",'Averages Pivot Table'!$A$3,"State","OK","Category",2,"Category2","Four-Year")</f>
        <v>0</v>
      </c>
      <c r="C172" s="130">
        <f t="shared" si="26"/>
        <v>0</v>
      </c>
      <c r="D172" s="62">
        <f>+GETPIVOTDATA(" Old Asc. avg",'Averages Pivot Table'!$A$3,"State","OK","Category",2,"Category2","Four-Year")</f>
        <v>0</v>
      </c>
      <c r="E172" s="130">
        <f t="shared" si="26"/>
        <v>0</v>
      </c>
      <c r="F172" s="62">
        <f>+GETPIVOTDATA(" Old Ast. avg",'Averages Pivot Table'!$A$3,"State","OK","Category",2,"Category2","Four-Year")</f>
        <v>0</v>
      </c>
      <c r="G172" s="130">
        <f t="shared" si="22"/>
        <v>0</v>
      </c>
      <c r="H172" s="62">
        <f>+GETPIVOTDATA(" Old Inst. avg",'Averages Pivot Table'!$A$3,"State","OK","Category",2,"Category2","Four-Year")</f>
        <v>0</v>
      </c>
      <c r="I172" s="201">
        <f t="shared" si="23"/>
        <v>0</v>
      </c>
      <c r="J172" s="62">
        <f>+GETPIVOTDATA(" Old Undesg. avg",'Averages Pivot Table'!$A$3,"State","OK","Category",2,"Category2","Four-Year")</f>
        <v>0</v>
      </c>
      <c r="K172" s="130">
        <f t="shared" si="24"/>
        <v>0</v>
      </c>
      <c r="L172" s="62">
        <f>+GETPIVOTDATA(" Old All Ranks avg",'Averages Pivot Table'!$A$3,"State","OK","Category",2,"Category2","Four-Year")</f>
        <v>0</v>
      </c>
      <c r="M172" s="201">
        <f t="shared" si="25"/>
        <v>0</v>
      </c>
      <c r="N172" s="62"/>
      <c r="O172" s="212"/>
    </row>
    <row r="173" spans="1:15" ht="12.95" customHeight="1">
      <c r="A173" s="12" t="s">
        <v>449</v>
      </c>
      <c r="B173" s="62">
        <f>+GETPIVOTDATA(" Old Prof avg",'Averages Pivot Table'!$A$3,"State","SC","Category",2,"Category2","Four-Year")</f>
        <v>0</v>
      </c>
      <c r="C173" s="130">
        <f t="shared" si="26"/>
        <v>0</v>
      </c>
      <c r="D173" s="62">
        <f>+GETPIVOTDATA(" Old Asc. avg",'Averages Pivot Table'!$A$3,"State","SC","Category",2,"Category2","Four-Year")</f>
        <v>0</v>
      </c>
      <c r="E173" s="130">
        <f t="shared" si="26"/>
        <v>0</v>
      </c>
      <c r="F173" s="62">
        <f>+GETPIVOTDATA(" Old Ast. avg",'Averages Pivot Table'!$A$3,"State","SC","Category",2,"Category2","Four-Year")</f>
        <v>0</v>
      </c>
      <c r="G173" s="130">
        <f t="shared" si="22"/>
        <v>0</v>
      </c>
      <c r="H173" s="62">
        <f>+GETPIVOTDATA(" Old Inst. avg",'Averages Pivot Table'!$A$3,"State","SC","Category",2,"Category2","Four-Year")</f>
        <v>0</v>
      </c>
      <c r="I173" s="201">
        <f t="shared" si="23"/>
        <v>0</v>
      </c>
      <c r="J173" s="62">
        <f>+GETPIVOTDATA(" Old Undesg. avg",'Averages Pivot Table'!$A$3,"State","SC","Category",2,"Category2","Four-Year")</f>
        <v>0</v>
      </c>
      <c r="K173" s="130">
        <f t="shared" si="24"/>
        <v>0</v>
      </c>
      <c r="L173" s="62">
        <f>+GETPIVOTDATA(" Old All Ranks avg",'Averages Pivot Table'!$A$3,"State","SC","Category",2,"Category2","Four-Year")</f>
        <v>0</v>
      </c>
      <c r="M173" s="201">
        <f t="shared" si="25"/>
        <v>0</v>
      </c>
      <c r="N173" s="62"/>
      <c r="O173" s="212"/>
    </row>
    <row r="174" spans="1:15" ht="12.95" customHeight="1">
      <c r="A174" s="12"/>
      <c r="B174" s="62"/>
      <c r="C174" s="130">
        <f t="shared" si="26"/>
        <v>0</v>
      </c>
      <c r="D174" s="62"/>
      <c r="E174" s="130">
        <f t="shared" si="26"/>
        <v>0</v>
      </c>
      <c r="F174" s="62"/>
      <c r="G174" s="130">
        <f t="shared" si="22"/>
        <v>0</v>
      </c>
      <c r="H174" s="62"/>
      <c r="I174" s="201">
        <f t="shared" si="23"/>
        <v>0</v>
      </c>
      <c r="J174" s="62"/>
      <c r="K174" s="130">
        <f t="shared" si="24"/>
        <v>0</v>
      </c>
      <c r="L174" s="62"/>
      <c r="M174" s="201">
        <f t="shared" si="25"/>
        <v>0</v>
      </c>
      <c r="N174" s="62"/>
      <c r="O174" s="212"/>
    </row>
    <row r="175" spans="1:15" ht="12.95" customHeight="1">
      <c r="A175" s="12" t="s">
        <v>450</v>
      </c>
      <c r="B175" s="129">
        <f>+GETPIVOTDATA(" Old Prof avg",'Averages Pivot Table'!$A$3,"State","TN","Category",2,"Category2","Four-Year")</f>
        <v>0</v>
      </c>
      <c r="C175" s="130">
        <f t="shared" si="26"/>
        <v>0</v>
      </c>
      <c r="D175" s="129">
        <f>+GETPIVOTDATA(" Old Asc. avg",'Averages Pivot Table'!$A$3,"State","TN","Category",2,"Category2","Four-Year")</f>
        <v>0</v>
      </c>
      <c r="E175" s="130">
        <f t="shared" si="26"/>
        <v>0</v>
      </c>
      <c r="F175" s="129">
        <f>+GETPIVOTDATA(" Old Ast. avg",'Averages Pivot Table'!$A$3,"State","TN","Category",2,"Category2","Four-Year")</f>
        <v>0</v>
      </c>
      <c r="G175" s="130">
        <f t="shared" si="22"/>
        <v>0</v>
      </c>
      <c r="H175" s="129">
        <f>+GETPIVOTDATA(" Old Inst. avg",'Averages Pivot Table'!$A$3,"State","TN","Category",2,"Category2","Four-Year")</f>
        <v>0</v>
      </c>
      <c r="I175" s="201">
        <f t="shared" si="23"/>
        <v>0</v>
      </c>
      <c r="J175" s="129">
        <f>+GETPIVOTDATA(" Old Undesg. avg",'Averages Pivot Table'!$A$3,"State","TN","Category",2,"Category2","Four-Year")</f>
        <v>0</v>
      </c>
      <c r="K175" s="130">
        <f t="shared" si="24"/>
        <v>0</v>
      </c>
      <c r="L175" s="129">
        <f>+GETPIVOTDATA(" Old All Ranks avg",'Averages Pivot Table'!$A$3,"State","TN","Category",2,"Category2","Four-Year")</f>
        <v>0</v>
      </c>
      <c r="M175" s="201">
        <f t="shared" si="25"/>
        <v>0</v>
      </c>
      <c r="N175" s="62"/>
      <c r="O175" s="212"/>
    </row>
    <row r="176" spans="1:15" ht="12.95" customHeight="1">
      <c r="A176" s="12" t="s">
        <v>451</v>
      </c>
      <c r="B176" s="129">
        <f>+GETPIVOTDATA(" Old Prof avg",'Averages Pivot Table'!$A$3,"State","TX","Category",2,"Category2","Four-Year")</f>
        <v>103924.24456521739</v>
      </c>
      <c r="C176" s="130">
        <f t="shared" si="26"/>
        <v>6</v>
      </c>
      <c r="D176" s="129">
        <f>+GETPIVOTDATA(" Old Asc. avg",'Averages Pivot Table'!$A$3,"State","TX","Category",2,"Category2","Four-Year")</f>
        <v>77482.389755011129</v>
      </c>
      <c r="E176" s="130">
        <f t="shared" si="26"/>
        <v>6</v>
      </c>
      <c r="F176" s="129">
        <f>+GETPIVOTDATA(" Old Ast. avg",'Averages Pivot Table'!$A$3,"State","TX","Category",2,"Category2","Four-Year")</f>
        <v>65535.695464362849</v>
      </c>
      <c r="G176" s="130">
        <f t="shared" si="22"/>
        <v>4</v>
      </c>
      <c r="H176" s="129">
        <f>+GETPIVOTDATA(" Old Inst. avg",'Averages Pivot Table'!$A$3,"State","TX","Category",2,"Category2","Four-Year")</f>
        <v>50134.5</v>
      </c>
      <c r="I176" s="201">
        <f t="shared" si="23"/>
        <v>4</v>
      </c>
      <c r="J176" s="129">
        <f>+GETPIVOTDATA(" Old Undesg. avg",'Averages Pivot Table'!$A$3,"State","TX","Category",2,"Category2","Four-Year")</f>
        <v>48761.276150627615</v>
      </c>
      <c r="K176" s="130">
        <f t="shared" si="24"/>
        <v>6</v>
      </c>
      <c r="L176" s="129">
        <f>+GETPIVOTDATA(" Old All Ranks avg",'Averages Pivot Table'!$A$3,"State","TX","Category",2,"Category2","Four-Year")</f>
        <v>71913.133333333331</v>
      </c>
      <c r="M176" s="201">
        <f t="shared" si="25"/>
        <v>6</v>
      </c>
      <c r="N176" s="62"/>
      <c r="O176" s="212"/>
    </row>
    <row r="177" spans="1:19" ht="12.95" customHeight="1">
      <c r="A177" s="12" t="s">
        <v>452</v>
      </c>
      <c r="B177" s="129">
        <f>+GETPIVOTDATA(" Old Prof avg",'Averages Pivot Table'!$A$3,"State","VA","Category",2,"Category2","Four-Year")</f>
        <v>111853.59765945945</v>
      </c>
      <c r="C177" s="130">
        <f t="shared" si="26"/>
        <v>3</v>
      </c>
      <c r="D177" s="129">
        <f>+GETPIVOTDATA(" Old Asc. avg",'Averages Pivot Table'!$A$3,"State","VA","Category",2,"Category2","Four-Year")</f>
        <v>79828.073854183269</v>
      </c>
      <c r="E177" s="130">
        <f t="shared" si="26"/>
        <v>3</v>
      </c>
      <c r="F177" s="129">
        <f>+GETPIVOTDATA(" Old Ast. avg",'Averages Pivot Table'!$A$3,"State","VA","Category",2,"Category2","Four-Year")</f>
        <v>64296.518122630565</v>
      </c>
      <c r="G177" s="130">
        <f t="shared" si="22"/>
        <v>5</v>
      </c>
      <c r="H177" s="129">
        <f>+GETPIVOTDATA(" Old Inst. avg",'Averages Pivot Table'!$A$3,"State","VA","Category",2,"Category2","Four-Year")</f>
        <v>47324.746737288137</v>
      </c>
      <c r="I177" s="201">
        <f t="shared" si="23"/>
        <v>5</v>
      </c>
      <c r="J177" s="129">
        <f>+GETPIVOTDATA(" Old Undesg. avg",'Averages Pivot Table'!$A$3,"State","VA","Category",2,"Category2","Four-Year")</f>
        <v>67950</v>
      </c>
      <c r="K177" s="130">
        <f t="shared" si="24"/>
        <v>1</v>
      </c>
      <c r="L177" s="129">
        <f>+GETPIVOTDATA(" Old All Ranks avg",'Averages Pivot Table'!$A$3,"State","VA","Category",2,"Category2","Four-Year")</f>
        <v>78891.825942071388</v>
      </c>
      <c r="M177" s="201">
        <f t="shared" si="25"/>
        <v>3</v>
      </c>
      <c r="N177" s="62"/>
      <c r="O177" s="212"/>
    </row>
    <row r="178" spans="1:19" ht="12.95" customHeight="1">
      <c r="A178" s="11" t="s">
        <v>453</v>
      </c>
      <c r="B178" s="64">
        <f>+GETPIVOTDATA(" Old Prof avg",'Averages Pivot Table'!$A$3,"State","WV","Category",2,"Category2","Four-Year")</f>
        <v>0</v>
      </c>
      <c r="C178" s="65">
        <f t="shared" si="26"/>
        <v>0</v>
      </c>
      <c r="D178" s="64">
        <f>+GETPIVOTDATA(" Old Asc. avg",'Averages Pivot Table'!$A$3,"State","WV","Category",2,"Category2","Four-Year")</f>
        <v>0</v>
      </c>
      <c r="E178" s="65">
        <f t="shared" si="26"/>
        <v>0</v>
      </c>
      <c r="F178" s="64">
        <f>+GETPIVOTDATA(" Old Ast. avg",'Averages Pivot Table'!$A$3,"State","WV","Category",2,"Category2","Four-Year")</f>
        <v>0</v>
      </c>
      <c r="G178" s="65">
        <f t="shared" si="22"/>
        <v>0</v>
      </c>
      <c r="H178" s="64">
        <f>+GETPIVOTDATA(" Old Inst. avg",'Averages Pivot Table'!$A$3,"State","WV","Category",2,"Category2","Four-Year")</f>
        <v>0</v>
      </c>
      <c r="I178" s="202">
        <f t="shared" si="23"/>
        <v>0</v>
      </c>
      <c r="J178" s="64">
        <f>+GETPIVOTDATA(" Old Undesg. avg",'Averages Pivot Table'!$A$3,"State","WV","Category",2,"Category2","Four-Year")</f>
        <v>0</v>
      </c>
      <c r="K178" s="65">
        <f t="shared" si="24"/>
        <v>0</v>
      </c>
      <c r="L178" s="64">
        <f>+GETPIVOTDATA(" Old All Ranks avg",'Averages Pivot Table'!$A$3,"State","WV","Category",2,"Category2","Four-Year")</f>
        <v>0</v>
      </c>
      <c r="M178" s="202">
        <f t="shared" si="25"/>
        <v>0</v>
      </c>
      <c r="N178" s="62"/>
      <c r="O178" s="209"/>
    </row>
    <row r="179" spans="1:19" ht="30" customHeight="1">
      <c r="A179" s="629" t="s">
        <v>323</v>
      </c>
      <c r="B179" s="633"/>
      <c r="C179" s="633"/>
      <c r="D179" s="633"/>
      <c r="E179" s="633"/>
      <c r="F179" s="633"/>
      <c r="G179" s="633"/>
      <c r="H179" s="633"/>
      <c r="I179" s="633"/>
      <c r="J179" s="633"/>
      <c r="K179" s="633"/>
      <c r="L179" s="633"/>
      <c r="M179" s="633"/>
      <c r="N179" s="12"/>
      <c r="O179" s="215"/>
    </row>
    <row r="180" spans="1:19">
      <c r="M180" s="244" t="s">
        <v>1166</v>
      </c>
      <c r="O180" s="214"/>
    </row>
    <row r="181" spans="1:19" ht="18">
      <c r="A181" s="618" t="s">
        <v>782</v>
      </c>
      <c r="B181" s="618"/>
      <c r="C181" s="618"/>
      <c r="D181" s="618"/>
      <c r="E181" s="618"/>
      <c r="F181" s="618"/>
      <c r="G181" s="618"/>
      <c r="H181" s="618"/>
      <c r="I181" s="618"/>
      <c r="J181" s="618"/>
      <c r="K181" s="618"/>
      <c r="L181" s="618"/>
      <c r="M181" s="618"/>
      <c r="N181" s="167"/>
      <c r="O181" s="166"/>
    </row>
    <row r="182" spans="1:19">
      <c r="A182" s="12"/>
      <c r="B182" s="5"/>
      <c r="C182" s="5"/>
      <c r="D182" s="5"/>
      <c r="E182" s="5"/>
      <c r="F182" s="5"/>
      <c r="G182" s="5"/>
      <c r="H182" s="5"/>
      <c r="I182" s="159"/>
      <c r="J182" s="5"/>
      <c r="K182" s="5"/>
      <c r="L182" s="5"/>
      <c r="M182" s="159"/>
      <c r="N182" s="5"/>
      <c r="O182" s="159"/>
    </row>
    <row r="183" spans="1:19">
      <c r="A183" s="619" t="s">
        <v>454</v>
      </c>
      <c r="B183" s="619"/>
      <c r="C183" s="619"/>
      <c r="D183" s="619"/>
      <c r="E183" s="619"/>
      <c r="F183" s="619"/>
      <c r="G183" s="619"/>
      <c r="H183" s="619"/>
      <c r="I183" s="619"/>
      <c r="J183" s="619"/>
      <c r="K183" s="619"/>
      <c r="L183" s="619"/>
      <c r="M183" s="619"/>
      <c r="N183" s="177"/>
      <c r="O183" s="211"/>
    </row>
    <row r="184" spans="1:19">
      <c r="A184" s="619" t="s">
        <v>761</v>
      </c>
      <c r="B184" s="619"/>
      <c r="C184" s="619"/>
      <c r="D184" s="619"/>
      <c r="E184" s="619"/>
      <c r="F184" s="619"/>
      <c r="G184" s="619"/>
      <c r="H184" s="619"/>
      <c r="I184" s="619"/>
      <c r="J184" s="619"/>
      <c r="K184" s="619"/>
      <c r="L184" s="619"/>
      <c r="M184" s="619"/>
      <c r="N184" s="177"/>
      <c r="O184" s="211"/>
    </row>
    <row r="185" spans="1:19">
      <c r="A185" s="5"/>
      <c r="B185" s="5"/>
      <c r="C185" s="5"/>
      <c r="D185" s="5"/>
      <c r="E185" s="5"/>
      <c r="F185" s="5"/>
      <c r="G185" s="5"/>
      <c r="H185" s="5"/>
      <c r="I185" s="159"/>
      <c r="J185" s="5"/>
      <c r="K185" s="5"/>
      <c r="L185" s="5"/>
      <c r="M185" s="159"/>
      <c r="N185" s="143"/>
      <c r="O185" s="219"/>
    </row>
    <row r="186" spans="1:19" ht="31.5" customHeight="1">
      <c r="A186" s="15"/>
      <c r="B186" s="21" t="s">
        <v>332</v>
      </c>
      <c r="C186" s="22"/>
      <c r="D186" s="141" t="s">
        <v>333</v>
      </c>
      <c r="E186" s="142"/>
      <c r="F186" s="141" t="s">
        <v>334</v>
      </c>
      <c r="G186" s="142"/>
      <c r="H186" s="21" t="s">
        <v>335</v>
      </c>
      <c r="I186" s="225"/>
      <c r="J186" s="141" t="s">
        <v>461</v>
      </c>
      <c r="K186" s="142"/>
      <c r="L186" s="22" t="s">
        <v>316</v>
      </c>
      <c r="M186" s="225"/>
      <c r="N186" s="63" t="s">
        <v>457</v>
      </c>
      <c r="O186" s="212"/>
    </row>
    <row r="187" spans="1:19">
      <c r="A187" s="16"/>
      <c r="B187" s="19" t="s">
        <v>336</v>
      </c>
      <c r="C187" s="18" t="s">
        <v>427</v>
      </c>
      <c r="D187" s="19" t="s">
        <v>336</v>
      </c>
      <c r="E187" s="18" t="s">
        <v>427</v>
      </c>
      <c r="F187" s="19" t="s">
        <v>336</v>
      </c>
      <c r="G187" s="18" t="s">
        <v>427</v>
      </c>
      <c r="H187" s="19" t="s">
        <v>336</v>
      </c>
      <c r="I187" s="226" t="s">
        <v>427</v>
      </c>
      <c r="J187" s="19" t="s">
        <v>336</v>
      </c>
      <c r="K187" s="18" t="s">
        <v>427</v>
      </c>
      <c r="L187" s="19" t="s">
        <v>336</v>
      </c>
      <c r="M187" s="226" t="s">
        <v>427</v>
      </c>
      <c r="N187" s="132" t="s">
        <v>457</v>
      </c>
      <c r="O187" s="220"/>
    </row>
    <row r="188" spans="1:19" s="156" customFormat="1" ht="18" customHeight="1">
      <c r="A188" s="168" t="s">
        <v>456</v>
      </c>
      <c r="B188" s="172">
        <f>+GETPIVOTDATA(" Old Prof avg",'Averages Pivot Table'!$A$3,"Category",3,"Category2","Four-Year")</f>
        <v>83427.700555111194</v>
      </c>
      <c r="C188" s="172"/>
      <c r="D188" s="172">
        <f>+GETPIVOTDATA(" Old Asc. avg",'Averages Pivot Table'!$A$3,"Category",3,"Category2","Four-Year")</f>
        <v>67393.498990695924</v>
      </c>
      <c r="E188" s="172"/>
      <c r="F188" s="172">
        <f>+GETPIVOTDATA(" Old Ast. avg",'Averages Pivot Table'!$A$3,"Category",3,"Category2","Four-Year")</f>
        <v>57244.093087563822</v>
      </c>
      <c r="G188" s="172"/>
      <c r="H188" s="172">
        <f>+GETPIVOTDATA(" Old Inst. avg",'Averages Pivot Table'!$A$3,"Category",3,"Category2","Four-Year")</f>
        <v>43444.315383322217</v>
      </c>
      <c r="I188" s="229"/>
      <c r="J188" s="172">
        <f>+GETPIVOTDATA(" Old Undesg. avg",'Averages Pivot Table'!$A$3,"Category",3,"Category2","Four-Year")</f>
        <v>46994.278014894109</v>
      </c>
      <c r="K188" s="172"/>
      <c r="L188" s="172">
        <f>+GETPIVOTDATA(" Old All Ranks avg",'Averages Pivot Table'!$A$3,"Category",3,"Category2","Four-Year")</f>
        <v>63167.617887218912</v>
      </c>
      <c r="M188" s="232"/>
      <c r="N188" s="169"/>
      <c r="O188" s="221"/>
      <c r="Q188" s="193"/>
      <c r="R188" s="193"/>
      <c r="S188" s="193"/>
    </row>
    <row r="189" spans="1:19" ht="12.95" customHeight="1">
      <c r="A189" s="12"/>
      <c r="B189" s="9"/>
      <c r="C189" s="17"/>
      <c r="D189" s="9"/>
      <c r="E189" s="17"/>
      <c r="F189" s="9"/>
      <c r="G189" s="17"/>
      <c r="H189" s="9"/>
      <c r="I189" s="233"/>
      <c r="J189" s="9"/>
      <c r="K189" s="17"/>
      <c r="L189" s="9"/>
      <c r="M189" s="233"/>
      <c r="N189" s="139"/>
      <c r="O189" s="222"/>
    </row>
    <row r="190" spans="1:19" ht="12.95" customHeight="1">
      <c r="A190" s="12" t="s">
        <v>439</v>
      </c>
      <c r="B190" s="62">
        <f>+GETPIVOTDATA(" Old Prof avg",'Averages Pivot Table'!$A$3,"State","AL","Category",3,"Category2","Four-Year")</f>
        <v>81706.819965060233</v>
      </c>
      <c r="C190" s="130">
        <f t="shared" ref="C190:C208" si="27">IF(B190&gt;0,(RANK(B190,B$190:B$208)),0)</f>
        <v>6</v>
      </c>
      <c r="D190" s="62">
        <f>+GETPIVOTDATA(" Old Asc. avg",'Averages Pivot Table'!$A$3,"State","AL","Category",3,"Category2","Four-Year")</f>
        <v>65135.478459550563</v>
      </c>
      <c r="E190" s="130">
        <f>IF(D190&gt;0,(RANK(D190,D$190:D$208)),0)</f>
        <v>7</v>
      </c>
      <c r="F190" s="62">
        <f>+GETPIVOTDATA(" Old Ast. avg",'Averages Pivot Table'!$A$3,"State","AL","Category",3,"Category2","Four-Year")</f>
        <v>55269.023699615384</v>
      </c>
      <c r="G190" s="130">
        <f>IF(F190&gt;0,(RANK(F190,F$190:F$208)),0)</f>
        <v>8</v>
      </c>
      <c r="H190" s="62">
        <f>+GETPIVOTDATA(" Old Inst. avg",'Averages Pivot Table'!$A$3,"State","AL","Category",3,"Category2","Four-Year")</f>
        <v>44959.924382962963</v>
      </c>
      <c r="I190" s="201">
        <f t="shared" ref="I190:I208" si="28">IF(H190&gt;0,(RANK(H190,H$190:H$208)),0)</f>
        <v>7</v>
      </c>
      <c r="J190" s="62">
        <f>+GETPIVOTDATA(" Old Undesg. avg",'Averages Pivot Table'!$A$3,"State","AL","Category",3,"Category2","Four-Year")</f>
        <v>40147.37350697675</v>
      </c>
      <c r="K190" s="130">
        <f t="shared" ref="K190:K208" si="29">IF(J190&gt;0,(RANK(J190,J$190:J$208)),0)</f>
        <v>8</v>
      </c>
      <c r="L190" s="62">
        <f>+GETPIVOTDATA(" Old All Ranks avg",'Averages Pivot Table'!$A$3,"State","AL","Category",3,"Category2","Four-Year")</f>
        <v>61091.586803418802</v>
      </c>
      <c r="M190" s="201">
        <f t="shared" ref="M190:M208" si="30">IF(L190&gt;0,(RANK(L190,L$190:L$208)),0)</f>
        <v>7</v>
      </c>
      <c r="N190" s="129"/>
      <c r="O190" s="201"/>
    </row>
    <row r="191" spans="1:19" ht="12.95" customHeight="1">
      <c r="A191" s="12" t="s">
        <v>440</v>
      </c>
      <c r="B191" s="62">
        <f>+GETPIVOTDATA(" Old Prof avg",'Averages Pivot Table'!$A$3,"State","AR","Category",3,"Category2","Four-Year")</f>
        <v>77853.987860182373</v>
      </c>
      <c r="C191" s="130">
        <f t="shared" si="27"/>
        <v>10</v>
      </c>
      <c r="D191" s="62">
        <f>+GETPIVOTDATA(" Old Asc. avg",'Averages Pivot Table'!$A$3,"State","AR","Category",3,"Category2","Four-Year")</f>
        <v>63063.139910364145</v>
      </c>
      <c r="E191" s="130">
        <f t="shared" ref="E191:G208" si="31">IF(D191&gt;0,(RANK(D191,D$190:D$208)),0)</f>
        <v>11</v>
      </c>
      <c r="F191" s="62">
        <f>+GETPIVOTDATA(" Old Ast. avg",'Averages Pivot Table'!$A$3,"State","AR","Category",3,"Category2","Four-Year")</f>
        <v>52931.165151101319</v>
      </c>
      <c r="G191" s="130">
        <f t="shared" si="31"/>
        <v>12</v>
      </c>
      <c r="H191" s="62">
        <f>+GETPIVOTDATA(" Old Inst. avg",'Averages Pivot Table'!$A$3,"State","AR","Category",3,"Category2","Four-Year")</f>
        <v>39257.024521172643</v>
      </c>
      <c r="I191" s="201">
        <f t="shared" si="28"/>
        <v>12</v>
      </c>
      <c r="J191" s="62">
        <f>+GETPIVOTDATA(" Old Undesg. avg",'Averages Pivot Table'!$A$3,"State","AR","Category",3,"Category2","Four-Year")</f>
        <v>31972.619271910113</v>
      </c>
      <c r="K191" s="130">
        <f t="shared" si="29"/>
        <v>10</v>
      </c>
      <c r="L191" s="62">
        <f>+GETPIVOTDATA(" Old All Ranks avg",'Averages Pivot Table'!$A$3,"State","AR","Category",3,"Category2","Four-Year")</f>
        <v>56676.902067578128</v>
      </c>
      <c r="M191" s="201">
        <f t="shared" si="30"/>
        <v>14</v>
      </c>
      <c r="N191" s="129"/>
      <c r="O191" s="201"/>
    </row>
    <row r="192" spans="1:19" ht="12.95" customHeight="1">
      <c r="A192" s="12" t="s">
        <v>455</v>
      </c>
      <c r="B192" s="62">
        <f>+GETPIVOTDATA(" Old Prof avg",'Averages Pivot Table'!$A$3,"State","DE","Category",3,"Category2","Four-Year")</f>
        <v>0</v>
      </c>
      <c r="C192" s="130">
        <f t="shared" si="27"/>
        <v>0</v>
      </c>
      <c r="D192" s="62">
        <f>+GETPIVOTDATA(" Old Asc. avg",'Averages Pivot Table'!$A$3,"State","DE","Category",3,"Category2","Four-Year")</f>
        <v>0</v>
      </c>
      <c r="E192" s="130">
        <f t="shared" si="31"/>
        <v>0</v>
      </c>
      <c r="F192" s="62">
        <f>+GETPIVOTDATA(" Old Ast. avg",'Averages Pivot Table'!$A$3,"State","DE","Category",3,"Category2","Four-Year")</f>
        <v>0</v>
      </c>
      <c r="G192" s="130">
        <f t="shared" si="31"/>
        <v>0</v>
      </c>
      <c r="H192" s="62">
        <f>+GETPIVOTDATA(" Old Inst. avg",'Averages Pivot Table'!$A$3,"State","DE","Category",3,"Category2","Four-Year")</f>
        <v>0</v>
      </c>
      <c r="I192" s="201">
        <f t="shared" si="28"/>
        <v>0</v>
      </c>
      <c r="J192" s="62">
        <f>+GETPIVOTDATA(" Old Undesg. avg",'Averages Pivot Table'!$A$3,"State","DE","Category",3,"Category2","Four-Year")</f>
        <v>0</v>
      </c>
      <c r="K192" s="130">
        <f t="shared" si="29"/>
        <v>0</v>
      </c>
      <c r="L192" s="62">
        <f>+GETPIVOTDATA(" Old All Ranks avg",'Averages Pivot Table'!$A$3,"State","DE","Category",3,"Category2","Four-Year")</f>
        <v>0</v>
      </c>
      <c r="M192" s="201">
        <f t="shared" si="30"/>
        <v>0</v>
      </c>
      <c r="N192" s="129"/>
      <c r="O192" s="201"/>
    </row>
    <row r="193" spans="1:15" ht="12.95" customHeight="1">
      <c r="A193" s="12" t="s">
        <v>441</v>
      </c>
      <c r="B193" s="62">
        <f>+GETPIVOTDATA(" Old Prof avg",'Averages Pivot Table'!$A$3,"State","FL","Category",3,"Category2","Four-Year")</f>
        <v>88679.548257057337</v>
      </c>
      <c r="C193" s="130">
        <f t="shared" si="27"/>
        <v>3</v>
      </c>
      <c r="D193" s="62">
        <f>+GETPIVOTDATA(" Old Asc. avg",'Averages Pivot Table'!$A$3,"State","FL","Category",3,"Category2","Four-Year")</f>
        <v>69648.508542786076</v>
      </c>
      <c r="E193" s="130">
        <f t="shared" si="31"/>
        <v>3</v>
      </c>
      <c r="F193" s="62">
        <f>+GETPIVOTDATA(" Old Ast. avg",'Averages Pivot Table'!$A$3,"State","FL","Category",3,"Category2","Four-Year")</f>
        <v>57139.166796610174</v>
      </c>
      <c r="G193" s="130">
        <f t="shared" si="31"/>
        <v>6</v>
      </c>
      <c r="H193" s="62">
        <f>+GETPIVOTDATA(" Old Inst. avg",'Averages Pivot Table'!$A$3,"State","FL","Category",3,"Category2","Four-Year")</f>
        <v>46933.031527638195</v>
      </c>
      <c r="I193" s="201">
        <f t="shared" si="28"/>
        <v>4</v>
      </c>
      <c r="J193" s="62">
        <f>+GETPIVOTDATA(" Old Undesg. avg",'Averages Pivot Table'!$A$3,"State","FL","Category",3,"Category2","Four-Year")</f>
        <v>43219.548275757581</v>
      </c>
      <c r="K193" s="130">
        <f t="shared" si="29"/>
        <v>6</v>
      </c>
      <c r="L193" s="62">
        <f>+GETPIVOTDATA(" Old All Ranks avg",'Averages Pivot Table'!$A$3,"State","FL","Category",3,"Category2","Four-Year")</f>
        <v>65735.091774832137</v>
      </c>
      <c r="M193" s="201">
        <f t="shared" si="30"/>
        <v>3</v>
      </c>
      <c r="N193" s="129"/>
      <c r="O193" s="201"/>
    </row>
    <row r="194" spans="1:15" ht="12.95" customHeight="1">
      <c r="A194" s="12"/>
      <c r="B194" s="62"/>
      <c r="C194" s="130">
        <f t="shared" si="27"/>
        <v>0</v>
      </c>
      <c r="D194" s="62"/>
      <c r="E194" s="130">
        <f t="shared" si="31"/>
        <v>0</v>
      </c>
      <c r="F194" s="62"/>
      <c r="G194" s="130">
        <f t="shared" si="31"/>
        <v>0</v>
      </c>
      <c r="H194" s="62"/>
      <c r="I194" s="201">
        <f t="shared" si="28"/>
        <v>0</v>
      </c>
      <c r="J194" s="62"/>
      <c r="K194" s="130">
        <f t="shared" si="29"/>
        <v>0</v>
      </c>
      <c r="L194" s="62"/>
      <c r="M194" s="201">
        <f t="shared" si="30"/>
        <v>0</v>
      </c>
      <c r="N194" s="129"/>
      <c r="O194" s="201"/>
    </row>
    <row r="195" spans="1:15" ht="12.95" customHeight="1">
      <c r="A195" s="12" t="s">
        <v>442</v>
      </c>
      <c r="B195" s="62">
        <f>+GETPIVOTDATA(" Old Prof avg",'Averages Pivot Table'!$A$3,"State","GA","Category",3,"Category2","Four-Year")</f>
        <v>79246.854553551922</v>
      </c>
      <c r="C195" s="130">
        <f t="shared" si="27"/>
        <v>9</v>
      </c>
      <c r="D195" s="62">
        <f>+GETPIVOTDATA(" Old Asc. avg",'Averages Pivot Table'!$A$3,"State","GA","Category",3,"Category2","Four-Year")</f>
        <v>64105.628366831683</v>
      </c>
      <c r="E195" s="130">
        <f t="shared" si="31"/>
        <v>9</v>
      </c>
      <c r="F195" s="62">
        <f>+GETPIVOTDATA(" Old Ast. avg",'Averages Pivot Table'!$A$3,"State","GA","Category",3,"Category2","Four-Year")</f>
        <v>55086.681853731345</v>
      </c>
      <c r="G195" s="130">
        <f t="shared" si="31"/>
        <v>10</v>
      </c>
      <c r="H195" s="62">
        <f>+GETPIVOTDATA(" Old Inst. avg",'Averages Pivot Table'!$A$3,"State","GA","Category",3,"Category2","Four-Year")</f>
        <v>39695.966643321299</v>
      </c>
      <c r="I195" s="201">
        <f t="shared" si="28"/>
        <v>10</v>
      </c>
      <c r="J195" s="62">
        <f>+GETPIVOTDATA(" Old Undesg. avg",'Averages Pivot Table'!$A$3,"State","GA","Category",3,"Category2","Four-Year")</f>
        <v>44443.012902857146</v>
      </c>
      <c r="K195" s="130">
        <f t="shared" si="29"/>
        <v>5</v>
      </c>
      <c r="L195" s="62">
        <f>+GETPIVOTDATA(" Old All Ranks avg",'Averages Pivot Table'!$A$3,"State","GA","Category",3,"Category2","Four-Year")</f>
        <v>59610.573359830611</v>
      </c>
      <c r="M195" s="201">
        <f t="shared" si="30"/>
        <v>10</v>
      </c>
      <c r="N195" s="129"/>
      <c r="O195" s="201"/>
    </row>
    <row r="196" spans="1:15" ht="12.95" customHeight="1">
      <c r="A196" s="12" t="s">
        <v>443</v>
      </c>
      <c r="B196" s="62">
        <f>+GETPIVOTDATA(" Old Prof avg",'Averages Pivot Table'!$A$3,"State","KY","Category",3,"Category2","Four-Year")</f>
        <v>81109.151673536297</v>
      </c>
      <c r="C196" s="130">
        <f t="shared" si="27"/>
        <v>7</v>
      </c>
      <c r="D196" s="62">
        <f>+GETPIVOTDATA(" Old Asc. avg",'Averages Pivot Table'!$A$3,"State","KY","Category",3,"Category2","Four-Year")</f>
        <v>63589.120594680848</v>
      </c>
      <c r="E196" s="130">
        <f t="shared" si="31"/>
        <v>10</v>
      </c>
      <c r="F196" s="62">
        <f>+GETPIVOTDATA(" Old Ast. avg",'Averages Pivot Table'!$A$3,"State","KY","Category",3,"Category2","Four-Year")</f>
        <v>53278.21701966667</v>
      </c>
      <c r="G196" s="130">
        <f t="shared" si="31"/>
        <v>11</v>
      </c>
      <c r="H196" s="62">
        <f>+GETPIVOTDATA(" Old Inst. avg",'Averages Pivot Table'!$A$3,"State","KY","Category",3,"Category2","Four-Year")</f>
        <v>41584.852684291189</v>
      </c>
      <c r="I196" s="201">
        <f t="shared" si="28"/>
        <v>9</v>
      </c>
      <c r="J196" s="62">
        <f>+GETPIVOTDATA(" Old Undesg. avg",'Averages Pivot Table'!$A$3,"State","KY","Category",3,"Category2","Four-Year")</f>
        <v>48534.437566555185</v>
      </c>
      <c r="K196" s="130">
        <f t="shared" si="29"/>
        <v>3</v>
      </c>
      <c r="L196" s="62">
        <f>+GETPIVOTDATA(" Old All Ranks avg",'Averages Pivot Table'!$A$3,"State","KY","Category",3,"Category2","Four-Year")</f>
        <v>59428.287017573217</v>
      </c>
      <c r="M196" s="201">
        <f t="shared" si="30"/>
        <v>11</v>
      </c>
      <c r="N196" s="129"/>
      <c r="O196" s="201"/>
    </row>
    <row r="197" spans="1:15" ht="12.95" customHeight="1">
      <c r="A197" s="12" t="s">
        <v>444</v>
      </c>
      <c r="B197" s="62">
        <f>+GETPIVOTDATA(" Old Prof avg",'Averages Pivot Table'!$A$3,"State","LA","Category",3,"Category2","Four-Year")</f>
        <v>77242.253073793108</v>
      </c>
      <c r="C197" s="130">
        <f t="shared" si="27"/>
        <v>12</v>
      </c>
      <c r="D197" s="62">
        <f>+GETPIVOTDATA(" Old Asc. avg",'Averages Pivot Table'!$A$3,"State","LA","Category",3,"Category2","Four-Year")</f>
        <v>64508.656293584914</v>
      </c>
      <c r="E197" s="130">
        <f t="shared" si="31"/>
        <v>8</v>
      </c>
      <c r="F197" s="62">
        <f>+GETPIVOTDATA(" Old Ast. avg",'Averages Pivot Table'!$A$3,"State","LA","Category",3,"Category2","Four-Year")</f>
        <v>55856.628348051949</v>
      </c>
      <c r="G197" s="130">
        <f t="shared" si="31"/>
        <v>7</v>
      </c>
      <c r="H197" s="62">
        <f>+GETPIVOTDATA(" Old Inst. avg",'Averages Pivot Table'!$A$3,"State","LA","Category",3,"Category2","Four-Year")</f>
        <v>42911.31926363636</v>
      </c>
      <c r="I197" s="201">
        <f t="shared" si="28"/>
        <v>8</v>
      </c>
      <c r="J197" s="62">
        <f>+GETPIVOTDATA(" Old Undesg. avg",'Averages Pivot Table'!$A$3,"State","LA","Category",3,"Category2","Four-Year")</f>
        <v>58240</v>
      </c>
      <c r="K197" s="130">
        <f t="shared" si="29"/>
        <v>1</v>
      </c>
      <c r="L197" s="62">
        <f>+GETPIVOTDATA(" Old All Ranks avg",'Averages Pivot Table'!$A$3,"State","LA","Category",3,"Category2","Four-Year")</f>
        <v>58899.918219830899</v>
      </c>
      <c r="M197" s="201">
        <f t="shared" si="30"/>
        <v>13</v>
      </c>
      <c r="N197" s="129"/>
      <c r="O197" s="201"/>
    </row>
    <row r="198" spans="1:15" ht="12.95" customHeight="1">
      <c r="A198" s="12" t="s">
        <v>445</v>
      </c>
      <c r="B198" s="62">
        <f>+GETPIVOTDATA(" Old Prof avg",'Averages Pivot Table'!$A$3,"State","MD","Category",3,"Category2","Four-Year")</f>
        <v>92185.61464562919</v>
      </c>
      <c r="C198" s="130">
        <f t="shared" si="27"/>
        <v>2</v>
      </c>
      <c r="D198" s="62">
        <f>+GETPIVOTDATA(" Old Asc. avg",'Averages Pivot Table'!$A$3,"State","MD","Category",3,"Category2","Four-Year")</f>
        <v>76393.17294886116</v>
      </c>
      <c r="E198" s="130">
        <f t="shared" si="31"/>
        <v>1</v>
      </c>
      <c r="F198" s="62">
        <f>+GETPIVOTDATA(" Old Ast. avg",'Averages Pivot Table'!$A$3,"State","MD","Category",3,"Category2","Four-Year")</f>
        <v>63124.26043591732</v>
      </c>
      <c r="G198" s="130">
        <f t="shared" si="31"/>
        <v>2</v>
      </c>
      <c r="H198" s="62">
        <f>+GETPIVOTDATA(" Old Inst. avg",'Averages Pivot Table'!$A$3,"State","MD","Category",3,"Category2","Four-Year")</f>
        <v>50019.108072967574</v>
      </c>
      <c r="I198" s="201">
        <f t="shared" si="28"/>
        <v>2</v>
      </c>
      <c r="J198" s="62">
        <f>+GETPIVOTDATA(" Old Undesg. avg",'Averages Pivot Table'!$A$3,"State","MD","Category",3,"Category2","Four-Year")</f>
        <v>42089.946493570242</v>
      </c>
      <c r="K198" s="130">
        <f t="shared" si="29"/>
        <v>7</v>
      </c>
      <c r="L198" s="62">
        <f>+GETPIVOTDATA(" Old All Ranks avg",'Averages Pivot Table'!$A$3,"State","MD","Category",3,"Category2","Four-Year")</f>
        <v>65322.681049986822</v>
      </c>
      <c r="M198" s="201">
        <f t="shared" si="30"/>
        <v>4</v>
      </c>
      <c r="N198" s="129"/>
      <c r="O198" s="201"/>
    </row>
    <row r="199" spans="1:15" ht="12.95" customHeight="1">
      <c r="A199" s="12"/>
      <c r="B199" s="62"/>
      <c r="C199" s="130">
        <f t="shared" si="27"/>
        <v>0</v>
      </c>
      <c r="D199" s="62"/>
      <c r="E199" s="130">
        <f t="shared" si="31"/>
        <v>0</v>
      </c>
      <c r="F199" s="62"/>
      <c r="G199" s="130">
        <f t="shared" si="31"/>
        <v>0</v>
      </c>
      <c r="H199" s="62"/>
      <c r="I199" s="201">
        <f t="shared" si="28"/>
        <v>0</v>
      </c>
      <c r="J199" s="62"/>
      <c r="K199" s="130">
        <f t="shared" si="29"/>
        <v>0</v>
      </c>
      <c r="L199" s="62"/>
      <c r="M199" s="201">
        <f t="shared" si="30"/>
        <v>0</v>
      </c>
      <c r="N199" s="129"/>
      <c r="O199" s="201"/>
    </row>
    <row r="200" spans="1:15" ht="12.95" customHeight="1">
      <c r="A200" s="12" t="s">
        <v>446</v>
      </c>
      <c r="B200" s="62">
        <f>+GETPIVOTDATA(" Old Prof avg",'Averages Pivot Table'!$A$3,"State","MS","Category",3,"Category2","Four-Year")</f>
        <v>0</v>
      </c>
      <c r="C200" s="130">
        <f t="shared" si="27"/>
        <v>0</v>
      </c>
      <c r="D200" s="62">
        <f>+GETPIVOTDATA(" Old Asc. avg",'Averages Pivot Table'!$A$3,"State","MS","Category",3,"Category2","Four-Year")</f>
        <v>0</v>
      </c>
      <c r="E200" s="130">
        <f t="shared" si="31"/>
        <v>0</v>
      </c>
      <c r="F200" s="62">
        <f>+GETPIVOTDATA(" Old Ast. avg",'Averages Pivot Table'!$A$3,"State","MS","Category",3,"Category2","Four-Year")</f>
        <v>0</v>
      </c>
      <c r="G200" s="130">
        <f t="shared" si="31"/>
        <v>0</v>
      </c>
      <c r="H200" s="62">
        <f>+GETPIVOTDATA(" Old Inst. avg",'Averages Pivot Table'!$A$3,"State","MS","Category",3,"Category2","Four-Year")</f>
        <v>0</v>
      </c>
      <c r="I200" s="201">
        <f t="shared" si="28"/>
        <v>0</v>
      </c>
      <c r="J200" s="62">
        <f>+GETPIVOTDATA(" Old Undesg. avg",'Averages Pivot Table'!$A$3,"State","MS","Category",3,"Category2","Four-Year")</f>
        <v>0</v>
      </c>
      <c r="K200" s="130">
        <f t="shared" si="29"/>
        <v>0</v>
      </c>
      <c r="L200" s="62">
        <f>+GETPIVOTDATA(" Old All Ranks avg",'Averages Pivot Table'!$A$3,"State","MS","Category",3,"Category2","Four-Year")</f>
        <v>0</v>
      </c>
      <c r="M200" s="201">
        <f t="shared" si="30"/>
        <v>0</v>
      </c>
      <c r="N200" s="129"/>
      <c r="O200" s="201"/>
    </row>
    <row r="201" spans="1:15" ht="12.95" customHeight="1">
      <c r="A201" s="12" t="s">
        <v>447</v>
      </c>
      <c r="B201" s="62">
        <f>+GETPIVOTDATA(" Old Prof avg",'Averages Pivot Table'!$A$3,"State","NC","Category",3,"Category2","Four-Year")</f>
        <v>93395.93019487751</v>
      </c>
      <c r="C201" s="130">
        <f t="shared" si="27"/>
        <v>1</v>
      </c>
      <c r="D201" s="62">
        <f>+GETPIVOTDATA(" Old Asc. avg",'Averages Pivot Table'!$A$3,"State","NC","Category",3,"Category2","Four-Year")</f>
        <v>74836.930037852115</v>
      </c>
      <c r="E201" s="130">
        <f t="shared" si="31"/>
        <v>2</v>
      </c>
      <c r="F201" s="62">
        <f>+GETPIVOTDATA(" Old Ast. avg",'Averages Pivot Table'!$A$3,"State","NC","Category",3,"Category2","Four-Year")</f>
        <v>63529.525716620235</v>
      </c>
      <c r="G201" s="130">
        <f t="shared" si="31"/>
        <v>1</v>
      </c>
      <c r="H201" s="62">
        <f>+GETPIVOTDATA(" Old Inst. avg",'Averages Pivot Table'!$A$3,"State","NC","Category",3,"Category2","Four-Year")</f>
        <v>56781.643374545456</v>
      </c>
      <c r="I201" s="201">
        <f t="shared" si="28"/>
        <v>1</v>
      </c>
      <c r="J201" s="62">
        <f>+GETPIVOTDATA(" Old Undesg. avg",'Averages Pivot Table'!$A$3,"State","NC","Category",3,"Category2","Four-Year")</f>
        <v>51519.505026511622</v>
      </c>
      <c r="K201" s="130">
        <f t="shared" si="29"/>
        <v>2</v>
      </c>
      <c r="L201" s="62">
        <f>+GETPIVOTDATA(" Old All Ranks avg",'Averages Pivot Table'!$A$3,"State","NC","Category",3,"Category2","Four-Year")</f>
        <v>70724.133567610537</v>
      </c>
      <c r="M201" s="201">
        <f t="shared" si="30"/>
        <v>1</v>
      </c>
      <c r="N201" s="129"/>
      <c r="O201" s="201"/>
    </row>
    <row r="202" spans="1:15" ht="12.95" customHeight="1">
      <c r="A202" s="12" t="s">
        <v>448</v>
      </c>
      <c r="B202" s="62">
        <f>+GETPIVOTDATA(" Old Prof avg",'Averages Pivot Table'!$A$3,"State","OK","Category",3,"Category2","Four-Year")</f>
        <v>76084.115168831166</v>
      </c>
      <c r="C202" s="130">
        <f t="shared" si="27"/>
        <v>13</v>
      </c>
      <c r="D202" s="62">
        <f>+GETPIVOTDATA(" Old Asc. avg",'Averages Pivot Table'!$A$3,"State","OK","Category",3,"Category2","Four-Year")</f>
        <v>60943.730121739129</v>
      </c>
      <c r="E202" s="130">
        <f t="shared" si="31"/>
        <v>12</v>
      </c>
      <c r="F202" s="62">
        <f>+GETPIVOTDATA(" Old Ast. avg",'Averages Pivot Table'!$A$3,"State","OK","Category",3,"Category2","Four-Year")</f>
        <v>55213.874161990949</v>
      </c>
      <c r="G202" s="130">
        <f t="shared" si="31"/>
        <v>9</v>
      </c>
      <c r="H202" s="62">
        <f>+GETPIVOTDATA(" Old Inst. avg",'Averages Pivot Table'!$A$3,"State","OK","Category",3,"Category2","Four-Year")</f>
        <v>39633.564743502822</v>
      </c>
      <c r="I202" s="201">
        <f t="shared" si="28"/>
        <v>11</v>
      </c>
      <c r="J202" s="62">
        <f>+GETPIVOTDATA(" Old Undesg. avg",'Averages Pivot Table'!$A$3,"State","OK","Category",3,"Category2","Four-Year")</f>
        <v>0</v>
      </c>
      <c r="K202" s="130">
        <f t="shared" si="29"/>
        <v>0</v>
      </c>
      <c r="L202" s="62">
        <f>+GETPIVOTDATA(" Old All Ranks avg",'Averages Pivot Table'!$A$3,"State","OK","Category",3,"Category2","Four-Year")</f>
        <v>58934.905489178622</v>
      </c>
      <c r="M202" s="201">
        <f t="shared" si="30"/>
        <v>12</v>
      </c>
      <c r="N202" s="129"/>
      <c r="O202" s="201"/>
    </row>
    <row r="203" spans="1:15" ht="12.95" customHeight="1">
      <c r="A203" s="12" t="s">
        <v>449</v>
      </c>
      <c r="B203" s="62">
        <f>+GETPIVOTDATA(" Old Prof avg",'Averages Pivot Table'!$A$3,"State","SC","Category",3,"Category2","Four-Year")</f>
        <v>79846.408163265311</v>
      </c>
      <c r="C203" s="130">
        <f t="shared" si="27"/>
        <v>8</v>
      </c>
      <c r="D203" s="62">
        <f>+GETPIVOTDATA(" Old Asc. avg",'Averages Pivot Table'!$A$3,"State","SC","Category",3,"Category2","Four-Year")</f>
        <v>65452.919920948618</v>
      </c>
      <c r="E203" s="130">
        <f t="shared" si="31"/>
        <v>6</v>
      </c>
      <c r="F203" s="62">
        <f>+GETPIVOTDATA(" Old Ast. avg",'Averages Pivot Table'!$A$3,"State","SC","Category",3,"Category2","Four-Year")</f>
        <v>57258.031790082641</v>
      </c>
      <c r="G203" s="130">
        <f t="shared" si="31"/>
        <v>5</v>
      </c>
      <c r="H203" s="62">
        <f>+GETPIVOTDATA(" Old Inst. avg",'Averages Pivot Table'!$A$3,"State","SC","Category",3,"Category2","Four-Year")</f>
        <v>45524.989008695651</v>
      </c>
      <c r="I203" s="201">
        <f t="shared" si="28"/>
        <v>6</v>
      </c>
      <c r="J203" s="62">
        <f>+GETPIVOTDATA(" Old Undesg. avg",'Averages Pivot Table'!$A$3,"State","SC","Category",3,"Category2","Four-Year")</f>
        <v>0</v>
      </c>
      <c r="K203" s="130">
        <f t="shared" si="29"/>
        <v>0</v>
      </c>
      <c r="L203" s="62">
        <f>+GETPIVOTDATA(" Old All Ranks avg",'Averages Pivot Table'!$A$3,"State","SC","Category",3,"Category2","Four-Year")</f>
        <v>64181.644217113666</v>
      </c>
      <c r="M203" s="201">
        <f t="shared" si="30"/>
        <v>5</v>
      </c>
      <c r="N203" s="129"/>
      <c r="O203" s="201"/>
    </row>
    <row r="204" spans="1:15" ht="12.95" customHeight="1">
      <c r="A204" s="12"/>
      <c r="B204" s="62"/>
      <c r="C204" s="130">
        <f t="shared" si="27"/>
        <v>0</v>
      </c>
      <c r="D204" s="62"/>
      <c r="E204" s="130">
        <f t="shared" si="31"/>
        <v>0</v>
      </c>
      <c r="F204" s="62"/>
      <c r="G204" s="130">
        <f t="shared" si="31"/>
        <v>0</v>
      </c>
      <c r="H204" s="62"/>
      <c r="I204" s="201">
        <f t="shared" si="28"/>
        <v>0</v>
      </c>
      <c r="J204" s="62"/>
      <c r="K204" s="130">
        <f t="shared" si="29"/>
        <v>0</v>
      </c>
      <c r="L204" s="62"/>
      <c r="M204" s="201">
        <f t="shared" si="30"/>
        <v>0</v>
      </c>
      <c r="N204" s="129"/>
      <c r="O204" s="201"/>
    </row>
    <row r="205" spans="1:15" ht="12.95" customHeight="1">
      <c r="A205" s="12" t="s">
        <v>450</v>
      </c>
      <c r="B205" s="129">
        <f>+GETPIVOTDATA(" Old Prof avg",'Averages Pivot Table'!$A$3,"State","TN","Category",3,"Category2","Four-Year")</f>
        <v>77660.459855128211</v>
      </c>
      <c r="C205" s="130">
        <f t="shared" si="27"/>
        <v>11</v>
      </c>
      <c r="D205" s="129">
        <f>+GETPIVOTDATA(" Old Asc. avg",'Averages Pivot Table'!$A$3,"State","TN","Category",3,"Category2","Four-Year")</f>
        <v>60758.406450953677</v>
      </c>
      <c r="E205" s="130">
        <f t="shared" si="31"/>
        <v>13</v>
      </c>
      <c r="F205" s="129">
        <f>+GETPIVOTDATA(" Old Ast. avg",'Averages Pivot Table'!$A$3,"State","TN","Category",3,"Category2","Four-Year")</f>
        <v>50324.098595524141</v>
      </c>
      <c r="G205" s="130">
        <f t="shared" si="31"/>
        <v>13</v>
      </c>
      <c r="H205" s="129">
        <f>+GETPIVOTDATA(" Old Inst. avg",'Averages Pivot Table'!$A$3,"State","TN","Category",3,"Category2","Four-Year")</f>
        <v>38440.168944715449</v>
      </c>
      <c r="I205" s="201">
        <f t="shared" si="28"/>
        <v>13</v>
      </c>
      <c r="J205" s="129">
        <f>+GETPIVOTDATA(" Old Undesg. avg",'Averages Pivot Table'!$A$3,"State","TN","Category",3,"Category2","Four-Year")</f>
        <v>33482.885423255815</v>
      </c>
      <c r="K205" s="130">
        <f t="shared" si="29"/>
        <v>9</v>
      </c>
      <c r="L205" s="129">
        <f>+GETPIVOTDATA(" Old All Ranks avg",'Averages Pivot Table'!$A$3,"State","TN","Category",3,"Category2","Four-Year")</f>
        <v>60051.000085348998</v>
      </c>
      <c r="M205" s="201">
        <f t="shared" si="30"/>
        <v>9</v>
      </c>
      <c r="N205" s="129"/>
      <c r="O205" s="201"/>
    </row>
    <row r="206" spans="1:15" ht="12.95" customHeight="1">
      <c r="A206" s="12" t="s">
        <v>451</v>
      </c>
      <c r="B206" s="129">
        <f>+GETPIVOTDATA(" Old Prof avg",'Averages Pivot Table'!$A$3,"State","TX","Category",3,"Category2","Four-Year")</f>
        <v>85585.988526083864</v>
      </c>
      <c r="C206" s="130">
        <f t="shared" si="27"/>
        <v>5</v>
      </c>
      <c r="D206" s="129">
        <f>+GETPIVOTDATA(" Old Asc. avg",'Averages Pivot Table'!$A$3,"State","TX","Category",3,"Category2","Four-Year")</f>
        <v>68502.602599217731</v>
      </c>
      <c r="E206" s="130">
        <f t="shared" si="31"/>
        <v>4</v>
      </c>
      <c r="F206" s="129">
        <f>+GETPIVOTDATA(" Old Ast. avg",'Averages Pivot Table'!$A$3,"State","TX","Category",3,"Category2","Four-Year")</f>
        <v>59789.756647121947</v>
      </c>
      <c r="G206" s="130">
        <f t="shared" si="31"/>
        <v>3</v>
      </c>
      <c r="H206" s="129">
        <f>+GETPIVOTDATA(" Old Inst. avg",'Averages Pivot Table'!$A$3,"State","TX","Category",3,"Category2","Four-Year")</f>
        <v>46930.877116330274</v>
      </c>
      <c r="I206" s="201">
        <f t="shared" si="28"/>
        <v>5</v>
      </c>
      <c r="J206" s="129">
        <f>+GETPIVOTDATA(" Old Undesg. avg",'Averages Pivot Table'!$A$3,"State","TX","Category",3,"Category2","Four-Year")</f>
        <v>47719.746773443359</v>
      </c>
      <c r="K206" s="130">
        <f t="shared" si="29"/>
        <v>4</v>
      </c>
      <c r="L206" s="129">
        <f>+GETPIVOTDATA(" Old All Ranks avg",'Averages Pivot Table'!$A$3,"State","TX","Category",3,"Category2","Four-Year")</f>
        <v>63656.897633920511</v>
      </c>
      <c r="M206" s="201">
        <f t="shared" si="30"/>
        <v>6</v>
      </c>
      <c r="N206" s="129"/>
      <c r="O206" s="201"/>
    </row>
    <row r="207" spans="1:15" ht="12.95" customHeight="1">
      <c r="A207" s="12" t="s">
        <v>452</v>
      </c>
      <c r="B207" s="129">
        <f>+GETPIVOTDATA(" Old Prof avg",'Averages Pivot Table'!$A$3,"State","VA","Category",3,"Category2","Four-Year")</f>
        <v>85936.41734005764</v>
      </c>
      <c r="C207" s="130">
        <f t="shared" si="27"/>
        <v>4</v>
      </c>
      <c r="D207" s="129">
        <f>+GETPIVOTDATA(" Old Asc. avg",'Averages Pivot Table'!$A$3,"State","VA","Category",3,"Category2","Four-Year")</f>
        <v>68143.314082517478</v>
      </c>
      <c r="E207" s="130">
        <f t="shared" si="31"/>
        <v>5</v>
      </c>
      <c r="F207" s="129">
        <f>+GETPIVOTDATA(" Old Ast. avg",'Averages Pivot Table'!$A$3,"State","VA","Category",3,"Category2","Four-Year")</f>
        <v>57600.504485790887</v>
      </c>
      <c r="G207" s="130">
        <f t="shared" si="31"/>
        <v>4</v>
      </c>
      <c r="H207" s="129">
        <f>+GETPIVOTDATA(" Old Inst. avg",'Averages Pivot Table'!$A$3,"State","VA","Category",3,"Category2","Four-Year")</f>
        <v>49901.218809411759</v>
      </c>
      <c r="I207" s="201">
        <f t="shared" si="28"/>
        <v>3</v>
      </c>
      <c r="J207" s="129">
        <f>+GETPIVOTDATA(" Old Undesg. avg",'Averages Pivot Table'!$A$3,"State","VA","Category",3,"Category2","Four-Year")</f>
        <v>0</v>
      </c>
      <c r="K207" s="130">
        <f t="shared" si="29"/>
        <v>0</v>
      </c>
      <c r="L207" s="129">
        <f>+GETPIVOTDATA(" Old All Ranks avg",'Averages Pivot Table'!$A$3,"State","VA","Category",3,"Category2","Four-Year")</f>
        <v>67412.517019897947</v>
      </c>
      <c r="M207" s="201">
        <f t="shared" si="30"/>
        <v>2</v>
      </c>
      <c r="N207" s="129"/>
      <c r="O207" s="201"/>
    </row>
    <row r="208" spans="1:15" ht="12.95" customHeight="1">
      <c r="A208" s="11" t="s">
        <v>453</v>
      </c>
      <c r="B208" s="64">
        <f>+GETPIVOTDATA(" Old Prof avg",'Averages Pivot Table'!$A$3,"State","WV","Category",3,"Category2","Four-Year")</f>
        <v>73458.074986734689</v>
      </c>
      <c r="C208" s="65">
        <f t="shared" si="27"/>
        <v>14</v>
      </c>
      <c r="D208" s="64">
        <f>+GETPIVOTDATA(" Old Asc. avg",'Averages Pivot Table'!$A$3,"State","WV","Category",3,"Category2","Four-Year")</f>
        <v>60000.366038095235</v>
      </c>
      <c r="E208" s="65">
        <f t="shared" si="31"/>
        <v>14</v>
      </c>
      <c r="F208" s="64">
        <f>+GETPIVOTDATA(" Old Ast. avg",'Averages Pivot Table'!$A$3,"State","WV","Category",3,"Category2","Four-Year")</f>
        <v>49028.168685714285</v>
      </c>
      <c r="G208" s="65">
        <f t="shared" si="31"/>
        <v>14</v>
      </c>
      <c r="H208" s="64">
        <f>+GETPIVOTDATA(" Old Inst. avg",'Averages Pivot Table'!$A$3,"State","WV","Category",3,"Category2","Four-Year")</f>
        <v>30326</v>
      </c>
      <c r="I208" s="202">
        <f t="shared" si="28"/>
        <v>14</v>
      </c>
      <c r="J208" s="64">
        <f>+GETPIVOTDATA(" Old Undesg. avg",'Averages Pivot Table'!$A$3,"State","WV","Category",3,"Category2","Four-Year")</f>
        <v>0</v>
      </c>
      <c r="K208" s="65">
        <f t="shared" si="29"/>
        <v>0</v>
      </c>
      <c r="L208" s="64">
        <f>+GETPIVOTDATA(" Old All Ranks avg",'Averages Pivot Table'!$A$3,"State","WV","Category",3,"Category2","Four-Year")</f>
        <v>61068.888895095952</v>
      </c>
      <c r="M208" s="202">
        <f t="shared" si="30"/>
        <v>8</v>
      </c>
      <c r="N208" s="129"/>
      <c r="O208" s="201"/>
    </row>
    <row r="209" spans="1:19" ht="30" customHeight="1">
      <c r="A209" s="629" t="s">
        <v>323</v>
      </c>
      <c r="B209" s="633"/>
      <c r="C209" s="633"/>
      <c r="D209" s="633"/>
      <c r="E209" s="633"/>
      <c r="F209" s="633"/>
      <c r="G209" s="633"/>
      <c r="H209" s="633"/>
      <c r="I209" s="633"/>
      <c r="J209" s="633"/>
      <c r="K209" s="633"/>
      <c r="L209" s="633"/>
      <c r="M209" s="633"/>
      <c r="N209" s="12"/>
      <c r="O209" s="215"/>
    </row>
    <row r="210" spans="1:19">
      <c r="M210" s="244" t="s">
        <v>1166</v>
      </c>
      <c r="O210" s="214"/>
    </row>
    <row r="211" spans="1:19" ht="18">
      <c r="A211" s="618" t="s">
        <v>783</v>
      </c>
      <c r="B211" s="618"/>
      <c r="C211" s="618"/>
      <c r="D211" s="618"/>
      <c r="E211" s="618"/>
      <c r="F211" s="618"/>
      <c r="G211" s="618"/>
      <c r="H211" s="618"/>
      <c r="I211" s="618"/>
      <c r="J211" s="618"/>
      <c r="K211" s="618"/>
      <c r="L211" s="618"/>
      <c r="M211" s="618"/>
      <c r="N211" s="167"/>
      <c r="O211" s="166"/>
    </row>
    <row r="212" spans="1:19">
      <c r="A212" s="12"/>
      <c r="B212" s="5"/>
      <c r="C212" s="5"/>
      <c r="D212" s="5"/>
      <c r="E212" s="5"/>
      <c r="F212" s="5"/>
      <c r="G212" s="5"/>
      <c r="H212" s="5"/>
      <c r="I212" s="159"/>
      <c r="J212" s="5"/>
      <c r="K212" s="5"/>
      <c r="L212" s="5"/>
      <c r="M212" s="159"/>
      <c r="N212" s="5"/>
      <c r="O212" s="159"/>
    </row>
    <row r="213" spans="1:19">
      <c r="A213" s="619" t="s">
        <v>454</v>
      </c>
      <c r="B213" s="619"/>
      <c r="C213" s="619"/>
      <c r="D213" s="619"/>
      <c r="E213" s="619"/>
      <c r="F213" s="619"/>
      <c r="G213" s="619"/>
      <c r="H213" s="619"/>
      <c r="I213" s="619"/>
      <c r="J213" s="619"/>
      <c r="K213" s="619"/>
      <c r="L213" s="619"/>
      <c r="M213" s="619"/>
      <c r="N213" s="177"/>
      <c r="O213" s="211"/>
    </row>
    <row r="214" spans="1:19">
      <c r="A214" s="619" t="s">
        <v>762</v>
      </c>
      <c r="B214" s="619"/>
      <c r="C214" s="619"/>
      <c r="D214" s="619"/>
      <c r="E214" s="619"/>
      <c r="F214" s="619"/>
      <c r="G214" s="619"/>
      <c r="H214" s="619"/>
      <c r="I214" s="619"/>
      <c r="J214" s="619"/>
      <c r="K214" s="619"/>
      <c r="L214" s="619"/>
      <c r="M214" s="619"/>
      <c r="N214" s="177"/>
      <c r="O214" s="211"/>
    </row>
    <row r="215" spans="1:19">
      <c r="A215" s="5"/>
      <c r="B215" s="5"/>
      <c r="C215" s="5"/>
      <c r="D215" s="5"/>
      <c r="E215" s="5"/>
      <c r="F215" s="5"/>
      <c r="G215" s="5"/>
      <c r="H215" s="5"/>
      <c r="I215" s="159"/>
      <c r="J215" s="5"/>
      <c r="K215" s="5"/>
      <c r="L215" s="5"/>
      <c r="M215" s="159"/>
      <c r="N215" s="62"/>
      <c r="O215" s="209"/>
    </row>
    <row r="216" spans="1:19" ht="31.5" customHeight="1">
      <c r="A216" s="15"/>
      <c r="B216" s="21" t="s">
        <v>332</v>
      </c>
      <c r="C216" s="22"/>
      <c r="D216" s="141" t="s">
        <v>333</v>
      </c>
      <c r="E216" s="142"/>
      <c r="F216" s="141" t="s">
        <v>334</v>
      </c>
      <c r="G216" s="142"/>
      <c r="H216" s="21" t="s">
        <v>335</v>
      </c>
      <c r="I216" s="225"/>
      <c r="J216" s="141" t="s">
        <v>461</v>
      </c>
      <c r="K216" s="142"/>
      <c r="L216" s="22" t="s">
        <v>316</v>
      </c>
      <c r="M216" s="225"/>
      <c r="N216" s="63" t="s">
        <v>457</v>
      </c>
      <c r="O216" s="212"/>
    </row>
    <row r="217" spans="1:19">
      <c r="A217" s="16"/>
      <c r="B217" s="19" t="s">
        <v>336</v>
      </c>
      <c r="C217" s="18" t="s">
        <v>427</v>
      </c>
      <c r="D217" s="19" t="s">
        <v>336</v>
      </c>
      <c r="E217" s="18" t="s">
        <v>427</v>
      </c>
      <c r="F217" s="19" t="s">
        <v>336</v>
      </c>
      <c r="G217" s="18" t="s">
        <v>427</v>
      </c>
      <c r="H217" s="19" t="s">
        <v>336</v>
      </c>
      <c r="I217" s="226" t="s">
        <v>427</v>
      </c>
      <c r="J217" s="19" t="s">
        <v>336</v>
      </c>
      <c r="K217" s="18" t="s">
        <v>427</v>
      </c>
      <c r="L217" s="19" t="s">
        <v>336</v>
      </c>
      <c r="M217" s="226" t="s">
        <v>427</v>
      </c>
      <c r="N217" s="62" t="s">
        <v>457</v>
      </c>
      <c r="O217" s="209"/>
    </row>
    <row r="218" spans="1:19" s="156" customFormat="1" ht="18" customHeight="1">
      <c r="A218" s="168" t="s">
        <v>456</v>
      </c>
      <c r="B218" s="172">
        <f>+GETPIVOTDATA(" Old Prof avg",'Averages Pivot Table'!$A$3,"Category",4,"Category2","Four-Year")</f>
        <v>80549.875066261899</v>
      </c>
      <c r="C218" s="172"/>
      <c r="D218" s="172">
        <f>+GETPIVOTDATA(" Old Asc. avg",'Averages Pivot Table'!$A$3,"Category",4,"Category2","Four-Year")</f>
        <v>65608.194341766502</v>
      </c>
      <c r="E218" s="172"/>
      <c r="F218" s="172">
        <f>+GETPIVOTDATA(" Old Ast. avg",'Averages Pivot Table'!$A$3,"Category",4,"Category2","Four-Year")</f>
        <v>56003.641890110433</v>
      </c>
      <c r="G218" s="172"/>
      <c r="H218" s="172">
        <f>+GETPIVOTDATA(" Old Inst. avg",'Averages Pivot Table'!$A$3,"Category",4,"Category2","Four-Year")</f>
        <v>43651.311244364479</v>
      </c>
      <c r="I218" s="229"/>
      <c r="J218" s="172">
        <f>+GETPIVOTDATA(" Old Undesg. avg",'Averages Pivot Table'!$A$3,"Category",4,"Category2","Four-Year")</f>
        <v>45733.672289952905</v>
      </c>
      <c r="K218" s="172"/>
      <c r="L218" s="172">
        <f>+GETPIVOTDATA(" Old All Ranks avg",'Averages Pivot Table'!$A$3,"Category",4,"Category2","Four-Year")</f>
        <v>61660.461744727807</v>
      </c>
      <c r="M218" s="232"/>
      <c r="N218" s="175"/>
      <c r="O218" s="223"/>
      <c r="Q218" s="193"/>
      <c r="R218" s="193"/>
      <c r="S218" s="193"/>
    </row>
    <row r="219" spans="1:19" ht="12.95" customHeight="1">
      <c r="A219" s="12"/>
      <c r="B219" s="9"/>
      <c r="C219" s="17"/>
      <c r="D219" s="9"/>
      <c r="E219" s="17"/>
      <c r="F219" s="9"/>
      <c r="G219" s="17"/>
      <c r="H219" s="9"/>
      <c r="I219" s="233"/>
      <c r="J219" s="9"/>
      <c r="K219" s="17"/>
      <c r="L219" s="9"/>
      <c r="M219" s="233"/>
      <c r="N219" s="62"/>
      <c r="O219" s="209"/>
    </row>
    <row r="220" spans="1:19" ht="12.95" customHeight="1">
      <c r="A220" s="12" t="s">
        <v>439</v>
      </c>
      <c r="B220" s="62">
        <f>+GETPIVOTDATA(" Old Prof avg",'Averages Pivot Table'!$A$3,"State","AL","Category",4,"Category2","Four-Year")</f>
        <v>80036.263789247314</v>
      </c>
      <c r="C220" s="130">
        <f>IF(B220&gt;0,(RANK(B220,B$220:B$238)),0)</f>
        <v>8</v>
      </c>
      <c r="D220" s="62">
        <f>+GETPIVOTDATA(" Old Asc. avg",'Averages Pivot Table'!$A$3,"State","AL","Category",4,"Category2","Four-Year")</f>
        <v>66321.026991666673</v>
      </c>
      <c r="E220" s="130">
        <f>IF(D220&gt;0,(RANK(D220,D$220:D$238)),0)</f>
        <v>7</v>
      </c>
      <c r="F220" s="62">
        <f>+GETPIVOTDATA(" Old Ast. avg",'Averages Pivot Table'!$A$3,"State","AL","Category",4,"Category2","Four-Year")</f>
        <v>53957.31351848341</v>
      </c>
      <c r="G220" s="130">
        <f t="shared" ref="G220:G238" si="32">IF(F220&gt;0,(RANK(F220,F$220:F$238)),0)</f>
        <v>9</v>
      </c>
      <c r="H220" s="62">
        <f>+GETPIVOTDATA(" Old Inst. avg",'Averages Pivot Table'!$A$3,"State","AL","Category",4,"Category2","Four-Year")</f>
        <v>45469.082057731954</v>
      </c>
      <c r="I220" s="201">
        <f t="shared" ref="I220:I238" si="33">IF(H220&gt;0,(RANK(H220,H$220:H$238)),0)</f>
        <v>6</v>
      </c>
      <c r="J220" s="62">
        <f>+GETPIVOTDATA(" Old Undesg. avg",'Averages Pivot Table'!$A$3,"State","AL","Category",4,"Category2","Four-Year")</f>
        <v>119719.024</v>
      </c>
      <c r="K220" s="130">
        <f t="shared" ref="K220:K238" si="34">IF(J220&gt;0,(RANK(J220,J$220:J$238)),0)</f>
        <v>1</v>
      </c>
      <c r="L220" s="62">
        <f>+GETPIVOTDATA(" Old All Ranks avg",'Averages Pivot Table'!$A$3,"State","AL","Category",4,"Category2","Four-Year")</f>
        <v>63263.786931221715</v>
      </c>
      <c r="M220" s="201">
        <f t="shared" ref="M220:M238" si="35">IF(L220&gt;0,(RANK(L220,L$220:L$238)),0)</f>
        <v>8</v>
      </c>
      <c r="N220" s="62"/>
      <c r="O220" s="209"/>
    </row>
    <row r="221" spans="1:19" ht="12.95" customHeight="1">
      <c r="A221" s="12" t="s">
        <v>440</v>
      </c>
      <c r="B221" s="62">
        <f>+GETPIVOTDATA(" Old Prof avg",'Averages Pivot Table'!$A$3,"State","AR","Category",4,"Category2","Four-Year")</f>
        <v>66348.073309090905</v>
      </c>
      <c r="C221" s="130">
        <f t="shared" ref="C221:E238" si="36">IF(B221&gt;0,(RANK(B221,B$220:B$238)),0)</f>
        <v>12</v>
      </c>
      <c r="D221" s="62">
        <f>+GETPIVOTDATA(" Old Asc. avg",'Averages Pivot Table'!$A$3,"State","AR","Category",4,"Category2","Four-Year")</f>
        <v>50906.063436036042</v>
      </c>
      <c r="E221" s="130">
        <f t="shared" si="36"/>
        <v>13</v>
      </c>
      <c r="F221" s="62">
        <f>+GETPIVOTDATA(" Old Ast. avg",'Averages Pivot Table'!$A$3,"State","AR","Category",4,"Category2","Four-Year")</f>
        <v>48143.633215492955</v>
      </c>
      <c r="G221" s="130">
        <f t="shared" si="32"/>
        <v>13</v>
      </c>
      <c r="H221" s="62">
        <f>+GETPIVOTDATA(" Old Inst. avg",'Averages Pivot Table'!$A$3,"State","AR","Category",4,"Category2","Four-Year")</f>
        <v>37902.970941176471</v>
      </c>
      <c r="I221" s="201">
        <f t="shared" si="33"/>
        <v>12</v>
      </c>
      <c r="J221" s="62">
        <f>+GETPIVOTDATA(" Old Undesg. avg",'Averages Pivot Table'!$A$3,"State","AR","Category",4,"Category2","Four-Year")</f>
        <v>39792.156264864861</v>
      </c>
      <c r="K221" s="130">
        <f t="shared" si="34"/>
        <v>9</v>
      </c>
      <c r="L221" s="62">
        <f>+GETPIVOTDATA(" Old All Ranks avg",'Averages Pivot Table'!$A$3,"State","AR","Category",4,"Category2","Four-Year")</f>
        <v>50929.420572222218</v>
      </c>
      <c r="M221" s="201">
        <f t="shared" si="35"/>
        <v>13</v>
      </c>
      <c r="N221" s="62"/>
      <c r="O221" s="209"/>
    </row>
    <row r="222" spans="1:19" ht="12.95" customHeight="1">
      <c r="A222" s="12" t="s">
        <v>455</v>
      </c>
      <c r="B222" s="62">
        <f>+GETPIVOTDATA(" Old Prof avg",'Averages Pivot Table'!$A$3,"State","DE","Category",4,"Category2","Four-Year")</f>
        <v>81722.188240000003</v>
      </c>
      <c r="C222" s="130">
        <f t="shared" si="36"/>
        <v>7</v>
      </c>
      <c r="D222" s="62">
        <f>+GETPIVOTDATA(" Old Asc. avg",'Averages Pivot Table'!$A$3,"State","DE","Category",4,"Category2","Four-Year")</f>
        <v>64304.936280000002</v>
      </c>
      <c r="E222" s="130">
        <f t="shared" si="36"/>
        <v>8</v>
      </c>
      <c r="F222" s="62">
        <f>+GETPIVOTDATA(" Old Ast. avg",'Averages Pivot Table'!$A$3,"State","DE","Category",4,"Category2","Four-Year")</f>
        <v>59619.97</v>
      </c>
      <c r="G222" s="130">
        <f t="shared" si="32"/>
        <v>4</v>
      </c>
      <c r="H222" s="62">
        <f>+GETPIVOTDATA(" Old Inst. avg",'Averages Pivot Table'!$A$3,"State","DE","Category",4,"Category2","Four-Year")</f>
        <v>49781.321600000003</v>
      </c>
      <c r="I222" s="201">
        <f t="shared" si="33"/>
        <v>4</v>
      </c>
      <c r="J222" s="62">
        <f>+GETPIVOTDATA(" Old Undesg. avg",'Averages Pivot Table'!$A$3,"State","DE","Category",4,"Category2","Four-Year")</f>
        <v>38786</v>
      </c>
      <c r="K222" s="130">
        <f t="shared" si="34"/>
        <v>10</v>
      </c>
      <c r="L222" s="62">
        <f>+GETPIVOTDATA(" Old All Ranks avg",'Averages Pivot Table'!$A$3,"State","DE","Category",4,"Category2","Four-Year")</f>
        <v>66510.541366315796</v>
      </c>
      <c r="M222" s="201">
        <f t="shared" si="35"/>
        <v>5</v>
      </c>
      <c r="N222" s="62"/>
      <c r="O222" s="209"/>
    </row>
    <row r="223" spans="1:19" ht="12.95" customHeight="1">
      <c r="A223" s="12" t="s">
        <v>441</v>
      </c>
      <c r="B223" s="62">
        <f>+GETPIVOTDATA(" Old Prof avg",'Averages Pivot Table'!$A$3,"State","FL","Category",4,"Category2","Four-Year")</f>
        <v>90204.959920689653</v>
      </c>
      <c r="C223" s="130">
        <f t="shared" si="36"/>
        <v>2</v>
      </c>
      <c r="D223" s="62">
        <f>+GETPIVOTDATA(" Old Asc. avg",'Averages Pivot Table'!$A$3,"State","FL","Category",4,"Category2","Four-Year")</f>
        <v>70339.931483870969</v>
      </c>
      <c r="E223" s="130">
        <f t="shared" si="36"/>
        <v>3</v>
      </c>
      <c r="F223" s="62">
        <f>+GETPIVOTDATA(" Old Ast. avg",'Averages Pivot Table'!$A$3,"State","FL","Category",4,"Category2","Four-Year")</f>
        <v>57588.755133913044</v>
      </c>
      <c r="G223" s="130">
        <f t="shared" si="32"/>
        <v>7</v>
      </c>
      <c r="H223" s="62">
        <f>+GETPIVOTDATA(" Old Inst. avg",'Averages Pivot Table'!$A$3,"State","FL","Category",4,"Category2","Four-Year")</f>
        <v>44415.801536708859</v>
      </c>
      <c r="I223" s="201">
        <f t="shared" si="33"/>
        <v>7</v>
      </c>
      <c r="J223" s="62">
        <f>+GETPIVOTDATA(" Old Undesg. avg",'Averages Pivot Table'!$A$3,"State","FL","Category",4,"Category2","Four-Year")</f>
        <v>44666.666666666664</v>
      </c>
      <c r="K223" s="130">
        <f t="shared" si="34"/>
        <v>6</v>
      </c>
      <c r="L223" s="62">
        <f>+GETPIVOTDATA(" Old All Ranks avg",'Averages Pivot Table'!$A$3,"State","FL","Category",4,"Category2","Four-Year")</f>
        <v>63330.62202643678</v>
      </c>
      <c r="M223" s="201">
        <f t="shared" si="35"/>
        <v>7</v>
      </c>
      <c r="N223" s="62"/>
      <c r="O223" s="209"/>
    </row>
    <row r="224" spans="1:19" ht="12.95" customHeight="1">
      <c r="A224" s="12"/>
      <c r="B224" s="62"/>
      <c r="C224" s="130">
        <f t="shared" si="36"/>
        <v>0</v>
      </c>
      <c r="D224" s="62"/>
      <c r="E224" s="130">
        <f t="shared" si="36"/>
        <v>0</v>
      </c>
      <c r="F224" s="62"/>
      <c r="G224" s="130">
        <f t="shared" si="32"/>
        <v>0</v>
      </c>
      <c r="H224" s="62"/>
      <c r="I224" s="201">
        <f t="shared" si="33"/>
        <v>0</v>
      </c>
      <c r="J224" s="62"/>
      <c r="K224" s="130">
        <f t="shared" si="34"/>
        <v>0</v>
      </c>
      <c r="L224" s="62"/>
      <c r="M224" s="201">
        <f t="shared" si="35"/>
        <v>0</v>
      </c>
      <c r="N224" s="62"/>
      <c r="O224" s="209"/>
    </row>
    <row r="225" spans="1:15" ht="12.95" customHeight="1">
      <c r="A225" s="12" t="s">
        <v>442</v>
      </c>
      <c r="B225" s="62">
        <f>+GETPIVOTDATA(" Old Prof avg",'Averages Pivot Table'!$A$3,"State","GA","Category",4,"Category2","Four-Year")</f>
        <v>77641.045897023811</v>
      </c>
      <c r="C225" s="130">
        <f t="shared" si="36"/>
        <v>10</v>
      </c>
      <c r="D225" s="62">
        <f>+GETPIVOTDATA(" Old Asc. avg",'Averages Pivot Table'!$A$3,"State","GA","Category",4,"Category2","Four-Year")</f>
        <v>63561.250042268046</v>
      </c>
      <c r="E225" s="130">
        <f t="shared" si="36"/>
        <v>10</v>
      </c>
      <c r="F225" s="62">
        <f>+GETPIVOTDATA(" Old Ast. avg",'Averages Pivot Table'!$A$3,"State","GA","Category",4,"Category2","Four-Year")</f>
        <v>53619.708945482387</v>
      </c>
      <c r="G225" s="130">
        <f t="shared" si="32"/>
        <v>10</v>
      </c>
      <c r="H225" s="62">
        <f>+GETPIVOTDATA(" Old Inst. avg",'Averages Pivot Table'!$A$3,"State","GA","Category",4,"Category2","Four-Year")</f>
        <v>42967.943321276594</v>
      </c>
      <c r="I225" s="201">
        <f t="shared" si="33"/>
        <v>9</v>
      </c>
      <c r="J225" s="62">
        <f>+GETPIVOTDATA(" Old Undesg. avg",'Averages Pivot Table'!$A$3,"State","GA","Category",4,"Category2","Four-Year")</f>
        <v>47056.089837499996</v>
      </c>
      <c r="K225" s="130">
        <f t="shared" si="34"/>
        <v>2</v>
      </c>
      <c r="L225" s="62">
        <f>+GETPIVOTDATA(" Old All Ranks avg",'Averages Pivot Table'!$A$3,"State","GA","Category",4,"Category2","Four-Year")</f>
        <v>59928.075391244522</v>
      </c>
      <c r="M225" s="201">
        <f t="shared" si="35"/>
        <v>10</v>
      </c>
      <c r="N225" s="62"/>
      <c r="O225" s="209"/>
    </row>
    <row r="226" spans="1:15" ht="12.95" customHeight="1">
      <c r="A226" s="12" t="s">
        <v>443</v>
      </c>
      <c r="B226" s="62">
        <f>+GETPIVOTDATA(" Old Prof avg",'Averages Pivot Table'!$A$3,"State","KY","Category",4,"Category2","Four-Year")</f>
        <v>88545.295349090899</v>
      </c>
      <c r="C226" s="130">
        <f t="shared" si="36"/>
        <v>3</v>
      </c>
      <c r="D226" s="62">
        <f>+GETPIVOTDATA(" Old Asc. avg",'Averages Pivot Table'!$A$3,"State","KY","Category",4,"Category2","Four-Year")</f>
        <v>68000.423576000001</v>
      </c>
      <c r="E226" s="130">
        <f t="shared" si="36"/>
        <v>6</v>
      </c>
      <c r="F226" s="62">
        <f>+GETPIVOTDATA(" Old Ast. avg",'Averages Pivot Table'!$A$3,"State","KY","Category",4,"Category2","Four-Year")</f>
        <v>58951.922163546798</v>
      </c>
      <c r="G226" s="130">
        <f t="shared" si="32"/>
        <v>5</v>
      </c>
      <c r="H226" s="62">
        <f>+GETPIVOTDATA(" Old Inst. avg",'Averages Pivot Table'!$A$3,"State","KY","Category",4,"Category2","Four-Year")</f>
        <v>44120.200378947367</v>
      </c>
      <c r="I226" s="201">
        <f t="shared" si="33"/>
        <v>8</v>
      </c>
      <c r="J226" s="62">
        <f>+GETPIVOTDATA(" Old Undesg. avg",'Averages Pivot Table'!$A$3,"State","KY","Category",4,"Category2","Four-Year")</f>
        <v>44222.613709803918</v>
      </c>
      <c r="K226" s="130">
        <f t="shared" si="34"/>
        <v>7</v>
      </c>
      <c r="L226" s="62">
        <f>+GETPIVOTDATA(" Old All Ranks avg",'Averages Pivot Table'!$A$3,"State","KY","Category",4,"Category2","Four-Year")</f>
        <v>62441.87957303031</v>
      </c>
      <c r="M226" s="201">
        <f t="shared" si="35"/>
        <v>9</v>
      </c>
      <c r="N226" s="62"/>
      <c r="O226" s="209"/>
    </row>
    <row r="227" spans="1:15" ht="12.95" customHeight="1">
      <c r="A227" s="12" t="s">
        <v>444</v>
      </c>
      <c r="B227" s="62">
        <f>+GETPIVOTDATA(" Old Prof avg",'Averages Pivot Table'!$A$3,"State","LA","Category",4,"Category2","Four-Year")</f>
        <v>73524.769297744366</v>
      </c>
      <c r="C227" s="130">
        <f t="shared" si="36"/>
        <v>11</v>
      </c>
      <c r="D227" s="62">
        <f>+GETPIVOTDATA(" Old Asc. avg",'Averages Pivot Table'!$A$3,"State","LA","Category",4,"Category2","Four-Year")</f>
        <v>60380.084521885525</v>
      </c>
      <c r="E227" s="130">
        <f t="shared" si="36"/>
        <v>11</v>
      </c>
      <c r="F227" s="62">
        <f>+GETPIVOTDATA(" Old Ast. avg",'Averages Pivot Table'!$A$3,"State","LA","Category",4,"Category2","Four-Year")</f>
        <v>51869.674201436268</v>
      </c>
      <c r="G227" s="130">
        <f t="shared" si="32"/>
        <v>11</v>
      </c>
      <c r="H227" s="62">
        <f>+GETPIVOTDATA(" Old Inst. avg",'Averages Pivot Table'!$A$3,"State","LA","Category",4,"Category2","Four-Year")</f>
        <v>40344.870666115705</v>
      </c>
      <c r="I227" s="201">
        <f t="shared" si="33"/>
        <v>11</v>
      </c>
      <c r="J227" s="62">
        <f>+GETPIVOTDATA(" Old Undesg. avg",'Averages Pivot Table'!$A$3,"State","LA","Category",4,"Category2","Four-Year")</f>
        <v>41184.610981818179</v>
      </c>
      <c r="K227" s="130">
        <f t="shared" si="34"/>
        <v>8</v>
      </c>
      <c r="L227" s="62">
        <f>+GETPIVOTDATA(" Old All Ranks avg",'Averages Pivot Table'!$A$3,"State","LA","Category",4,"Category2","Four-Year")</f>
        <v>55789.054397960674</v>
      </c>
      <c r="M227" s="201">
        <f t="shared" si="35"/>
        <v>11</v>
      </c>
      <c r="N227" s="62"/>
      <c r="O227" s="209"/>
    </row>
    <row r="228" spans="1:15" ht="12.95" customHeight="1">
      <c r="A228" s="12" t="s">
        <v>445</v>
      </c>
      <c r="B228" s="62">
        <f>+GETPIVOTDATA(" Old Prof avg",'Averages Pivot Table'!$A$3,"State","MD","Category",4,"Category2","Four-Year")</f>
        <v>93143.451535710861</v>
      </c>
      <c r="C228" s="130">
        <f t="shared" si="36"/>
        <v>1</v>
      </c>
      <c r="D228" s="62">
        <f>+GETPIVOTDATA(" Old Asc. avg",'Averages Pivot Table'!$A$3,"State","MD","Category",4,"Category2","Four-Year")</f>
        <v>74353.8078534831</v>
      </c>
      <c r="E228" s="130">
        <f t="shared" si="36"/>
        <v>2</v>
      </c>
      <c r="F228" s="62">
        <f>+GETPIVOTDATA(" Old Ast. avg",'Averages Pivot Table'!$A$3,"State","MD","Category",4,"Category2","Four-Year")</f>
        <v>63891.567930199104</v>
      </c>
      <c r="G228" s="130">
        <f t="shared" si="32"/>
        <v>1</v>
      </c>
      <c r="H228" s="62">
        <f>+GETPIVOTDATA(" Old Inst. avg",'Averages Pivot Table'!$A$3,"State","MD","Category",4,"Category2","Four-Year")</f>
        <v>55869.546753230767</v>
      </c>
      <c r="I228" s="201">
        <f t="shared" si="33"/>
        <v>2</v>
      </c>
      <c r="J228" s="62">
        <f>+GETPIVOTDATA(" Old Undesg. avg",'Averages Pivot Table'!$A$3,"State","MD","Category",4,"Category2","Four-Year")</f>
        <v>46659.941055947136</v>
      </c>
      <c r="K228" s="130">
        <f t="shared" si="34"/>
        <v>3</v>
      </c>
      <c r="L228" s="62">
        <f>+GETPIVOTDATA(" Old All Ranks avg",'Averages Pivot Table'!$A$3,"State","MD","Category",4,"Category2","Four-Year")</f>
        <v>69855.31716569628</v>
      </c>
      <c r="M228" s="201">
        <f t="shared" si="35"/>
        <v>1</v>
      </c>
      <c r="N228" s="62"/>
      <c r="O228" s="209"/>
    </row>
    <row r="229" spans="1:15" ht="12.95" customHeight="1">
      <c r="A229" s="12"/>
      <c r="B229" s="62"/>
      <c r="C229" s="130">
        <f t="shared" si="36"/>
        <v>0</v>
      </c>
      <c r="D229" s="62"/>
      <c r="E229" s="130">
        <f t="shared" si="36"/>
        <v>0</v>
      </c>
      <c r="F229" s="62"/>
      <c r="G229" s="130">
        <f t="shared" si="32"/>
        <v>0</v>
      </c>
      <c r="H229" s="62"/>
      <c r="I229" s="201">
        <f t="shared" si="33"/>
        <v>0</v>
      </c>
      <c r="J229" s="62"/>
      <c r="K229" s="130">
        <f t="shared" si="34"/>
        <v>0</v>
      </c>
      <c r="L229" s="62"/>
      <c r="M229" s="201">
        <f t="shared" si="35"/>
        <v>0</v>
      </c>
      <c r="N229" s="62"/>
      <c r="O229" s="209"/>
    </row>
    <row r="230" spans="1:15" ht="12.95" customHeight="1">
      <c r="A230" s="12" t="s">
        <v>446</v>
      </c>
      <c r="B230" s="62">
        <f>+GETPIVOTDATA(" Old Prof avg",'Averages Pivot Table'!$A$3,"State","MS","Category",4,"Category2","Four-Year")</f>
        <v>65793.428819047622</v>
      </c>
      <c r="C230" s="130">
        <f t="shared" si="36"/>
        <v>13</v>
      </c>
      <c r="D230" s="62">
        <f>+GETPIVOTDATA(" Old Asc. avg",'Averages Pivot Table'!$A$3,"State","MS","Category",4,"Category2","Four-Year")</f>
        <v>58531.293091089108</v>
      </c>
      <c r="E230" s="130">
        <f t="shared" si="36"/>
        <v>12</v>
      </c>
      <c r="F230" s="62">
        <f>+GETPIVOTDATA(" Old Ast. avg",'Averages Pivot Table'!$A$3,"State","MS","Category",4,"Category2","Four-Year")</f>
        <v>50134.137721608044</v>
      </c>
      <c r="G230" s="130">
        <f t="shared" si="32"/>
        <v>12</v>
      </c>
      <c r="H230" s="62">
        <f>+GETPIVOTDATA(" Old Inst. avg",'Averages Pivot Table'!$A$3,"State","MS","Category",4,"Category2","Four-Year")</f>
        <v>42762.844729032266</v>
      </c>
      <c r="I230" s="201">
        <f t="shared" si="33"/>
        <v>10</v>
      </c>
      <c r="J230" s="62">
        <f>+GETPIVOTDATA(" Old Undesg. avg",'Averages Pivot Table'!$A$3,"State","MS","Category",4,"Category2","Four-Year")</f>
        <v>0</v>
      </c>
      <c r="K230" s="130">
        <f t="shared" si="34"/>
        <v>0</v>
      </c>
      <c r="L230" s="62">
        <f>+GETPIVOTDATA(" Old All Ranks avg",'Averages Pivot Table'!$A$3,"State","MS","Category",4,"Category2","Four-Year")</f>
        <v>52593.69050393701</v>
      </c>
      <c r="M230" s="201">
        <f t="shared" si="35"/>
        <v>12</v>
      </c>
      <c r="N230" s="62"/>
      <c r="O230" s="209"/>
    </row>
    <row r="231" spans="1:15" ht="12.95" customHeight="1">
      <c r="A231" s="12" t="s">
        <v>447</v>
      </c>
      <c r="B231" s="62">
        <f>+GETPIVOTDATA(" Old Prof avg",'Averages Pivot Table'!$A$3,"State","NC","Category",4,"Category2","Four-Year")</f>
        <v>87379.042837209301</v>
      </c>
      <c r="C231" s="130">
        <f t="shared" si="36"/>
        <v>4</v>
      </c>
      <c r="D231" s="62">
        <f>+GETPIVOTDATA(" Old Asc. avg",'Averages Pivot Table'!$A$3,"State","NC","Category",4,"Category2","Four-Year")</f>
        <v>75534.429543589737</v>
      </c>
      <c r="E231" s="130">
        <f t="shared" si="36"/>
        <v>1</v>
      </c>
      <c r="F231" s="62">
        <f>+GETPIVOTDATA(" Old Ast. avg",'Averages Pivot Table'!$A$3,"State","NC","Category",4,"Category2","Four-Year")</f>
        <v>62628.852561983469</v>
      </c>
      <c r="G231" s="130">
        <f t="shared" si="32"/>
        <v>3</v>
      </c>
      <c r="H231" s="62">
        <f>+GETPIVOTDATA(" Old Inst. avg",'Averages Pivot Table'!$A$3,"State","NC","Category",4,"Category2","Four-Year")</f>
        <v>59463.826650000003</v>
      </c>
      <c r="I231" s="201">
        <f t="shared" si="33"/>
        <v>1</v>
      </c>
      <c r="J231" s="62">
        <f>+GETPIVOTDATA(" Old Undesg. avg",'Averages Pivot Table'!$A$3,"State","NC","Category",4,"Category2","Four-Year")</f>
        <v>46456.910962162161</v>
      </c>
      <c r="K231" s="130">
        <f t="shared" si="34"/>
        <v>5</v>
      </c>
      <c r="L231" s="62">
        <f>+GETPIVOTDATA(" Old All Ranks avg",'Averages Pivot Table'!$A$3,"State","NC","Category",4,"Category2","Four-Year")</f>
        <v>67671.400087804868</v>
      </c>
      <c r="M231" s="201">
        <f t="shared" si="35"/>
        <v>4</v>
      </c>
      <c r="N231" s="62"/>
      <c r="O231" s="209"/>
    </row>
    <row r="232" spans="1:15" ht="12.95" customHeight="1">
      <c r="A232" s="12" t="s">
        <v>448</v>
      </c>
      <c r="B232" s="62">
        <f>+GETPIVOTDATA(" Old Prof avg",'Averages Pivot Table'!$A$3,"State","OK","Category",4,"Category2","Four-Year")</f>
        <v>0</v>
      </c>
      <c r="C232" s="130">
        <f t="shared" si="36"/>
        <v>0</v>
      </c>
      <c r="D232" s="62">
        <f>+GETPIVOTDATA(" Old Asc. avg",'Averages Pivot Table'!$A$3,"State","OK","Category",4,"Category2","Four-Year")</f>
        <v>0</v>
      </c>
      <c r="E232" s="130">
        <f t="shared" si="36"/>
        <v>0</v>
      </c>
      <c r="F232" s="62">
        <f>+GETPIVOTDATA(" Old Ast. avg",'Averages Pivot Table'!$A$3,"State","OK","Category",4,"Category2","Four-Year")</f>
        <v>0</v>
      </c>
      <c r="G232" s="130">
        <f t="shared" si="32"/>
        <v>0</v>
      </c>
      <c r="H232" s="62">
        <f>+GETPIVOTDATA(" Old Inst. avg",'Averages Pivot Table'!$A$3,"State","OK","Category",4,"Category2","Four-Year")</f>
        <v>0</v>
      </c>
      <c r="I232" s="201">
        <f t="shared" si="33"/>
        <v>0</v>
      </c>
      <c r="J232" s="62">
        <f>+GETPIVOTDATA(" Old Undesg. avg",'Averages Pivot Table'!$A$3,"State","OK","Category",4,"Category2","Four-Year")</f>
        <v>0</v>
      </c>
      <c r="K232" s="130">
        <f t="shared" si="34"/>
        <v>0</v>
      </c>
      <c r="L232" s="62">
        <f>+GETPIVOTDATA(" Old All Ranks avg",'Averages Pivot Table'!$A$3,"State","OK","Category",4,"Category2","Four-Year")</f>
        <v>0</v>
      </c>
      <c r="M232" s="201">
        <f t="shared" si="35"/>
        <v>0</v>
      </c>
      <c r="N232" s="62"/>
      <c r="O232" s="209"/>
    </row>
    <row r="233" spans="1:15" ht="12.95" customHeight="1">
      <c r="A233" s="12" t="s">
        <v>449</v>
      </c>
      <c r="B233" s="62">
        <f>+GETPIVOTDATA(" Old Prof avg",'Averages Pivot Table'!$A$3,"State","SC","Category",4,"Category2","Four-Year")</f>
        <v>83708.272727272721</v>
      </c>
      <c r="C233" s="130">
        <f t="shared" si="36"/>
        <v>6</v>
      </c>
      <c r="D233" s="62">
        <f>+GETPIVOTDATA(" Old Asc. avg",'Averages Pivot Table'!$A$3,"State","SC","Category",4,"Category2","Four-Year")</f>
        <v>68680.2</v>
      </c>
      <c r="E233" s="130">
        <f t="shared" si="36"/>
        <v>5</v>
      </c>
      <c r="F233" s="62">
        <f>+GETPIVOTDATA(" Old Ast. avg",'Averages Pivot Table'!$A$3,"State","SC","Category",4,"Category2","Four-Year")</f>
        <v>55707.24615384615</v>
      </c>
      <c r="G233" s="130">
        <f t="shared" si="32"/>
        <v>8</v>
      </c>
      <c r="H233" s="62">
        <f>+GETPIVOTDATA(" Old Inst. avg",'Averages Pivot Table'!$A$3,"State","SC","Category",4,"Category2","Four-Year")</f>
        <v>0</v>
      </c>
      <c r="I233" s="201">
        <f t="shared" si="33"/>
        <v>0</v>
      </c>
      <c r="J233" s="62">
        <f>+GETPIVOTDATA(" Old Undesg. avg",'Averages Pivot Table'!$A$3,"State","SC","Category",4,"Category2","Four-Year")</f>
        <v>0</v>
      </c>
      <c r="K233" s="130">
        <f t="shared" si="34"/>
        <v>0</v>
      </c>
      <c r="L233" s="62">
        <f>+GETPIVOTDATA(" Old All Ranks avg",'Averages Pivot Table'!$A$3,"State","SC","Category",4,"Category2","Four-Year")</f>
        <v>68583.118604651172</v>
      </c>
      <c r="M233" s="201">
        <f t="shared" si="35"/>
        <v>2</v>
      </c>
      <c r="N233" s="62"/>
      <c r="O233" s="209"/>
    </row>
    <row r="234" spans="1:15" ht="12.95" customHeight="1">
      <c r="A234" s="12"/>
      <c r="B234" s="62"/>
      <c r="C234" s="130">
        <f t="shared" si="36"/>
        <v>0</v>
      </c>
      <c r="D234" s="62"/>
      <c r="E234" s="130">
        <f t="shared" si="36"/>
        <v>0</v>
      </c>
      <c r="F234" s="62"/>
      <c r="G234" s="130">
        <f t="shared" si="32"/>
        <v>0</v>
      </c>
      <c r="H234" s="62"/>
      <c r="I234" s="201">
        <f t="shared" si="33"/>
        <v>0</v>
      </c>
      <c r="J234" s="62"/>
      <c r="K234" s="130">
        <f t="shared" si="34"/>
        <v>0</v>
      </c>
      <c r="L234" s="62"/>
      <c r="M234" s="201">
        <f t="shared" si="35"/>
        <v>0</v>
      </c>
      <c r="N234" s="62"/>
      <c r="O234" s="209"/>
    </row>
    <row r="235" spans="1:15" ht="12.95" customHeight="1">
      <c r="A235" s="12" t="s">
        <v>450</v>
      </c>
      <c r="B235" s="129">
        <f>+GETPIVOTDATA(" Old Prof avg",'Averages Pivot Table'!$A$3,"State","TN","Category",4,"Category2","Four-Year")</f>
        <v>0</v>
      </c>
      <c r="C235" s="130">
        <f t="shared" si="36"/>
        <v>0</v>
      </c>
      <c r="D235" s="129">
        <f>+GETPIVOTDATA(" Old Asc. avg",'Averages Pivot Table'!$A$3,"State","TN","Category",4,"Category2","Four-Year")</f>
        <v>0</v>
      </c>
      <c r="E235" s="130">
        <f t="shared" si="36"/>
        <v>0</v>
      </c>
      <c r="F235" s="129">
        <f>+GETPIVOTDATA(" Old Ast. avg",'Averages Pivot Table'!$A$3,"State","TN","Category",4,"Category2","Four-Year")</f>
        <v>0</v>
      </c>
      <c r="G235" s="130">
        <f t="shared" si="32"/>
        <v>0</v>
      </c>
      <c r="H235" s="129">
        <f>+GETPIVOTDATA(" Old Inst. avg",'Averages Pivot Table'!$A$3,"State","TN","Category",4,"Category2","Four-Year")</f>
        <v>0</v>
      </c>
      <c r="I235" s="201">
        <f t="shared" si="33"/>
        <v>0</v>
      </c>
      <c r="J235" s="129">
        <f>+GETPIVOTDATA(" Old Undesg. avg",'Averages Pivot Table'!$A$3,"State","TN","Category",4,"Category2","Four-Year")</f>
        <v>0</v>
      </c>
      <c r="K235" s="130">
        <f t="shared" si="34"/>
        <v>0</v>
      </c>
      <c r="L235" s="129">
        <f>+GETPIVOTDATA(" Old All Ranks avg",'Averages Pivot Table'!$A$3,"State","TN","Category",4,"Category2","Four-Year")</f>
        <v>0</v>
      </c>
      <c r="M235" s="201">
        <f t="shared" si="35"/>
        <v>0</v>
      </c>
      <c r="N235" s="62"/>
      <c r="O235" s="209"/>
    </row>
    <row r="236" spans="1:15" ht="12.95" customHeight="1">
      <c r="A236" s="12" t="s">
        <v>451</v>
      </c>
      <c r="B236" s="129">
        <f>+GETPIVOTDATA(" Old Prof avg",'Averages Pivot Table'!$A$3,"State","TX","Category",4,"Category2","Four-Year")</f>
        <v>85417.325391176477</v>
      </c>
      <c r="C236" s="130">
        <f t="shared" si="36"/>
        <v>5</v>
      </c>
      <c r="D236" s="129">
        <f>+GETPIVOTDATA(" Old Asc. avg",'Averages Pivot Table'!$A$3,"State","TX","Category",4,"Category2","Four-Year")</f>
        <v>70276.07646279069</v>
      </c>
      <c r="E236" s="130">
        <f t="shared" si="36"/>
        <v>4</v>
      </c>
      <c r="F236" s="129">
        <f>+GETPIVOTDATA(" Old Ast. avg",'Averages Pivot Table'!$A$3,"State","TX","Category",4,"Category2","Four-Year")</f>
        <v>63329.738607058825</v>
      </c>
      <c r="G236" s="130">
        <f t="shared" si="32"/>
        <v>2</v>
      </c>
      <c r="H236" s="129">
        <f>+GETPIVOTDATA(" Old Inst. avg",'Averages Pivot Table'!$A$3,"State","TX","Category",4,"Category2","Four-Year")</f>
        <v>47689.517899999999</v>
      </c>
      <c r="I236" s="201">
        <f t="shared" si="33"/>
        <v>5</v>
      </c>
      <c r="J236" s="129">
        <f>+GETPIVOTDATA(" Old Undesg. avg",'Averages Pivot Table'!$A$3,"State","TX","Category",4,"Category2","Four-Year")</f>
        <v>46526.974358974359</v>
      </c>
      <c r="K236" s="130">
        <f t="shared" si="34"/>
        <v>4</v>
      </c>
      <c r="L236" s="129">
        <f>+GETPIVOTDATA(" Old All Ranks avg",'Averages Pivot Table'!$A$3,"State","TX","Category",4,"Category2","Four-Year")</f>
        <v>67800.679385416661</v>
      </c>
      <c r="M236" s="201">
        <f t="shared" si="35"/>
        <v>3</v>
      </c>
      <c r="N236" s="62"/>
      <c r="O236" s="209"/>
    </row>
    <row r="237" spans="1:15" ht="12.95" customHeight="1">
      <c r="A237" s="12" t="s">
        <v>452</v>
      </c>
      <c r="B237" s="129">
        <f>+GETPIVOTDATA(" Old Prof avg",'Averages Pivot Table'!$A$3,"State","VA","Category",4,"Category2","Four-Year")</f>
        <v>78210.581901204816</v>
      </c>
      <c r="C237" s="130">
        <f t="shared" si="36"/>
        <v>9</v>
      </c>
      <c r="D237" s="129">
        <f>+GETPIVOTDATA(" Old Asc. avg",'Averages Pivot Table'!$A$3,"State","VA","Category",4,"Category2","Four-Year")</f>
        <v>64249.415081111118</v>
      </c>
      <c r="E237" s="130">
        <f t="shared" si="36"/>
        <v>9</v>
      </c>
      <c r="F237" s="129">
        <f>+GETPIVOTDATA(" Old Ast. avg",'Averages Pivot Table'!$A$3,"State","VA","Category",4,"Category2","Four-Year")</f>
        <v>58814.021050000003</v>
      </c>
      <c r="G237" s="130">
        <f t="shared" si="32"/>
        <v>6</v>
      </c>
      <c r="H237" s="129">
        <f>+GETPIVOTDATA(" Old Inst. avg",'Averages Pivot Table'!$A$3,"State","VA","Category",4,"Category2","Four-Year")</f>
        <v>49927.85821111111</v>
      </c>
      <c r="I237" s="201">
        <f t="shared" si="33"/>
        <v>3</v>
      </c>
      <c r="J237" s="129">
        <f>+GETPIVOTDATA(" Old Undesg. avg",'Averages Pivot Table'!$A$3,"State","VA","Category",4,"Category2","Four-Year")</f>
        <v>0</v>
      </c>
      <c r="K237" s="130">
        <f t="shared" si="34"/>
        <v>0</v>
      </c>
      <c r="L237" s="129">
        <f>+GETPIVOTDATA(" Old All Ranks avg",'Averages Pivot Table'!$A$3,"State","VA","Category",4,"Category2","Four-Year")</f>
        <v>64426.633514511035</v>
      </c>
      <c r="M237" s="201">
        <f t="shared" si="35"/>
        <v>6</v>
      </c>
      <c r="N237" s="62"/>
      <c r="O237" s="209"/>
    </row>
    <row r="238" spans="1:15" ht="12.95" customHeight="1">
      <c r="A238" s="11" t="s">
        <v>453</v>
      </c>
      <c r="B238" s="64">
        <f>+GETPIVOTDATA(" Old Prof avg",'Averages Pivot Table'!$A$3,"State","WV","Category",4,"Category2","Four-Year")</f>
        <v>0</v>
      </c>
      <c r="C238" s="65">
        <f t="shared" si="36"/>
        <v>0</v>
      </c>
      <c r="D238" s="64">
        <f>+GETPIVOTDATA(" Old Asc. avg",'Averages Pivot Table'!$A$3,"State","WV","Category",4,"Category2","Four-Year")</f>
        <v>0</v>
      </c>
      <c r="E238" s="65">
        <f t="shared" si="36"/>
        <v>0</v>
      </c>
      <c r="F238" s="64">
        <f>+GETPIVOTDATA(" Old Ast. avg",'Averages Pivot Table'!$A$3,"State","WV","Category",4,"Category2","Four-Year")</f>
        <v>0</v>
      </c>
      <c r="G238" s="65">
        <f t="shared" si="32"/>
        <v>0</v>
      </c>
      <c r="H238" s="64">
        <f>+GETPIVOTDATA(" Old Inst. avg",'Averages Pivot Table'!$A$3,"State","WV","Category",4,"Category2","Four-Year")</f>
        <v>0</v>
      </c>
      <c r="I238" s="202">
        <f t="shared" si="33"/>
        <v>0</v>
      </c>
      <c r="J238" s="64">
        <f>+GETPIVOTDATA(" Old Undesg. avg",'Averages Pivot Table'!$A$3,"State","WV","Category",4,"Category2","Four-Year")</f>
        <v>0</v>
      </c>
      <c r="K238" s="65">
        <f t="shared" si="34"/>
        <v>0</v>
      </c>
      <c r="L238" s="64">
        <f>+GETPIVOTDATA(" Old All Ranks avg",'Averages Pivot Table'!$A$3,"State","WV","Category",4,"Category2","Four-Year")</f>
        <v>0</v>
      </c>
      <c r="M238" s="202">
        <f t="shared" si="35"/>
        <v>0</v>
      </c>
      <c r="N238" s="62"/>
      <c r="O238" s="209"/>
    </row>
    <row r="239" spans="1:15" ht="30" customHeight="1">
      <c r="A239" s="629" t="s">
        <v>323</v>
      </c>
      <c r="B239" s="633"/>
      <c r="C239" s="633"/>
      <c r="D239" s="633"/>
      <c r="E239" s="633"/>
      <c r="F239" s="633"/>
      <c r="G239" s="633"/>
      <c r="H239" s="633"/>
      <c r="I239" s="633"/>
      <c r="J239" s="633"/>
      <c r="K239" s="633"/>
      <c r="L239" s="633"/>
      <c r="M239" s="633"/>
      <c r="N239" s="12"/>
      <c r="O239" s="215"/>
    </row>
    <row r="240" spans="1:15">
      <c r="M240" s="244" t="s">
        <v>1166</v>
      </c>
      <c r="O240" s="214"/>
    </row>
    <row r="241" spans="1:19" ht="18">
      <c r="A241" s="618" t="s">
        <v>784</v>
      </c>
      <c r="B241" s="618"/>
      <c r="C241" s="618"/>
      <c r="D241" s="618"/>
      <c r="E241" s="618"/>
      <c r="F241" s="618"/>
      <c r="G241" s="618"/>
      <c r="H241" s="618"/>
      <c r="I241" s="618"/>
      <c r="J241" s="618"/>
      <c r="K241" s="618"/>
      <c r="L241" s="618"/>
      <c r="M241" s="618"/>
      <c r="N241" s="167"/>
      <c r="O241" s="166"/>
    </row>
    <row r="242" spans="1:19">
      <c r="A242" s="23"/>
      <c r="B242" s="5"/>
      <c r="C242" s="5"/>
      <c r="D242" s="5"/>
      <c r="E242" s="5"/>
      <c r="F242" s="5"/>
      <c r="G242" s="5"/>
      <c r="H242" s="5"/>
      <c r="I242" s="159"/>
      <c r="J242" s="5"/>
      <c r="K242" s="5"/>
      <c r="L242" s="5"/>
      <c r="M242" s="159"/>
      <c r="N242" s="5"/>
      <c r="O242" s="159"/>
    </row>
    <row r="243" spans="1:19">
      <c r="A243" s="619" t="s">
        <v>454</v>
      </c>
      <c r="B243" s="619"/>
      <c r="C243" s="619"/>
      <c r="D243" s="619"/>
      <c r="E243" s="619"/>
      <c r="F243" s="619"/>
      <c r="G243" s="619"/>
      <c r="H243" s="619"/>
      <c r="I243" s="619"/>
      <c r="J243" s="619"/>
      <c r="K243" s="619"/>
      <c r="L243" s="619"/>
      <c r="M243" s="619"/>
      <c r="N243" s="177"/>
      <c r="O243" s="211"/>
    </row>
    <row r="244" spans="1:19">
      <c r="A244" s="619" t="s">
        <v>763</v>
      </c>
      <c r="B244" s="619"/>
      <c r="C244" s="619"/>
      <c r="D244" s="619"/>
      <c r="E244" s="619"/>
      <c r="F244" s="619"/>
      <c r="G244" s="619"/>
      <c r="H244" s="619"/>
      <c r="I244" s="619"/>
      <c r="J244" s="619"/>
      <c r="K244" s="619"/>
      <c r="L244" s="619"/>
      <c r="M244" s="619"/>
      <c r="N244" s="177"/>
      <c r="O244" s="211"/>
    </row>
    <row r="245" spans="1:19">
      <c r="A245" s="5"/>
      <c r="B245" s="5"/>
      <c r="C245" s="5"/>
      <c r="D245" s="5"/>
      <c r="E245" s="5"/>
      <c r="F245" s="5"/>
      <c r="G245" s="5"/>
      <c r="H245" s="5"/>
      <c r="I245" s="159"/>
      <c r="J245" s="5"/>
      <c r="K245" s="5"/>
      <c r="L245" s="5"/>
      <c r="M245" s="159"/>
      <c r="N245" s="63" t="s">
        <v>457</v>
      </c>
      <c r="O245" s="212"/>
    </row>
    <row r="246" spans="1:19" ht="31.5" customHeight="1">
      <c r="A246" s="15"/>
      <c r="B246" s="21" t="s">
        <v>332</v>
      </c>
      <c r="C246" s="22"/>
      <c r="D246" s="141" t="s">
        <v>333</v>
      </c>
      <c r="E246" s="142"/>
      <c r="F246" s="141" t="s">
        <v>334</v>
      </c>
      <c r="G246" s="142"/>
      <c r="H246" s="21" t="s">
        <v>335</v>
      </c>
      <c r="I246" s="225"/>
      <c r="J246" s="141" t="s">
        <v>461</v>
      </c>
      <c r="K246" s="142"/>
      <c r="L246" s="22" t="s">
        <v>316</v>
      </c>
      <c r="M246" s="225"/>
      <c r="N246" s="63" t="s">
        <v>457</v>
      </c>
      <c r="O246" s="212"/>
    </row>
    <row r="247" spans="1:19">
      <c r="A247" s="16"/>
      <c r="B247" s="19" t="s">
        <v>336</v>
      </c>
      <c r="C247" s="18" t="s">
        <v>427</v>
      </c>
      <c r="D247" s="19" t="s">
        <v>336</v>
      </c>
      <c r="E247" s="18" t="s">
        <v>427</v>
      </c>
      <c r="F247" s="19" t="s">
        <v>336</v>
      </c>
      <c r="G247" s="18" t="s">
        <v>427</v>
      </c>
      <c r="H247" s="19" t="s">
        <v>336</v>
      </c>
      <c r="I247" s="226" t="s">
        <v>427</v>
      </c>
      <c r="J247" s="19" t="s">
        <v>336</v>
      </c>
      <c r="K247" s="18" t="s">
        <v>427</v>
      </c>
      <c r="L247" s="19" t="s">
        <v>336</v>
      </c>
      <c r="M247" s="226" t="s">
        <v>427</v>
      </c>
      <c r="N247" s="63" t="s">
        <v>457</v>
      </c>
      <c r="O247" s="212"/>
    </row>
    <row r="248" spans="1:19" s="156" customFormat="1" ht="18" customHeight="1">
      <c r="A248" s="168" t="s">
        <v>456</v>
      </c>
      <c r="B248" s="172">
        <f>+GETPIVOTDATA(" Old Prof avg",'Averages Pivot Table'!$A$3,"Category",5,"Category2","Four-Year")</f>
        <v>76218.305252094709</v>
      </c>
      <c r="C248" s="172"/>
      <c r="D248" s="172">
        <f>+GETPIVOTDATA(" Old Asc. avg",'Averages Pivot Table'!$A$3,"Category",5,"Category2","Four-Year")</f>
        <v>63613.84803003096</v>
      </c>
      <c r="E248" s="172"/>
      <c r="F248" s="172">
        <f>+GETPIVOTDATA(" Old Ast. avg",'Averages Pivot Table'!$A$3,"Category",5,"Category2","Four-Year")</f>
        <v>53399.036274798498</v>
      </c>
      <c r="G248" s="172"/>
      <c r="H248" s="172">
        <f>+GETPIVOTDATA(" Old Inst. avg",'Averages Pivot Table'!$A$3,"Category",5,"Category2","Four-Year")</f>
        <v>44034.440075744678</v>
      </c>
      <c r="I248" s="229"/>
      <c r="J248" s="172">
        <f>+GETPIVOTDATA(" Old Undesg. avg",'Averages Pivot Table'!$A$3,"Category",5,"Category2","Four-Year")</f>
        <v>43427.635491689005</v>
      </c>
      <c r="K248" s="172"/>
      <c r="L248" s="172">
        <f>+GETPIVOTDATA(" Old All Ranks avg",'Averages Pivot Table'!$A$3,"Category",5,"Category2","Four-Year")</f>
        <v>58640.492704222183</v>
      </c>
      <c r="M248" s="232"/>
      <c r="N248" s="176"/>
      <c r="O248" s="224"/>
      <c r="Q248" s="193"/>
      <c r="R248" s="193"/>
      <c r="S248" s="193"/>
    </row>
    <row r="249" spans="1:19" ht="12.95" customHeight="1">
      <c r="A249" s="12"/>
      <c r="B249" s="9"/>
      <c r="C249" s="17"/>
      <c r="D249" s="9"/>
      <c r="E249" s="17"/>
      <c r="F249" s="9"/>
      <c r="G249" s="17"/>
      <c r="H249" s="9"/>
      <c r="I249" s="233"/>
      <c r="J249" s="9"/>
      <c r="K249" s="17"/>
      <c r="L249" s="9"/>
      <c r="M249" s="233"/>
      <c r="N249" s="9"/>
      <c r="O249" s="217"/>
    </row>
    <row r="250" spans="1:19" ht="12.95" customHeight="1">
      <c r="A250" s="12" t="s">
        <v>439</v>
      </c>
      <c r="B250" s="62">
        <f>+GETPIVOTDATA(" Old Prof avg",'Averages Pivot Table'!$A$3,"State","AL","Category",5,"Category2","Four-Year")</f>
        <v>74400.395833333328</v>
      </c>
      <c r="C250" s="130">
        <f>IF(B250&gt;0,(RANK(B250,B$250:B$268)),0)</f>
        <v>6</v>
      </c>
      <c r="D250" s="62">
        <f>+GETPIVOTDATA(" Old Asc. avg",'Averages Pivot Table'!$A$3,"State","AL","Category",5,"Category2","Four-Year")</f>
        <v>60900.353846153848</v>
      </c>
      <c r="E250" s="130">
        <f>IF(D250&gt;0,(RANK(D250,D$250:D$268)),0)</f>
        <v>5</v>
      </c>
      <c r="F250" s="62">
        <f>+GETPIVOTDATA(" Old Ast. avg",'Averages Pivot Table'!$A$3,"State","AL","Category",5,"Category2","Four-Year")</f>
        <v>49526.585585585584</v>
      </c>
      <c r="G250" s="130">
        <f t="shared" ref="G250:G268" si="37">IF(F250&gt;0,(RANK(F250,F$250:F$268)),0)</f>
        <v>8</v>
      </c>
      <c r="H250" s="62">
        <f>+GETPIVOTDATA(" Old Inst. avg",'Averages Pivot Table'!$A$3,"State","AL","Category",5,"Category2","Four-Year")</f>
        <v>43031.238095238092</v>
      </c>
      <c r="I250" s="201">
        <f t="shared" ref="I250:I268" si="38">IF(H250&gt;0,(RANK(H250,H$250:H$268)),0)</f>
        <v>7</v>
      </c>
      <c r="J250" s="62">
        <f>+GETPIVOTDATA(" Old Undesg. avg",'Averages Pivot Table'!$A$3,"State","AL","Category",5,"Category2","Four-Year")</f>
        <v>28475.588914285712</v>
      </c>
      <c r="K250" s="130">
        <f t="shared" ref="K250:K268" si="39">IF(J250&gt;0,(RANK(J250,J$250:J$268)),0)</f>
        <v>9</v>
      </c>
      <c r="L250" s="62">
        <f>+GETPIVOTDATA(" Old All Ranks avg",'Averages Pivot Table'!$A$3,"State","AL","Category",5,"Category2","Four-Year")</f>
        <v>56072.135406349211</v>
      </c>
      <c r="M250" s="201">
        <f t="shared" ref="M250:M268" si="40">IF(L250&gt;0,(RANK(L250,L$250:L$268)),0)</f>
        <v>8</v>
      </c>
      <c r="N250" s="62"/>
      <c r="O250" s="212"/>
    </row>
    <row r="251" spans="1:19" ht="12.95" customHeight="1">
      <c r="A251" s="12" t="s">
        <v>440</v>
      </c>
      <c r="B251" s="62">
        <f>+GETPIVOTDATA(" Old Prof avg",'Averages Pivot Table'!$A$3,"State","AR","Category",5,"Category2","Four-Year")</f>
        <v>65700.90272888889</v>
      </c>
      <c r="C251" s="130">
        <f t="shared" ref="C251:E268" si="41">IF(B251&gt;0,(RANK(B251,B$250:B$268)),0)</f>
        <v>10</v>
      </c>
      <c r="D251" s="62">
        <f>+GETPIVOTDATA(" Old Asc. avg",'Averages Pivot Table'!$A$3,"State","AR","Category",5,"Category2","Four-Year")</f>
        <v>56934.978285714293</v>
      </c>
      <c r="E251" s="130">
        <f t="shared" si="41"/>
        <v>10</v>
      </c>
      <c r="F251" s="62">
        <f>+GETPIVOTDATA(" Old Ast. avg",'Averages Pivot Table'!$A$3,"State","AR","Category",5,"Category2","Four-Year")</f>
        <v>47704.670287619054</v>
      </c>
      <c r="G251" s="130">
        <f t="shared" si="37"/>
        <v>10</v>
      </c>
      <c r="H251" s="62">
        <f>+GETPIVOTDATA(" Old Inst. avg",'Averages Pivot Table'!$A$3,"State","AR","Category",5,"Category2","Four-Year")</f>
        <v>40057.798426470588</v>
      </c>
      <c r="I251" s="201">
        <f t="shared" si="38"/>
        <v>11</v>
      </c>
      <c r="J251" s="62">
        <f>+GETPIVOTDATA(" Old Undesg. avg",'Averages Pivot Table'!$A$3,"State","AR","Category",5,"Category2","Four-Year")</f>
        <v>35458.892986206898</v>
      </c>
      <c r="K251" s="130">
        <f t="shared" si="39"/>
        <v>8</v>
      </c>
      <c r="L251" s="62">
        <f>+GETPIVOTDATA(" Old All Ranks avg",'Averages Pivot Table'!$A$3,"State","AR","Category",5,"Category2","Four-Year")</f>
        <v>49369.912337419351</v>
      </c>
      <c r="M251" s="201">
        <f t="shared" si="40"/>
        <v>10</v>
      </c>
      <c r="N251" s="62"/>
      <c r="O251" s="212"/>
    </row>
    <row r="252" spans="1:19" ht="12.95" customHeight="1">
      <c r="A252" s="12" t="s">
        <v>455</v>
      </c>
      <c r="B252" s="62">
        <f>+GETPIVOTDATA(" Old Prof avg",'Averages Pivot Table'!$A$3,"State","DE","Category",5,"Category2","Four-Year")</f>
        <v>0</v>
      </c>
      <c r="C252" s="130">
        <f t="shared" si="41"/>
        <v>0</v>
      </c>
      <c r="D252" s="62">
        <f>+GETPIVOTDATA(" Old Asc. avg",'Averages Pivot Table'!$A$3,"State","DE","Category",5,"Category2","Four-Year")</f>
        <v>0</v>
      </c>
      <c r="E252" s="130">
        <f t="shared" si="41"/>
        <v>0</v>
      </c>
      <c r="F252" s="62">
        <f>+GETPIVOTDATA(" Old Ast. avg",'Averages Pivot Table'!$A$3,"State","DE","Category",5,"Category2","Four-Year")</f>
        <v>0</v>
      </c>
      <c r="G252" s="130">
        <f t="shared" si="37"/>
        <v>0</v>
      </c>
      <c r="H252" s="62">
        <f>+GETPIVOTDATA(" Old Inst. avg",'Averages Pivot Table'!$A$3,"State","DE","Category",5,"Category2","Four-Year")</f>
        <v>0</v>
      </c>
      <c r="I252" s="201">
        <f t="shared" si="38"/>
        <v>0</v>
      </c>
      <c r="J252" s="62">
        <f>+GETPIVOTDATA(" Old Undesg. avg",'Averages Pivot Table'!$A$3,"State","DE","Category",5,"Category2","Four-Year")</f>
        <v>0</v>
      </c>
      <c r="K252" s="130">
        <f t="shared" si="39"/>
        <v>0</v>
      </c>
      <c r="L252" s="62">
        <f>+GETPIVOTDATA(" Old All Ranks avg",'Averages Pivot Table'!$A$3,"State","DE","Category",5,"Category2","Four-Year")</f>
        <v>0</v>
      </c>
      <c r="M252" s="201">
        <f t="shared" si="40"/>
        <v>0</v>
      </c>
      <c r="N252" s="62"/>
      <c r="O252" s="212"/>
    </row>
    <row r="253" spans="1:19" ht="12.95" customHeight="1">
      <c r="A253" s="12" t="s">
        <v>441</v>
      </c>
      <c r="B253" s="62">
        <f>+GETPIVOTDATA(" Old Prof avg",'Averages Pivot Table'!$A$3,"State","FL","Category",5,"Category2","Four-Year")</f>
        <v>0</v>
      </c>
      <c r="C253" s="130">
        <f t="shared" si="41"/>
        <v>0</v>
      </c>
      <c r="D253" s="62">
        <f>+GETPIVOTDATA(" Old Asc. avg",'Averages Pivot Table'!$A$3,"State","FL","Category",5,"Category2","Four-Year")</f>
        <v>0</v>
      </c>
      <c r="E253" s="130">
        <f t="shared" si="41"/>
        <v>0</v>
      </c>
      <c r="F253" s="62">
        <f>+GETPIVOTDATA(" Old Ast. avg",'Averages Pivot Table'!$A$3,"State","FL","Category",5,"Category2","Four-Year")</f>
        <v>0</v>
      </c>
      <c r="G253" s="130">
        <f t="shared" si="37"/>
        <v>0</v>
      </c>
      <c r="H253" s="62">
        <f>+GETPIVOTDATA(" Old Inst. avg",'Averages Pivot Table'!$A$3,"State","FL","Category",5,"Category2","Four-Year")</f>
        <v>0</v>
      </c>
      <c r="I253" s="201">
        <f t="shared" si="38"/>
        <v>0</v>
      </c>
      <c r="J253" s="62">
        <f>+GETPIVOTDATA(" Old Undesg. avg",'Averages Pivot Table'!$A$3,"State","FL","Category",5,"Category2","Four-Year")</f>
        <v>0</v>
      </c>
      <c r="K253" s="130">
        <f t="shared" si="39"/>
        <v>0</v>
      </c>
      <c r="L253" s="62">
        <f>+GETPIVOTDATA(" Old All Ranks avg",'Averages Pivot Table'!$A$3,"State","FL","Category",5,"Category2","Four-Year")</f>
        <v>0</v>
      </c>
      <c r="M253" s="201">
        <f t="shared" si="40"/>
        <v>0</v>
      </c>
      <c r="N253" s="62"/>
      <c r="O253" s="212"/>
    </row>
    <row r="254" spans="1:19" ht="12.95" customHeight="1">
      <c r="A254" s="12"/>
      <c r="B254" s="62"/>
      <c r="C254" s="130">
        <f t="shared" si="41"/>
        <v>0</v>
      </c>
      <c r="D254" s="62"/>
      <c r="E254" s="130">
        <f t="shared" si="41"/>
        <v>0</v>
      </c>
      <c r="F254" s="62"/>
      <c r="G254" s="130">
        <f t="shared" si="37"/>
        <v>0</v>
      </c>
      <c r="H254" s="62"/>
      <c r="I254" s="201">
        <f t="shared" si="38"/>
        <v>0</v>
      </c>
      <c r="J254" s="62"/>
      <c r="K254" s="130">
        <f t="shared" si="39"/>
        <v>0</v>
      </c>
      <c r="L254" s="62"/>
      <c r="M254" s="201">
        <f t="shared" si="40"/>
        <v>0</v>
      </c>
      <c r="N254" s="62"/>
      <c r="O254" s="212"/>
    </row>
    <row r="255" spans="1:19" ht="12.95" customHeight="1">
      <c r="A255" s="12" t="s">
        <v>442</v>
      </c>
      <c r="B255" s="62">
        <f>+GETPIVOTDATA(" Old Prof avg",'Averages Pivot Table'!$A$3,"State","GA","Category",5,"Category2","Four-Year")</f>
        <v>74353.521858479537</v>
      </c>
      <c r="C255" s="130">
        <f t="shared" si="41"/>
        <v>7</v>
      </c>
      <c r="D255" s="62">
        <f>+GETPIVOTDATA(" Old Asc. avg",'Averages Pivot Table'!$A$3,"State","GA","Category",5,"Category2","Four-Year")</f>
        <v>60068.989546961318</v>
      </c>
      <c r="E255" s="130">
        <f t="shared" si="41"/>
        <v>7</v>
      </c>
      <c r="F255" s="62">
        <f>+GETPIVOTDATA(" Old Ast. avg",'Averages Pivot Table'!$A$3,"State","GA","Category",5,"Category2","Four-Year")</f>
        <v>51289.319389440992</v>
      </c>
      <c r="G255" s="130">
        <f t="shared" si="37"/>
        <v>6</v>
      </c>
      <c r="H255" s="62">
        <f>+GETPIVOTDATA(" Old Inst. avg",'Averages Pivot Table'!$A$3,"State","GA","Category",5,"Category2","Four-Year")</f>
        <v>40872.711972277226</v>
      </c>
      <c r="I255" s="201">
        <f t="shared" si="38"/>
        <v>10</v>
      </c>
      <c r="J255" s="62">
        <f>+GETPIVOTDATA(" Old Undesg. avg",'Averages Pivot Table'!$A$3,"State","GA","Category",5,"Category2","Four-Year")</f>
        <v>40438.353073684208</v>
      </c>
      <c r="K255" s="130">
        <f t="shared" si="39"/>
        <v>6</v>
      </c>
      <c r="L255" s="62">
        <f>+GETPIVOTDATA(" Old All Ranks avg",'Averages Pivot Table'!$A$3,"State","GA","Category",5,"Category2","Four-Year")</f>
        <v>56293.851802214027</v>
      </c>
      <c r="M255" s="201">
        <f t="shared" si="40"/>
        <v>7</v>
      </c>
      <c r="N255" s="62"/>
      <c r="O255" s="212"/>
    </row>
    <row r="256" spans="1:19" ht="12.95" customHeight="1">
      <c r="A256" s="12" t="s">
        <v>443</v>
      </c>
      <c r="B256" s="62">
        <f>+GETPIVOTDATA(" Old Prof avg",'Averages Pivot Table'!$A$3,"State","KY","Category",5,"Category2","Four-Year")</f>
        <v>0</v>
      </c>
      <c r="C256" s="130">
        <f t="shared" si="41"/>
        <v>0</v>
      </c>
      <c r="D256" s="62">
        <f>+GETPIVOTDATA(" Old Asc. avg",'Averages Pivot Table'!$A$3,"State","KY","Category",5,"Category2","Four-Year")</f>
        <v>0</v>
      </c>
      <c r="E256" s="130">
        <f t="shared" si="41"/>
        <v>0</v>
      </c>
      <c r="F256" s="62">
        <f>+GETPIVOTDATA(" Old Ast. avg",'Averages Pivot Table'!$A$3,"State","KY","Category",5,"Category2","Four-Year")</f>
        <v>0</v>
      </c>
      <c r="G256" s="130">
        <f t="shared" si="37"/>
        <v>0</v>
      </c>
      <c r="H256" s="62">
        <f>+GETPIVOTDATA(" Old Inst. avg",'Averages Pivot Table'!$A$3,"State","KY","Category",5,"Category2","Four-Year")</f>
        <v>0</v>
      </c>
      <c r="I256" s="201">
        <f t="shared" si="38"/>
        <v>0</v>
      </c>
      <c r="J256" s="62">
        <f>+GETPIVOTDATA(" Old Undesg. avg",'Averages Pivot Table'!$A$3,"State","KY","Category",5,"Category2","Four-Year")</f>
        <v>0</v>
      </c>
      <c r="K256" s="130">
        <f t="shared" si="39"/>
        <v>0</v>
      </c>
      <c r="L256" s="62">
        <f>+GETPIVOTDATA(" Old All Ranks avg",'Averages Pivot Table'!$A$3,"State","KY","Category",5,"Category2","Four-Year")</f>
        <v>0</v>
      </c>
      <c r="M256" s="201">
        <f t="shared" si="40"/>
        <v>0</v>
      </c>
      <c r="N256" s="62"/>
      <c r="O256" s="212"/>
    </row>
    <row r="257" spans="1:15" ht="12.95" customHeight="1">
      <c r="A257" s="12" t="s">
        <v>444</v>
      </c>
      <c r="B257" s="62">
        <f>+GETPIVOTDATA(" Old Prof avg",'Averages Pivot Table'!$A$3,"State","LA","Category",5,"Category2","Four-Year")</f>
        <v>0</v>
      </c>
      <c r="C257" s="130">
        <f t="shared" si="41"/>
        <v>0</v>
      </c>
      <c r="D257" s="62">
        <f>+GETPIVOTDATA(" Old Asc. avg",'Averages Pivot Table'!$A$3,"State","LA","Category",5,"Category2","Four-Year")</f>
        <v>0</v>
      </c>
      <c r="E257" s="130">
        <f t="shared" si="41"/>
        <v>0</v>
      </c>
      <c r="F257" s="62">
        <f>+GETPIVOTDATA(" Old Ast. avg",'Averages Pivot Table'!$A$3,"State","LA","Category",5,"Category2","Four-Year")</f>
        <v>0</v>
      </c>
      <c r="G257" s="130">
        <f t="shared" si="37"/>
        <v>0</v>
      </c>
      <c r="H257" s="62">
        <f>+GETPIVOTDATA(" Old Inst. avg",'Averages Pivot Table'!$A$3,"State","LA","Category",5,"Category2","Four-Year")</f>
        <v>0</v>
      </c>
      <c r="I257" s="201">
        <f t="shared" si="38"/>
        <v>0</v>
      </c>
      <c r="J257" s="62">
        <f>+GETPIVOTDATA(" Old Undesg. avg",'Averages Pivot Table'!$A$3,"State","LA","Category",5,"Category2","Four-Year")</f>
        <v>0</v>
      </c>
      <c r="K257" s="130">
        <f t="shared" si="39"/>
        <v>0</v>
      </c>
      <c r="L257" s="62">
        <f>+GETPIVOTDATA(" Old All Ranks avg",'Averages Pivot Table'!$A$3,"State","LA","Category",5,"Category2","Four-Year")</f>
        <v>0</v>
      </c>
      <c r="M257" s="201">
        <f t="shared" si="40"/>
        <v>0</v>
      </c>
      <c r="N257" s="62"/>
      <c r="O257" s="212"/>
    </row>
    <row r="258" spans="1:15" ht="12.95" customHeight="1">
      <c r="A258" s="12" t="s">
        <v>445</v>
      </c>
      <c r="B258" s="62">
        <f>+GETPIVOTDATA(" Old Prof avg",'Averages Pivot Table'!$A$3,"State","MD","Category",5,"Category2","Four-Year")</f>
        <v>0</v>
      </c>
      <c r="C258" s="130">
        <f t="shared" si="41"/>
        <v>0</v>
      </c>
      <c r="D258" s="62">
        <f>+GETPIVOTDATA(" Old Asc. avg",'Averages Pivot Table'!$A$3,"State","MD","Category",5,"Category2","Four-Year")</f>
        <v>0</v>
      </c>
      <c r="E258" s="130">
        <f t="shared" si="41"/>
        <v>0</v>
      </c>
      <c r="F258" s="62">
        <f>+GETPIVOTDATA(" Old Ast. avg",'Averages Pivot Table'!$A$3,"State","MD","Category",5,"Category2","Four-Year")</f>
        <v>0</v>
      </c>
      <c r="G258" s="130">
        <f t="shared" si="37"/>
        <v>0</v>
      </c>
      <c r="H258" s="62">
        <f>+GETPIVOTDATA(" Old Inst. avg",'Averages Pivot Table'!$A$3,"State","MD","Category",5,"Category2","Four-Year")</f>
        <v>0</v>
      </c>
      <c r="I258" s="201">
        <f t="shared" si="38"/>
        <v>0</v>
      </c>
      <c r="J258" s="62">
        <f>+GETPIVOTDATA(" Old Undesg. avg",'Averages Pivot Table'!$A$3,"State","MD","Category",5,"Category2","Four-Year")</f>
        <v>0</v>
      </c>
      <c r="K258" s="130">
        <f t="shared" si="39"/>
        <v>0</v>
      </c>
      <c r="L258" s="62">
        <f>+GETPIVOTDATA(" Old All Ranks avg",'Averages Pivot Table'!$A$3,"State","MD","Category",5,"Category2","Four-Year")</f>
        <v>0</v>
      </c>
      <c r="M258" s="201">
        <f t="shared" si="40"/>
        <v>0</v>
      </c>
      <c r="N258" s="62"/>
      <c r="O258" s="212"/>
    </row>
    <row r="259" spans="1:15" ht="12.95" customHeight="1">
      <c r="A259" s="12"/>
      <c r="B259" s="62"/>
      <c r="C259" s="130">
        <f t="shared" si="41"/>
        <v>0</v>
      </c>
      <c r="D259" s="62"/>
      <c r="E259" s="130">
        <f t="shared" si="41"/>
        <v>0</v>
      </c>
      <c r="F259" s="62"/>
      <c r="G259" s="130">
        <f t="shared" si="37"/>
        <v>0</v>
      </c>
      <c r="H259" s="62"/>
      <c r="I259" s="201">
        <f t="shared" si="38"/>
        <v>0</v>
      </c>
      <c r="J259" s="62"/>
      <c r="K259" s="130">
        <f t="shared" si="39"/>
        <v>0</v>
      </c>
      <c r="L259" s="62"/>
      <c r="M259" s="201">
        <f t="shared" si="40"/>
        <v>0</v>
      </c>
      <c r="N259" s="62"/>
      <c r="O259" s="212"/>
    </row>
    <row r="260" spans="1:15" ht="12.95" customHeight="1">
      <c r="A260" s="12" t="s">
        <v>446</v>
      </c>
      <c r="B260" s="62">
        <f>+GETPIVOTDATA(" Old Prof avg",'Averages Pivot Table'!$A$3,"State","MS","Category",5,"Category2","Four-Year")</f>
        <v>56448.267930769238</v>
      </c>
      <c r="C260" s="130">
        <f t="shared" si="41"/>
        <v>11</v>
      </c>
      <c r="D260" s="62">
        <f>+GETPIVOTDATA(" Old Asc. avg",'Averages Pivot Table'!$A$3,"State","MS","Category",5,"Category2","Four-Year")</f>
        <v>47110.057057142854</v>
      </c>
      <c r="E260" s="130">
        <f t="shared" si="41"/>
        <v>11</v>
      </c>
      <c r="F260" s="62">
        <f>+GETPIVOTDATA(" Old Ast. avg",'Averages Pivot Table'!$A$3,"State","MS","Category",5,"Category2","Four-Year")</f>
        <v>47238.51666666667</v>
      </c>
      <c r="G260" s="130">
        <f t="shared" si="37"/>
        <v>11</v>
      </c>
      <c r="H260" s="62">
        <f>+GETPIVOTDATA(" Old Inst. avg",'Averages Pivot Table'!$A$3,"State","MS","Category",5,"Category2","Four-Year")</f>
        <v>46855.648745098042</v>
      </c>
      <c r="I260" s="201">
        <f t="shared" si="38"/>
        <v>4</v>
      </c>
      <c r="J260" s="62">
        <f>+GETPIVOTDATA(" Old Undesg. avg",'Averages Pivot Table'!$A$3,"State","MS","Category",5,"Category2","Four-Year")</f>
        <v>0</v>
      </c>
      <c r="K260" s="130">
        <f t="shared" si="39"/>
        <v>0</v>
      </c>
      <c r="L260" s="62">
        <f>+GETPIVOTDATA(" Old All Ranks avg",'Averages Pivot Table'!$A$3,"State","MS","Category",5,"Category2","Four-Year")</f>
        <v>48859.633211940294</v>
      </c>
      <c r="M260" s="201">
        <f t="shared" si="40"/>
        <v>11</v>
      </c>
      <c r="N260" s="62"/>
      <c r="O260" s="212"/>
    </row>
    <row r="261" spans="1:15" ht="12.95" customHeight="1">
      <c r="A261" s="12" t="s">
        <v>447</v>
      </c>
      <c r="B261" s="62">
        <f>+GETPIVOTDATA(" Old Prof avg",'Averages Pivot Table'!$A$3,"State","NC","Category",5,"Category2","Four-Year")</f>
        <v>88306.499459340659</v>
      </c>
      <c r="C261" s="130">
        <f t="shared" si="41"/>
        <v>1</v>
      </c>
      <c r="D261" s="62">
        <f>+GETPIVOTDATA(" Old Asc. avg",'Averages Pivot Table'!$A$3,"State","NC","Category",5,"Category2","Four-Year")</f>
        <v>72800.444211834329</v>
      </c>
      <c r="E261" s="130">
        <f t="shared" si="41"/>
        <v>1</v>
      </c>
      <c r="F261" s="62">
        <f>+GETPIVOTDATA(" Old Ast. avg",'Averages Pivot Table'!$A$3,"State","NC","Category",5,"Category2","Four-Year")</f>
        <v>62791.392833480175</v>
      </c>
      <c r="G261" s="130">
        <f t="shared" si="37"/>
        <v>1</v>
      </c>
      <c r="H261" s="62">
        <f>+GETPIVOTDATA(" Old Inst. avg",'Averages Pivot Table'!$A$3,"State","NC","Category",5,"Category2","Four-Year")</f>
        <v>57794.361982608702</v>
      </c>
      <c r="I261" s="201">
        <f t="shared" si="38"/>
        <v>1</v>
      </c>
      <c r="J261" s="62">
        <f>+GETPIVOTDATA(" Old Undesg. avg",'Averages Pivot Table'!$A$3,"State","NC","Category",5,"Category2","Four-Year")</f>
        <v>47574.182581176472</v>
      </c>
      <c r="K261" s="130">
        <f t="shared" si="39"/>
        <v>1</v>
      </c>
      <c r="L261" s="62">
        <f>+GETPIVOTDATA(" Old All Ranks avg",'Averages Pivot Table'!$A$3,"State","NC","Category",5,"Category2","Four-Year")</f>
        <v>66820.645414886734</v>
      </c>
      <c r="M261" s="201">
        <f t="shared" si="40"/>
        <v>1</v>
      </c>
      <c r="N261" s="62"/>
      <c r="O261" s="212"/>
    </row>
    <row r="262" spans="1:15" ht="12.95" customHeight="1">
      <c r="A262" s="12" t="s">
        <v>448</v>
      </c>
      <c r="B262" s="62">
        <f>+GETPIVOTDATA(" Old Prof avg",'Averages Pivot Table'!$A$3,"State","OK","Category",5,"Category2","Four-Year")</f>
        <v>69571.189004081636</v>
      </c>
      <c r="C262" s="130">
        <f t="shared" si="41"/>
        <v>9</v>
      </c>
      <c r="D262" s="62">
        <f>+GETPIVOTDATA(" Old Asc. avg",'Averages Pivot Table'!$A$3,"State","OK","Category",5,"Category2","Four-Year")</f>
        <v>59305.277126315785</v>
      </c>
      <c r="E262" s="130">
        <f t="shared" si="41"/>
        <v>8</v>
      </c>
      <c r="F262" s="62">
        <f>+GETPIVOTDATA(" Old Ast. avg",'Averages Pivot Table'!$A$3,"State","OK","Category",5,"Category2","Four-Year")</f>
        <v>49014.915893680292</v>
      </c>
      <c r="G262" s="130">
        <f t="shared" si="37"/>
        <v>9</v>
      </c>
      <c r="H262" s="62">
        <f>+GETPIVOTDATA(" Old Inst. avg",'Averages Pivot Table'!$A$3,"State","OK","Category",5,"Category2","Four-Year")</f>
        <v>41575.142650190115</v>
      </c>
      <c r="I262" s="201">
        <f t="shared" si="38"/>
        <v>8</v>
      </c>
      <c r="J262" s="62">
        <f>+GETPIVOTDATA(" Old Undesg. avg",'Averages Pivot Table'!$A$3,"State","OK","Category",5,"Category2","Four-Year")</f>
        <v>0</v>
      </c>
      <c r="K262" s="130">
        <f t="shared" si="39"/>
        <v>0</v>
      </c>
      <c r="L262" s="62">
        <f>+GETPIVOTDATA(" Old All Ranks avg",'Averages Pivot Table'!$A$3,"State","OK","Category",5,"Category2","Four-Year")</f>
        <v>53402.211972984755</v>
      </c>
      <c r="M262" s="201">
        <f t="shared" si="40"/>
        <v>9</v>
      </c>
      <c r="N262" s="62"/>
      <c r="O262" s="212"/>
    </row>
    <row r="263" spans="1:15" ht="12.95" customHeight="1">
      <c r="A263" s="12" t="s">
        <v>449</v>
      </c>
      <c r="B263" s="62">
        <f>+GETPIVOTDATA(" Old Prof avg",'Averages Pivot Table'!$A$3,"State","SC","Category",5,"Category2","Four-Year")</f>
        <v>77239.321168354436</v>
      </c>
      <c r="C263" s="130">
        <f t="shared" si="41"/>
        <v>4</v>
      </c>
      <c r="D263" s="62">
        <f>+GETPIVOTDATA(" Old Asc. avg",'Averages Pivot Table'!$A$3,"State","SC","Category",5,"Category2","Four-Year")</f>
        <v>64412.217615384616</v>
      </c>
      <c r="E263" s="130">
        <f t="shared" si="41"/>
        <v>4</v>
      </c>
      <c r="F263" s="62">
        <f>+GETPIVOTDATA(" Old Ast. avg",'Averages Pivot Table'!$A$3,"State","SC","Category",5,"Category2","Four-Year")</f>
        <v>56163.616619081273</v>
      </c>
      <c r="G263" s="130">
        <f t="shared" si="37"/>
        <v>2</v>
      </c>
      <c r="H263" s="62">
        <f>+GETPIVOTDATA(" Old Inst. avg",'Averages Pivot Table'!$A$3,"State","SC","Category",5,"Category2","Four-Year")</f>
        <v>45698.840901587304</v>
      </c>
      <c r="I263" s="201">
        <f t="shared" si="38"/>
        <v>6</v>
      </c>
      <c r="J263" s="62">
        <f>+GETPIVOTDATA(" Old Undesg. avg",'Averages Pivot Table'!$A$3,"State","SC","Category",5,"Category2","Four-Year")</f>
        <v>40217.592410526318</v>
      </c>
      <c r="K263" s="130">
        <f t="shared" si="39"/>
        <v>7</v>
      </c>
      <c r="L263" s="62">
        <f>+GETPIVOTDATA(" Old All Ranks avg",'Averages Pivot Table'!$A$3,"State","SC","Category",5,"Category2","Four-Year")</f>
        <v>60555.275367429334</v>
      </c>
      <c r="M263" s="201">
        <f t="shared" si="40"/>
        <v>4</v>
      </c>
      <c r="N263" s="62"/>
      <c r="O263" s="212"/>
    </row>
    <row r="264" spans="1:15" ht="12.95" customHeight="1">
      <c r="A264" s="12"/>
      <c r="B264" s="62"/>
      <c r="C264" s="130">
        <f t="shared" si="41"/>
        <v>0</v>
      </c>
      <c r="D264" s="62"/>
      <c r="E264" s="130">
        <f t="shared" si="41"/>
        <v>0</v>
      </c>
      <c r="F264" s="62"/>
      <c r="G264" s="130">
        <f t="shared" si="37"/>
        <v>0</v>
      </c>
      <c r="H264" s="62"/>
      <c r="I264" s="201">
        <f t="shared" si="38"/>
        <v>0</v>
      </c>
      <c r="J264" s="62"/>
      <c r="K264" s="130">
        <f t="shared" si="39"/>
        <v>0</v>
      </c>
      <c r="L264" s="62"/>
      <c r="M264" s="201">
        <f t="shared" si="40"/>
        <v>0</v>
      </c>
      <c r="N264" s="62"/>
      <c r="O264" s="212"/>
    </row>
    <row r="265" spans="1:15" ht="12.95" customHeight="1">
      <c r="A265" s="12" t="s">
        <v>450</v>
      </c>
      <c r="B265" s="129">
        <f>+GETPIVOTDATA(" Old Prof avg",'Averages Pivot Table'!$A$3,"State","TN","Category",5,"Category2","Four-Year")</f>
        <v>74851.222146666667</v>
      </c>
      <c r="C265" s="130">
        <f t="shared" si="41"/>
        <v>5</v>
      </c>
      <c r="D265" s="129">
        <f>+GETPIVOTDATA(" Old Asc. avg",'Averages Pivot Table'!$A$3,"State","TN","Category",5,"Category2","Four-Year")</f>
        <v>58418.474426666668</v>
      </c>
      <c r="E265" s="130">
        <f t="shared" si="41"/>
        <v>9</v>
      </c>
      <c r="F265" s="129">
        <f>+GETPIVOTDATA(" Old Ast. avg",'Averages Pivot Table'!$A$3,"State","TN","Category",5,"Category2","Four-Year")</f>
        <v>52214.770465116279</v>
      </c>
      <c r="G265" s="130">
        <f t="shared" si="37"/>
        <v>5</v>
      </c>
      <c r="H265" s="129">
        <f>+GETPIVOTDATA(" Old Inst. avg",'Averages Pivot Table'!$A$3,"State","TN","Category",5,"Category2","Four-Year")</f>
        <v>46141.723959999996</v>
      </c>
      <c r="I265" s="201">
        <f t="shared" si="38"/>
        <v>5</v>
      </c>
      <c r="J265" s="129">
        <f>+GETPIVOTDATA(" Old Undesg. avg",'Averages Pivot Table'!$A$3,"State","TN","Category",5,"Category2","Four-Year")</f>
        <v>41833.395833333336</v>
      </c>
      <c r="K265" s="130">
        <f t="shared" si="39"/>
        <v>5</v>
      </c>
      <c r="L265" s="129">
        <f>+GETPIVOTDATA(" Old All Ranks avg",'Averages Pivot Table'!$A$3,"State","TN","Category",5,"Category2","Four-Year")</f>
        <v>57167.812954014604</v>
      </c>
      <c r="M265" s="201">
        <f t="shared" si="40"/>
        <v>6</v>
      </c>
      <c r="N265" s="62"/>
      <c r="O265" s="212"/>
    </row>
    <row r="266" spans="1:15" ht="12.95" customHeight="1">
      <c r="A266" s="12" t="s">
        <v>451</v>
      </c>
      <c r="B266" s="129">
        <f>+GETPIVOTDATA(" Old Prof avg",'Averages Pivot Table'!$A$3,"State","TX","Category",5,"Category2","Four-Year")</f>
        <v>85405.935808695664</v>
      </c>
      <c r="C266" s="130">
        <f t="shared" si="41"/>
        <v>2</v>
      </c>
      <c r="D266" s="129">
        <f>+GETPIVOTDATA(" Old Asc. avg",'Averages Pivot Table'!$A$3,"State","TX","Category",5,"Category2","Four-Year")</f>
        <v>68122.571953488368</v>
      </c>
      <c r="E266" s="130">
        <f t="shared" si="41"/>
        <v>2</v>
      </c>
      <c r="F266" s="129">
        <f>+GETPIVOTDATA(" Old Ast. avg",'Averages Pivot Table'!$A$3,"State","TX","Category",5,"Category2","Four-Year")</f>
        <v>55980.776595744683</v>
      </c>
      <c r="G266" s="130">
        <f t="shared" si="37"/>
        <v>3</v>
      </c>
      <c r="H266" s="129">
        <f>+GETPIVOTDATA(" Old Inst. avg",'Averages Pivot Table'!$A$3,"State","TX","Category",5,"Category2","Four-Year")</f>
        <v>56084.875</v>
      </c>
      <c r="I266" s="201">
        <f t="shared" si="38"/>
        <v>2</v>
      </c>
      <c r="J266" s="129">
        <f>+GETPIVOTDATA(" Old Undesg. avg",'Averages Pivot Table'!$A$3,"State","TX","Category",5,"Category2","Four-Year")</f>
        <v>46604.464996428571</v>
      </c>
      <c r="K266" s="130">
        <f t="shared" si="39"/>
        <v>3</v>
      </c>
      <c r="L266" s="129">
        <f>+GETPIVOTDATA(" Old All Ranks avg",'Averages Pivot Table'!$A$3,"State","TX","Category",5,"Category2","Four-Year")</f>
        <v>62441.159568965515</v>
      </c>
      <c r="M266" s="201">
        <f t="shared" si="40"/>
        <v>3</v>
      </c>
      <c r="N266" s="62"/>
      <c r="O266" s="212"/>
    </row>
    <row r="267" spans="1:15" ht="12.95" customHeight="1">
      <c r="A267" s="12" t="s">
        <v>452</v>
      </c>
      <c r="B267" s="129">
        <f>+GETPIVOTDATA(" Old Prof avg",'Averages Pivot Table'!$A$3,"State","VA","Category",5,"Category2","Four-Year")</f>
        <v>84569.322372670809</v>
      </c>
      <c r="C267" s="130">
        <f t="shared" si="41"/>
        <v>3</v>
      </c>
      <c r="D267" s="129">
        <f>+GETPIVOTDATA(" Old Asc. avg",'Averages Pivot Table'!$A$3,"State","VA","Category",5,"Category2","Four-Year")</f>
        <v>67210.324034703197</v>
      </c>
      <c r="E267" s="130">
        <f t="shared" si="41"/>
        <v>3</v>
      </c>
      <c r="F267" s="129">
        <f>+GETPIVOTDATA(" Old Ast. avg",'Averages Pivot Table'!$A$3,"State","VA","Category",5,"Category2","Four-Year")</f>
        <v>54921.659481481482</v>
      </c>
      <c r="G267" s="130">
        <f t="shared" si="37"/>
        <v>4</v>
      </c>
      <c r="H267" s="129">
        <f>+GETPIVOTDATA(" Old Inst. avg",'Averages Pivot Table'!$A$3,"State","VA","Category",5,"Category2","Four-Year")</f>
        <v>49630.759451999998</v>
      </c>
      <c r="I267" s="201">
        <f t="shared" si="38"/>
        <v>3</v>
      </c>
      <c r="J267" s="129">
        <f>+GETPIVOTDATA(" Old Undesg. avg",'Averages Pivot Table'!$A$3,"State","VA","Category",5,"Category2","Four-Year")</f>
        <v>46960</v>
      </c>
      <c r="K267" s="130">
        <f t="shared" si="39"/>
        <v>2</v>
      </c>
      <c r="L267" s="129">
        <f>+GETPIVOTDATA(" Old All Ranks avg",'Averages Pivot Table'!$A$3,"State","VA","Category",5,"Category2","Four-Year")</f>
        <v>64979.238374014603</v>
      </c>
      <c r="M267" s="201">
        <f t="shared" si="40"/>
        <v>2</v>
      </c>
      <c r="N267" s="62"/>
      <c r="O267" s="209"/>
    </row>
    <row r="268" spans="1:15" ht="12.95" customHeight="1">
      <c r="A268" s="11" t="s">
        <v>453</v>
      </c>
      <c r="B268" s="64">
        <f>+GETPIVOTDATA(" Old Prof avg",'Averages Pivot Table'!$A$3,"State","WV","Category",5,"Category2","Four-Year")</f>
        <v>73382.709748148147</v>
      </c>
      <c r="C268" s="65">
        <f t="shared" si="41"/>
        <v>8</v>
      </c>
      <c r="D268" s="64">
        <f>+GETPIVOTDATA(" Old Asc. avg",'Averages Pivot Table'!$A$3,"State","WV","Category",5,"Category2","Four-Year")</f>
        <v>60297.632169014076</v>
      </c>
      <c r="E268" s="65">
        <f t="shared" si="41"/>
        <v>6</v>
      </c>
      <c r="F268" s="64">
        <f>+GETPIVOTDATA(" Old Ast. avg",'Averages Pivot Table'!$A$3,"State","WV","Category",5,"Category2","Four-Year")</f>
        <v>50934.945749999999</v>
      </c>
      <c r="G268" s="65">
        <f t="shared" si="37"/>
        <v>7</v>
      </c>
      <c r="H268" s="64">
        <f>+GETPIVOTDATA(" Old Inst. avg",'Averages Pivot Table'!$A$3,"State","WV","Category",5,"Category2","Four-Year")</f>
        <v>41002.169171428577</v>
      </c>
      <c r="I268" s="202">
        <f t="shared" si="38"/>
        <v>9</v>
      </c>
      <c r="J268" s="64">
        <f>+GETPIVOTDATA(" Old Undesg. avg",'Averages Pivot Table'!$A$3,"State","WV","Category",5,"Category2","Four-Year")</f>
        <v>46336.591142857142</v>
      </c>
      <c r="K268" s="65">
        <f t="shared" si="39"/>
        <v>4</v>
      </c>
      <c r="L268" s="64">
        <f>+GETPIVOTDATA(" Old All Ranks avg",'Averages Pivot Table'!$A$3,"State","WV","Category",5,"Category2","Four-Year")</f>
        <v>58741.739527397265</v>
      </c>
      <c r="M268" s="202">
        <f t="shared" si="40"/>
        <v>5</v>
      </c>
      <c r="N268" s="62"/>
      <c r="O268" s="209"/>
    </row>
    <row r="269" spans="1:15" ht="30" customHeight="1">
      <c r="A269" s="629" t="s">
        <v>323</v>
      </c>
      <c r="B269" s="633"/>
      <c r="C269" s="633"/>
      <c r="D269" s="633"/>
      <c r="E269" s="633"/>
      <c r="F269" s="633"/>
      <c r="G269" s="633"/>
      <c r="H269" s="633"/>
      <c r="I269" s="633"/>
      <c r="J269" s="633"/>
      <c r="K269" s="633"/>
      <c r="L269" s="633"/>
      <c r="M269" s="633"/>
      <c r="N269" s="12"/>
      <c r="O269" s="215"/>
    </row>
    <row r="270" spans="1:15">
      <c r="M270" s="244" t="s">
        <v>1166</v>
      </c>
      <c r="O270" s="214"/>
    </row>
    <row r="271" spans="1:15" ht="18">
      <c r="A271" s="618" t="s">
        <v>785</v>
      </c>
      <c r="B271" s="618"/>
      <c r="C271" s="618"/>
      <c r="D271" s="618"/>
      <c r="E271" s="618"/>
      <c r="F271" s="618"/>
      <c r="G271" s="618"/>
      <c r="H271" s="618"/>
      <c r="I271" s="618"/>
      <c r="J271" s="618"/>
      <c r="K271" s="618"/>
      <c r="L271" s="618"/>
      <c r="M271" s="618"/>
      <c r="N271" s="167"/>
      <c r="O271" s="166"/>
    </row>
    <row r="272" spans="1:15">
      <c r="A272" s="23"/>
      <c r="B272" s="5"/>
      <c r="C272" s="5"/>
      <c r="D272" s="5"/>
      <c r="E272" s="5"/>
      <c r="F272" s="5"/>
      <c r="G272" s="5"/>
      <c r="H272" s="5"/>
      <c r="I272" s="159"/>
      <c r="J272" s="5"/>
      <c r="K272" s="5"/>
      <c r="L272" s="5"/>
      <c r="M272" s="159"/>
      <c r="N272" s="5"/>
      <c r="O272" s="159"/>
    </row>
    <row r="273" spans="1:19">
      <c r="A273" s="619" t="s">
        <v>454</v>
      </c>
      <c r="B273" s="619"/>
      <c r="C273" s="619"/>
      <c r="D273" s="619"/>
      <c r="E273" s="619"/>
      <c r="F273" s="619"/>
      <c r="G273" s="619"/>
      <c r="H273" s="619"/>
      <c r="I273" s="619"/>
      <c r="J273" s="619"/>
      <c r="K273" s="619"/>
      <c r="L273" s="619"/>
      <c r="M273" s="619"/>
      <c r="N273" s="177"/>
      <c r="O273" s="211"/>
    </row>
    <row r="274" spans="1:19">
      <c r="A274" s="619" t="s">
        <v>764</v>
      </c>
      <c r="B274" s="619"/>
      <c r="C274" s="619"/>
      <c r="D274" s="619"/>
      <c r="E274" s="619"/>
      <c r="F274" s="619"/>
      <c r="G274" s="619"/>
      <c r="H274" s="619"/>
      <c r="I274" s="619"/>
      <c r="J274" s="619"/>
      <c r="K274" s="619"/>
      <c r="L274" s="619"/>
      <c r="M274" s="619"/>
      <c r="N274" s="177"/>
      <c r="O274" s="211"/>
    </row>
    <row r="275" spans="1:19">
      <c r="A275" s="12"/>
      <c r="B275" s="12"/>
      <c r="C275" s="12"/>
      <c r="D275" s="12"/>
      <c r="E275" s="12"/>
      <c r="F275" s="12"/>
      <c r="G275" s="12"/>
      <c r="H275" s="12"/>
      <c r="I275" s="215"/>
      <c r="J275" s="12"/>
      <c r="K275" s="12"/>
      <c r="L275" s="12"/>
      <c r="M275" s="215"/>
      <c r="N275" s="12"/>
      <c r="O275" s="215"/>
    </row>
    <row r="276" spans="1:19" ht="36" customHeight="1">
      <c r="A276" s="15"/>
      <c r="B276" s="21" t="s">
        <v>332</v>
      </c>
      <c r="C276" s="22"/>
      <c r="D276" s="141" t="s">
        <v>333</v>
      </c>
      <c r="E276" s="142"/>
      <c r="F276" s="141" t="s">
        <v>334</v>
      </c>
      <c r="G276" s="142"/>
      <c r="H276" s="21" t="s">
        <v>335</v>
      </c>
      <c r="I276" s="225"/>
      <c r="J276" s="141" t="s">
        <v>461</v>
      </c>
      <c r="K276" s="142"/>
      <c r="L276" s="22" t="s">
        <v>316</v>
      </c>
      <c r="M276" s="225"/>
      <c r="N276" s="63" t="s">
        <v>457</v>
      </c>
      <c r="O276" s="212"/>
    </row>
    <row r="277" spans="1:19">
      <c r="A277" s="16"/>
      <c r="B277" s="19" t="s">
        <v>336</v>
      </c>
      <c r="C277" s="18" t="s">
        <v>427</v>
      </c>
      <c r="D277" s="19" t="s">
        <v>336</v>
      </c>
      <c r="E277" s="18" t="s">
        <v>427</v>
      </c>
      <c r="F277" s="19" t="s">
        <v>336</v>
      </c>
      <c r="G277" s="18" t="s">
        <v>427</v>
      </c>
      <c r="H277" s="19" t="s">
        <v>336</v>
      </c>
      <c r="I277" s="226" t="s">
        <v>427</v>
      </c>
      <c r="J277" s="19" t="s">
        <v>336</v>
      </c>
      <c r="K277" s="18" t="s">
        <v>427</v>
      </c>
      <c r="L277" s="19" t="s">
        <v>336</v>
      </c>
      <c r="M277" s="226" t="s">
        <v>427</v>
      </c>
      <c r="N277" s="63" t="s">
        <v>457</v>
      </c>
      <c r="O277" s="212"/>
    </row>
    <row r="278" spans="1:19" s="156" customFormat="1" ht="18" customHeight="1">
      <c r="A278" s="168" t="s">
        <v>456</v>
      </c>
      <c r="B278" s="172">
        <f>+GETPIVOTDATA(" Old Prof avg",'Averages Pivot Table'!$A$3,"Category",6,"Category2","Four-Year")</f>
        <v>76557.96033903744</v>
      </c>
      <c r="C278" s="172"/>
      <c r="D278" s="172">
        <f>+GETPIVOTDATA(" Old Asc. avg",'Averages Pivot Table'!$A$3,"Category",6,"Category2","Four-Year")</f>
        <v>61401.216242935538</v>
      </c>
      <c r="E278" s="172"/>
      <c r="F278" s="172">
        <f>+GETPIVOTDATA(" Old Ast. avg",'Averages Pivot Table'!$A$3,"Category",6,"Category2","Four-Year")</f>
        <v>52435.679691513287</v>
      </c>
      <c r="G278" s="172"/>
      <c r="H278" s="172">
        <f>+GETPIVOTDATA(" Old Inst. avg",'Averages Pivot Table'!$A$3,"Category",6,"Category2","Four-Year")</f>
        <v>42029.943120763717</v>
      </c>
      <c r="I278" s="229"/>
      <c r="J278" s="172">
        <f>+GETPIVOTDATA(" Old Undesg. avg",'Averages Pivot Table'!$A$3,"Category",6,"Category2","Four-Year")</f>
        <v>49577.429475144512</v>
      </c>
      <c r="K278" s="172"/>
      <c r="L278" s="172">
        <f>+GETPIVOTDATA(" Old All Ranks avg",'Averages Pivot Table'!$A$3,"Category",6,"Category2","Four-Year")</f>
        <v>57755.258250489518</v>
      </c>
      <c r="M278" s="232"/>
      <c r="N278" s="176"/>
      <c r="O278" s="224"/>
      <c r="Q278" s="193"/>
      <c r="R278" s="193"/>
      <c r="S278" s="193"/>
    </row>
    <row r="279" spans="1:19" ht="12.95" customHeight="1">
      <c r="A279" s="12"/>
      <c r="B279" s="9"/>
      <c r="C279" s="17"/>
      <c r="D279" s="9"/>
      <c r="E279" s="17"/>
      <c r="F279" s="9"/>
      <c r="G279" s="17"/>
      <c r="H279" s="9"/>
      <c r="I279" s="233"/>
      <c r="J279" s="9"/>
      <c r="K279" s="17"/>
      <c r="L279" s="9"/>
      <c r="M279" s="233"/>
      <c r="N279" s="9"/>
      <c r="O279" s="217"/>
    </row>
    <row r="280" spans="1:19" ht="12.95" customHeight="1">
      <c r="A280" s="12" t="s">
        <v>439</v>
      </c>
      <c r="B280" s="62">
        <f>+GETPIVOTDATA(" Old Prof avg",'Averages Pivot Table'!$A$3,"State","AL","Category",6,"Category2","Four-Year")</f>
        <v>80979.968942857144</v>
      </c>
      <c r="C280" s="130">
        <f>IF(B280&gt;0,(RANK(B280,B$280:B$298)),0)</f>
        <v>6</v>
      </c>
      <c r="D280" s="62">
        <f>+GETPIVOTDATA(" Old Asc. avg",'Averages Pivot Table'!$A$3,"State","AL","Category",6,"Category2","Four-Year")</f>
        <v>73834.82849</v>
      </c>
      <c r="E280" s="130">
        <f>IF(D280&gt;0,(RANK(D280,D$280:D$298)),0)</f>
        <v>1</v>
      </c>
      <c r="F280" s="62">
        <f>+GETPIVOTDATA(" Old Ast. avg",'Averages Pivot Table'!$A$3,"State","AL","Category",6,"Category2","Four-Year")</f>
        <v>60706.85365263158</v>
      </c>
      <c r="G280" s="130">
        <f t="shared" ref="G280:G298" si="42">IF(F280&gt;0,(RANK(F280,F$280:F$298)),0)</f>
        <v>4</v>
      </c>
      <c r="H280" s="62">
        <f>+GETPIVOTDATA(" Old Inst. avg",'Averages Pivot Table'!$A$3,"State","AL","Category",6,"Category2","Four-Year")</f>
        <v>42650.799999999996</v>
      </c>
      <c r="I280" s="201">
        <f t="shared" ref="I280:I298" si="43">IF(H280&gt;0,(RANK(H280,H$280:H$298)),0)</f>
        <v>6</v>
      </c>
      <c r="J280" s="62">
        <f>+GETPIVOTDATA(" Old Undesg. avg",'Averages Pivot Table'!$A$3,"State","AL","Category",6,"Category2","Four-Year")</f>
        <v>0</v>
      </c>
      <c r="K280" s="130">
        <f t="shared" ref="K280:K298" si="44">IF(J280&gt;0,(RANK(J280,J$280:J$298)),0)</f>
        <v>0</v>
      </c>
      <c r="L280" s="62">
        <f>+GETPIVOTDATA(" Old All Ranks avg",'Averages Pivot Table'!$A$3,"State","AL","Category",6,"Category2","Four-Year")</f>
        <v>68440.106785365861</v>
      </c>
      <c r="M280" s="201">
        <f t="shared" ref="M280:M298" si="45">IF(L280&gt;0,(RANK(L280,L$280:L$298)),0)</f>
        <v>3</v>
      </c>
      <c r="N280" s="62"/>
      <c r="O280" s="212"/>
    </row>
    <row r="281" spans="1:19" ht="12.95" customHeight="1">
      <c r="A281" s="12" t="s">
        <v>440</v>
      </c>
      <c r="B281" s="62">
        <f>+GETPIVOTDATA(" Old Prof avg",'Averages Pivot Table'!$A$3,"State","AR","Category",6,"Category2","Four-Year")</f>
        <v>62327.095547619057</v>
      </c>
      <c r="C281" s="130">
        <f t="shared" ref="C281:E298" si="46">IF(B281&gt;0,(RANK(B281,B$280:B$298)),0)</f>
        <v>11</v>
      </c>
      <c r="D281" s="62">
        <f>+GETPIVOTDATA(" Old Asc. avg",'Averages Pivot Table'!$A$3,"State","AR","Category",6,"Category2","Four-Year")</f>
        <v>61876.694060273978</v>
      </c>
      <c r="E281" s="130">
        <f t="shared" si="46"/>
        <v>7</v>
      </c>
      <c r="F281" s="62">
        <f>+GETPIVOTDATA(" Old Ast. avg",'Averages Pivot Table'!$A$3,"State","AR","Category",6,"Category2","Four-Year")</f>
        <v>51869.245792307695</v>
      </c>
      <c r="G281" s="130">
        <f t="shared" si="42"/>
        <v>7</v>
      </c>
      <c r="H281" s="62">
        <f>+GETPIVOTDATA(" Old Inst. avg",'Averages Pivot Table'!$A$3,"State","AR","Category",6,"Category2","Four-Year")</f>
        <v>41795.292476363633</v>
      </c>
      <c r="I281" s="201">
        <f t="shared" si="43"/>
        <v>8</v>
      </c>
      <c r="J281" s="62">
        <f>+GETPIVOTDATA(" Old Undesg. avg",'Averages Pivot Table'!$A$3,"State","AR","Category",6,"Category2","Four-Year")</f>
        <v>39917.418285714288</v>
      </c>
      <c r="K281" s="130">
        <f t="shared" si="44"/>
        <v>6</v>
      </c>
      <c r="L281" s="62">
        <f>+GETPIVOTDATA(" Old All Ranks avg",'Averages Pivot Table'!$A$3,"State","AR","Category",6,"Category2","Four-Year")</f>
        <v>51601.683674430373</v>
      </c>
      <c r="M281" s="201">
        <f t="shared" si="45"/>
        <v>10</v>
      </c>
      <c r="N281" s="62"/>
      <c r="O281" s="212"/>
    </row>
    <row r="282" spans="1:19" ht="12.95" customHeight="1">
      <c r="A282" s="12" t="s">
        <v>455</v>
      </c>
      <c r="B282" s="62">
        <f>+GETPIVOTDATA(" Old Prof avg",'Averages Pivot Table'!$A$3,"State","DE","Category",6,"Category2","Four-Year")</f>
        <v>0</v>
      </c>
      <c r="C282" s="130">
        <f t="shared" si="46"/>
        <v>0</v>
      </c>
      <c r="D282" s="62">
        <f>+GETPIVOTDATA(" Old Asc. avg",'Averages Pivot Table'!$A$3,"State","DE","Category",6,"Category2","Four-Year")</f>
        <v>0</v>
      </c>
      <c r="E282" s="130">
        <f t="shared" si="46"/>
        <v>0</v>
      </c>
      <c r="F282" s="62">
        <f>+GETPIVOTDATA(" Old Ast. avg",'Averages Pivot Table'!$A$3,"State","DE","Category",6,"Category2","Four-Year")</f>
        <v>0</v>
      </c>
      <c r="G282" s="130">
        <f t="shared" si="42"/>
        <v>0</v>
      </c>
      <c r="H282" s="62">
        <f>+GETPIVOTDATA(" Old Inst. avg",'Averages Pivot Table'!$A$3,"State","DE","Category",6,"Category2","Four-Year")</f>
        <v>0</v>
      </c>
      <c r="I282" s="201">
        <f t="shared" si="43"/>
        <v>0</v>
      </c>
      <c r="J282" s="62">
        <f>+GETPIVOTDATA(" Old Undesg. avg",'Averages Pivot Table'!$A$3,"State","DE","Category",6,"Category2","Four-Year")</f>
        <v>0</v>
      </c>
      <c r="K282" s="130">
        <f t="shared" si="44"/>
        <v>0</v>
      </c>
      <c r="L282" s="62">
        <f>+GETPIVOTDATA(" Old All Ranks avg",'Averages Pivot Table'!$A$3,"State","DE","Category",6,"Category2","Four-Year")</f>
        <v>0</v>
      </c>
      <c r="M282" s="201">
        <f t="shared" si="45"/>
        <v>0</v>
      </c>
      <c r="N282" s="62"/>
      <c r="O282" s="212"/>
    </row>
    <row r="283" spans="1:19" ht="12.95" customHeight="1">
      <c r="A283" s="12" t="s">
        <v>441</v>
      </c>
      <c r="B283" s="62">
        <f>+GETPIVOTDATA(" Old Prof avg",'Averages Pivot Table'!$A$3,"State","FL","Category",6,"Category2","Four-Year")</f>
        <v>85990.142857142855</v>
      </c>
      <c r="C283" s="130">
        <f t="shared" si="46"/>
        <v>3</v>
      </c>
      <c r="D283" s="62">
        <f>+GETPIVOTDATA(" Old Asc. avg",'Averages Pivot Table'!$A$3,"State","FL","Category",6,"Category2","Four-Year")</f>
        <v>67331.444444444438</v>
      </c>
      <c r="E283" s="130">
        <f t="shared" si="46"/>
        <v>4</v>
      </c>
      <c r="F283" s="62">
        <f>+GETPIVOTDATA(" Old Ast. avg",'Averages Pivot Table'!$A$3,"State","FL","Category",6,"Category2","Four-Year")</f>
        <v>109469</v>
      </c>
      <c r="G283" s="130">
        <f t="shared" si="42"/>
        <v>1</v>
      </c>
      <c r="H283" s="62">
        <f>+GETPIVOTDATA(" Old Inst. avg",'Averages Pivot Table'!$A$3,"State","FL","Category",6,"Category2","Four-Year")</f>
        <v>42021</v>
      </c>
      <c r="I283" s="201">
        <f t="shared" si="43"/>
        <v>7</v>
      </c>
      <c r="J283" s="62">
        <f>+GETPIVOTDATA(" Old Undesg. avg",'Averages Pivot Table'!$A$3,"State","FL","Category",6,"Category2","Four-Year")</f>
        <v>0</v>
      </c>
      <c r="K283" s="130">
        <f t="shared" si="44"/>
        <v>0</v>
      </c>
      <c r="L283" s="62">
        <f>+GETPIVOTDATA(" Old All Ranks avg",'Averages Pivot Table'!$A$3,"State","FL","Category",6,"Category2","Four-Year")</f>
        <v>81165.366666666669</v>
      </c>
      <c r="M283" s="201">
        <f t="shared" si="45"/>
        <v>1</v>
      </c>
      <c r="N283" s="62"/>
      <c r="O283" s="212"/>
    </row>
    <row r="284" spans="1:19" ht="12.95" customHeight="1">
      <c r="A284" s="12"/>
      <c r="B284" s="62"/>
      <c r="C284" s="130">
        <f t="shared" si="46"/>
        <v>0</v>
      </c>
      <c r="D284" s="62"/>
      <c r="E284" s="130">
        <f t="shared" si="46"/>
        <v>0</v>
      </c>
      <c r="F284" s="62"/>
      <c r="G284" s="130">
        <f t="shared" si="42"/>
        <v>0</v>
      </c>
      <c r="H284" s="62"/>
      <c r="I284" s="201">
        <f t="shared" si="43"/>
        <v>0</v>
      </c>
      <c r="J284" s="62"/>
      <c r="K284" s="130">
        <f t="shared" si="44"/>
        <v>0</v>
      </c>
      <c r="L284" s="62"/>
      <c r="M284" s="201">
        <f t="shared" si="45"/>
        <v>0</v>
      </c>
      <c r="N284" s="62"/>
      <c r="O284" s="212"/>
    </row>
    <row r="285" spans="1:19" ht="12.95" customHeight="1">
      <c r="A285" s="12" t="s">
        <v>442</v>
      </c>
      <c r="B285" s="62">
        <f>+GETPIVOTDATA(" Old Prof avg",'Averages Pivot Table'!$A$3,"State","GA","Category",6,"Category2","Four-Year")</f>
        <v>81108.840145098045</v>
      </c>
      <c r="C285" s="130">
        <f t="shared" si="46"/>
        <v>5</v>
      </c>
      <c r="D285" s="62">
        <f>+GETPIVOTDATA(" Old Asc. avg",'Averages Pivot Table'!$A$3,"State","GA","Category",6,"Category2","Four-Year")</f>
        <v>63093.705925663722</v>
      </c>
      <c r="E285" s="130">
        <f t="shared" si="46"/>
        <v>6</v>
      </c>
      <c r="F285" s="62">
        <f>+GETPIVOTDATA(" Old Ast. avg",'Averages Pivot Table'!$A$3,"State","GA","Category",6,"Category2","Four-Year")</f>
        <v>49640.725667415732</v>
      </c>
      <c r="G285" s="130">
        <f t="shared" si="42"/>
        <v>9</v>
      </c>
      <c r="H285" s="62">
        <f>+GETPIVOTDATA(" Old Inst. avg",'Averages Pivot Table'!$A$3,"State","GA","Category",6,"Category2","Four-Year")</f>
        <v>48633</v>
      </c>
      <c r="I285" s="201">
        <f t="shared" si="43"/>
        <v>3</v>
      </c>
      <c r="J285" s="62">
        <f>+GETPIVOTDATA(" Old Undesg. avg",'Averages Pivot Table'!$A$3,"State","GA","Category",6,"Category2","Four-Year")</f>
        <v>48179.088888888888</v>
      </c>
      <c r="K285" s="130">
        <f t="shared" si="44"/>
        <v>3</v>
      </c>
      <c r="L285" s="62">
        <f>+GETPIVOTDATA(" Old All Ranks avg",'Averages Pivot Table'!$A$3,"State","GA","Category",6,"Category2","Four-Year")</f>
        <v>57927.212865053763</v>
      </c>
      <c r="M285" s="201">
        <f t="shared" si="45"/>
        <v>6</v>
      </c>
      <c r="N285" s="62"/>
      <c r="O285" s="212"/>
    </row>
    <row r="286" spans="1:19" ht="12.95" customHeight="1">
      <c r="A286" s="12" t="s">
        <v>443</v>
      </c>
      <c r="B286" s="62">
        <f>+GETPIVOTDATA(" Old Prof avg",'Averages Pivot Table'!$A$3,"State","KY","Category",6,"Category2","Four-Year")</f>
        <v>0</v>
      </c>
      <c r="C286" s="130">
        <f t="shared" si="46"/>
        <v>0</v>
      </c>
      <c r="D286" s="62">
        <f>+GETPIVOTDATA(" Old Asc. avg",'Averages Pivot Table'!$A$3,"State","KY","Category",6,"Category2","Four-Year")</f>
        <v>0</v>
      </c>
      <c r="E286" s="130">
        <f t="shared" si="46"/>
        <v>0</v>
      </c>
      <c r="F286" s="62">
        <f>+GETPIVOTDATA(" Old Ast. avg",'Averages Pivot Table'!$A$3,"State","KY","Category",6,"Category2","Four-Year")</f>
        <v>0</v>
      </c>
      <c r="G286" s="130">
        <f t="shared" si="42"/>
        <v>0</v>
      </c>
      <c r="H286" s="62">
        <f>+GETPIVOTDATA(" Old Inst. avg",'Averages Pivot Table'!$A$3,"State","KY","Category",6,"Category2","Four-Year")</f>
        <v>0</v>
      </c>
      <c r="I286" s="201">
        <f t="shared" si="43"/>
        <v>0</v>
      </c>
      <c r="J286" s="62">
        <f>+GETPIVOTDATA(" Old Undesg. avg",'Averages Pivot Table'!$A$3,"State","KY","Category",6,"Category2","Four-Year")</f>
        <v>0</v>
      </c>
      <c r="K286" s="130">
        <f t="shared" si="44"/>
        <v>0</v>
      </c>
      <c r="L286" s="62">
        <f>+GETPIVOTDATA(" Old All Ranks avg",'Averages Pivot Table'!$A$3,"State","KY","Category",6,"Category2","Four-Year")</f>
        <v>0</v>
      </c>
      <c r="M286" s="201">
        <f t="shared" si="45"/>
        <v>0</v>
      </c>
      <c r="N286" s="62"/>
      <c r="O286" s="212"/>
    </row>
    <row r="287" spans="1:19" ht="12.95" customHeight="1">
      <c r="A287" s="12" t="s">
        <v>444</v>
      </c>
      <c r="B287" s="62">
        <f>+GETPIVOTDATA(" Old Prof avg",'Averages Pivot Table'!$A$3,"State","LA","Category",6,"Category2","Four-Year")</f>
        <v>0</v>
      </c>
      <c r="C287" s="130">
        <f t="shared" si="46"/>
        <v>0</v>
      </c>
      <c r="D287" s="62">
        <f>+GETPIVOTDATA(" Old Asc. avg",'Averages Pivot Table'!$A$3,"State","LA","Category",6,"Category2","Four-Year")</f>
        <v>0</v>
      </c>
      <c r="E287" s="130">
        <f t="shared" si="46"/>
        <v>0</v>
      </c>
      <c r="F287" s="62">
        <f>+GETPIVOTDATA(" Old Ast. avg",'Averages Pivot Table'!$A$3,"State","LA","Category",6,"Category2","Four-Year")</f>
        <v>0</v>
      </c>
      <c r="G287" s="130">
        <f t="shared" si="42"/>
        <v>0</v>
      </c>
      <c r="H287" s="62">
        <f>+GETPIVOTDATA(" Old Inst. avg",'Averages Pivot Table'!$A$3,"State","LA","Category",6,"Category2","Four-Year")</f>
        <v>0</v>
      </c>
      <c r="I287" s="201">
        <f t="shared" si="43"/>
        <v>0</v>
      </c>
      <c r="J287" s="62">
        <f>+GETPIVOTDATA(" Old Undesg. avg",'Averages Pivot Table'!$A$3,"State","LA","Category",6,"Category2","Four-Year")</f>
        <v>0</v>
      </c>
      <c r="K287" s="130">
        <f t="shared" si="44"/>
        <v>0</v>
      </c>
      <c r="L287" s="62">
        <f>+GETPIVOTDATA(" Old All Ranks avg",'Averages Pivot Table'!$A$3,"State","LA","Category",6,"Category2","Four-Year")</f>
        <v>0</v>
      </c>
      <c r="M287" s="201">
        <f t="shared" si="45"/>
        <v>0</v>
      </c>
      <c r="N287" s="62"/>
      <c r="O287" s="212"/>
    </row>
    <row r="288" spans="1:19" ht="12.95" customHeight="1">
      <c r="A288" s="12" t="s">
        <v>445</v>
      </c>
      <c r="B288" s="62">
        <f>+GETPIVOTDATA(" Old Prof avg",'Averages Pivot Table'!$A$3,"State","MD","Category",6,"Category2","Four-Year")</f>
        <v>91843.044999999998</v>
      </c>
      <c r="C288" s="130">
        <f t="shared" si="46"/>
        <v>2</v>
      </c>
      <c r="D288" s="62">
        <f>+GETPIVOTDATA(" Old Asc. avg",'Averages Pivot Table'!$A$3,"State","MD","Category",6,"Category2","Four-Year")</f>
        <v>64194.555500000002</v>
      </c>
      <c r="E288" s="130">
        <f t="shared" si="46"/>
        <v>5</v>
      </c>
      <c r="F288" s="62">
        <f>+GETPIVOTDATA(" Old Ast. avg",'Averages Pivot Table'!$A$3,"State","MD","Category",6,"Category2","Four-Year")</f>
        <v>53476.714300000007</v>
      </c>
      <c r="G288" s="130">
        <f t="shared" si="42"/>
        <v>6</v>
      </c>
      <c r="H288" s="62">
        <f>+GETPIVOTDATA(" Old Inst. avg",'Averages Pivot Table'!$A$3,"State","MD","Category",6,"Category2","Four-Year")</f>
        <v>48885</v>
      </c>
      <c r="I288" s="201">
        <f t="shared" si="43"/>
        <v>2</v>
      </c>
      <c r="J288" s="62">
        <f>+GETPIVOTDATA(" Old Undesg. avg",'Averages Pivot Table'!$A$3,"State","MD","Category",6,"Category2","Four-Year")</f>
        <v>0</v>
      </c>
      <c r="K288" s="130">
        <f t="shared" si="44"/>
        <v>0</v>
      </c>
      <c r="L288" s="62">
        <f>+GETPIVOTDATA(" Old All Ranks avg",'Averages Pivot Table'!$A$3,"State","MD","Category",6,"Category2","Four-Year")</f>
        <v>68493.936910489516</v>
      </c>
      <c r="M288" s="201">
        <f t="shared" si="45"/>
        <v>2</v>
      </c>
      <c r="N288" s="62"/>
      <c r="O288" s="212"/>
    </row>
    <row r="289" spans="1:15" ht="12.95" customHeight="1">
      <c r="A289" s="12"/>
      <c r="B289" s="62"/>
      <c r="C289" s="130">
        <f t="shared" si="46"/>
        <v>0</v>
      </c>
      <c r="D289" s="62"/>
      <c r="E289" s="130">
        <f t="shared" si="46"/>
        <v>0</v>
      </c>
      <c r="F289" s="62"/>
      <c r="G289" s="130">
        <f t="shared" si="42"/>
        <v>0</v>
      </c>
      <c r="H289" s="62"/>
      <c r="I289" s="201">
        <f t="shared" si="43"/>
        <v>0</v>
      </c>
      <c r="J289" s="62"/>
      <c r="K289" s="130">
        <f t="shared" si="44"/>
        <v>0</v>
      </c>
      <c r="L289" s="62"/>
      <c r="M289" s="201">
        <f t="shared" si="45"/>
        <v>0</v>
      </c>
      <c r="N289" s="62"/>
      <c r="O289" s="212"/>
    </row>
    <row r="290" spans="1:15" ht="12.95" customHeight="1">
      <c r="A290" s="12" t="s">
        <v>446</v>
      </c>
      <c r="B290" s="62">
        <f>+GETPIVOTDATA(" Old Prof avg",'Averages Pivot Table'!$A$3,"State","MS","Category",6,"Category2","Four-Year")</f>
        <v>0</v>
      </c>
      <c r="C290" s="130">
        <f t="shared" si="46"/>
        <v>0</v>
      </c>
      <c r="D290" s="62">
        <f>+GETPIVOTDATA(" Old Asc. avg",'Averages Pivot Table'!$A$3,"State","MS","Category",6,"Category2","Four-Year")</f>
        <v>0</v>
      </c>
      <c r="E290" s="130">
        <f t="shared" si="46"/>
        <v>0</v>
      </c>
      <c r="F290" s="62">
        <f>+GETPIVOTDATA(" Old Ast. avg",'Averages Pivot Table'!$A$3,"State","MS","Category",6,"Category2","Four-Year")</f>
        <v>0</v>
      </c>
      <c r="G290" s="130">
        <f t="shared" si="42"/>
        <v>0</v>
      </c>
      <c r="H290" s="62">
        <f>+GETPIVOTDATA(" Old Inst. avg",'Averages Pivot Table'!$A$3,"State","MS","Category",6,"Category2","Four-Year")</f>
        <v>0</v>
      </c>
      <c r="I290" s="201">
        <f t="shared" si="43"/>
        <v>0</v>
      </c>
      <c r="J290" s="62">
        <f>+GETPIVOTDATA(" Old Undesg. avg",'Averages Pivot Table'!$A$3,"State","MS","Category",6,"Category2","Four-Year")</f>
        <v>0</v>
      </c>
      <c r="K290" s="130">
        <f t="shared" si="44"/>
        <v>0</v>
      </c>
      <c r="L290" s="62">
        <f>+GETPIVOTDATA(" Old All Ranks avg",'Averages Pivot Table'!$A$3,"State","MS","Category",6,"Category2","Four-Year")</f>
        <v>0</v>
      </c>
      <c r="M290" s="201">
        <f t="shared" si="45"/>
        <v>0</v>
      </c>
      <c r="N290" s="62"/>
      <c r="O290" s="212"/>
    </row>
    <row r="291" spans="1:15" ht="12.95" customHeight="1">
      <c r="A291" s="12" t="s">
        <v>447</v>
      </c>
      <c r="B291" s="62">
        <f>+GETPIVOTDATA(" Old Prof avg",'Averages Pivot Table'!$A$3,"State","NC","Category",6,"Category2","Four-Year")</f>
        <v>83261.314686238533</v>
      </c>
      <c r="C291" s="130">
        <f t="shared" si="46"/>
        <v>4</v>
      </c>
      <c r="D291" s="62">
        <f>+GETPIVOTDATA(" Old Asc. avg",'Averages Pivot Table'!$A$3,"State","NC","Category",6,"Category2","Four-Year")</f>
        <v>68326.452631578941</v>
      </c>
      <c r="E291" s="130">
        <f t="shared" si="46"/>
        <v>3</v>
      </c>
      <c r="F291" s="62">
        <f>+GETPIVOTDATA(" Old Ast. avg",'Averages Pivot Table'!$A$3,"State","NC","Category",6,"Category2","Four-Year")</f>
        <v>60862.064187096774</v>
      </c>
      <c r="G291" s="130">
        <f t="shared" si="42"/>
        <v>3</v>
      </c>
      <c r="H291" s="62">
        <f>+GETPIVOTDATA(" Old Inst. avg",'Averages Pivot Table'!$A$3,"State","NC","Category",6,"Category2","Four-Year")</f>
        <v>56220.5</v>
      </c>
      <c r="I291" s="201">
        <f t="shared" si="43"/>
        <v>1</v>
      </c>
      <c r="J291" s="62">
        <f>+GETPIVOTDATA(" Old Undesg. avg",'Averages Pivot Table'!$A$3,"State","NC","Category",6,"Category2","Four-Year")</f>
        <v>53788.628344444442</v>
      </c>
      <c r="K291" s="130">
        <f t="shared" si="44"/>
        <v>1</v>
      </c>
      <c r="L291" s="62">
        <f>+GETPIVOTDATA(" Old All Ranks avg",'Averages Pivot Table'!$A$3,"State","NC","Category",6,"Category2","Four-Year")</f>
        <v>67893.65016353887</v>
      </c>
      <c r="M291" s="201">
        <f t="shared" si="45"/>
        <v>4</v>
      </c>
      <c r="N291" s="62"/>
      <c r="O291" s="212"/>
    </row>
    <row r="292" spans="1:15" ht="12.95" customHeight="1">
      <c r="A292" s="12" t="s">
        <v>448</v>
      </c>
      <c r="B292" s="62">
        <f>+GETPIVOTDATA(" Old Prof avg",'Averages Pivot Table'!$A$3,"State","OK","Category",6,"Category2","Four-Year")</f>
        <v>63957.286575000006</v>
      </c>
      <c r="C292" s="130">
        <f t="shared" si="46"/>
        <v>10</v>
      </c>
      <c r="D292" s="62">
        <f>+GETPIVOTDATA(" Old Asc. avg",'Averages Pivot Table'!$A$3,"State","OK","Category",6,"Category2","Four-Year")</f>
        <v>54600.673211320754</v>
      </c>
      <c r="E292" s="130">
        <f t="shared" si="46"/>
        <v>11</v>
      </c>
      <c r="F292" s="62">
        <f>+GETPIVOTDATA(" Old Ast. avg",'Averages Pivot Table'!$A$3,"State","OK","Category",6,"Category2","Four-Year")</f>
        <v>46464.011360000004</v>
      </c>
      <c r="G292" s="130">
        <f t="shared" si="42"/>
        <v>11</v>
      </c>
      <c r="H292" s="62">
        <f>+GETPIVOTDATA(" Old Inst. avg",'Averages Pivot Table'!$A$3,"State","OK","Category",6,"Category2","Four-Year")</f>
        <v>36961.315007142854</v>
      </c>
      <c r="I292" s="201">
        <f t="shared" si="43"/>
        <v>10</v>
      </c>
      <c r="J292" s="62">
        <f>+GETPIVOTDATA(" Old Undesg. avg",'Averages Pivot Table'!$A$3,"State","OK","Category",6,"Category2","Four-Year")</f>
        <v>0</v>
      </c>
      <c r="K292" s="130">
        <f t="shared" si="44"/>
        <v>0</v>
      </c>
      <c r="L292" s="62">
        <f>+GETPIVOTDATA(" Old All Ranks avg",'Averages Pivot Table'!$A$3,"State","OK","Category",6,"Category2","Four-Year")</f>
        <v>48691.569074757281</v>
      </c>
      <c r="M292" s="201">
        <f t="shared" si="45"/>
        <v>11</v>
      </c>
      <c r="N292" s="62"/>
      <c r="O292" s="212"/>
    </row>
    <row r="293" spans="1:15" ht="12.95" customHeight="1">
      <c r="A293" s="12" t="s">
        <v>449</v>
      </c>
      <c r="B293" s="62">
        <f>+GETPIVOTDATA(" Old Prof avg",'Averages Pivot Table'!$A$3,"State","SC","Category",6,"Category2","Four-Year")</f>
        <v>73288.556038961033</v>
      </c>
      <c r="C293" s="130">
        <f t="shared" si="46"/>
        <v>8</v>
      </c>
      <c r="D293" s="62">
        <f>+GETPIVOTDATA(" Old Asc. avg",'Averages Pivot Table'!$A$3,"State","SC","Category",6,"Category2","Four-Year")</f>
        <v>57588.720036363637</v>
      </c>
      <c r="E293" s="130">
        <f t="shared" si="46"/>
        <v>9</v>
      </c>
      <c r="F293" s="62">
        <f>+GETPIVOTDATA(" Old Ast. avg",'Averages Pivot Table'!$A$3,"State","SC","Category",6,"Category2","Four-Year")</f>
        <v>50954.014795890413</v>
      </c>
      <c r="G293" s="130">
        <f t="shared" si="42"/>
        <v>8</v>
      </c>
      <c r="H293" s="62">
        <f>+GETPIVOTDATA(" Old Inst. avg",'Averages Pivot Table'!$A$3,"State","SC","Category",6,"Category2","Four-Year")</f>
        <v>44511.057698507459</v>
      </c>
      <c r="I293" s="201">
        <f t="shared" si="43"/>
        <v>4</v>
      </c>
      <c r="J293" s="62">
        <f>+GETPIVOTDATA(" Old Undesg. avg",'Averages Pivot Table'!$A$3,"State","SC","Category",6,"Category2","Four-Year")</f>
        <v>40900.25</v>
      </c>
      <c r="K293" s="130">
        <f t="shared" si="44"/>
        <v>5</v>
      </c>
      <c r="L293" s="62">
        <f>+GETPIVOTDATA(" Old All Ranks avg",'Averages Pivot Table'!$A$3,"State","SC","Category",6,"Category2","Four-Year")</f>
        <v>54236.405330785557</v>
      </c>
      <c r="M293" s="201">
        <f t="shared" si="45"/>
        <v>8</v>
      </c>
      <c r="N293" s="62"/>
      <c r="O293" s="212"/>
    </row>
    <row r="294" spans="1:15" ht="12.95" customHeight="1">
      <c r="A294" s="12"/>
      <c r="B294" s="62"/>
      <c r="C294" s="130">
        <f t="shared" si="46"/>
        <v>0</v>
      </c>
      <c r="D294" s="62"/>
      <c r="E294" s="130">
        <f t="shared" si="46"/>
        <v>0</v>
      </c>
      <c r="F294" s="62"/>
      <c r="G294" s="130">
        <f t="shared" si="42"/>
        <v>0</v>
      </c>
      <c r="H294" s="62"/>
      <c r="I294" s="201">
        <f t="shared" si="43"/>
        <v>0</v>
      </c>
      <c r="J294" s="62"/>
      <c r="K294" s="130">
        <f t="shared" si="44"/>
        <v>0</v>
      </c>
      <c r="L294" s="62"/>
      <c r="M294" s="201">
        <f t="shared" si="45"/>
        <v>0</v>
      </c>
      <c r="N294" s="62"/>
      <c r="O294" s="212"/>
    </row>
    <row r="295" spans="1:15" ht="12.95" customHeight="1">
      <c r="A295" s="12" t="s">
        <v>450</v>
      </c>
      <c r="B295" s="129">
        <f>+GETPIVOTDATA(" Old Prof avg",'Averages Pivot Table'!$A$3,"State","TN","Category",6,"Category2","Four-Year")</f>
        <v>0</v>
      </c>
      <c r="C295" s="130">
        <f t="shared" si="46"/>
        <v>0</v>
      </c>
      <c r="D295" s="129">
        <f>+GETPIVOTDATA(" Old Asc. avg",'Averages Pivot Table'!$A$3,"State","TN","Category",6,"Category2","Four-Year")</f>
        <v>0</v>
      </c>
      <c r="E295" s="130">
        <f t="shared" si="46"/>
        <v>0</v>
      </c>
      <c r="F295" s="129">
        <f>+GETPIVOTDATA(" Old Ast. avg",'Averages Pivot Table'!$A$3,"State","TN","Category",6,"Category2","Four-Year")</f>
        <v>0</v>
      </c>
      <c r="G295" s="130">
        <f t="shared" si="42"/>
        <v>0</v>
      </c>
      <c r="H295" s="129">
        <f>+GETPIVOTDATA(" Old Inst. avg",'Averages Pivot Table'!$A$3,"State","TN","Category",6,"Category2","Four-Year")</f>
        <v>0</v>
      </c>
      <c r="I295" s="201">
        <f t="shared" si="43"/>
        <v>0</v>
      </c>
      <c r="J295" s="129">
        <f>+GETPIVOTDATA(" Old Undesg. avg",'Averages Pivot Table'!$A$3,"State","TN","Category",6,"Category2","Four-Year")</f>
        <v>0</v>
      </c>
      <c r="K295" s="130">
        <f t="shared" si="44"/>
        <v>0</v>
      </c>
      <c r="L295" s="129">
        <f>+GETPIVOTDATA(" Old All Ranks avg",'Averages Pivot Table'!$A$3,"State","TN","Category",6,"Category2","Four-Year")</f>
        <v>0</v>
      </c>
      <c r="M295" s="201">
        <f t="shared" si="45"/>
        <v>0</v>
      </c>
      <c r="N295" s="62"/>
      <c r="O295" s="212"/>
    </row>
    <row r="296" spans="1:15" ht="12.95" customHeight="1">
      <c r="A296" s="12" t="s">
        <v>451</v>
      </c>
      <c r="B296" s="129">
        <f>+GETPIVOTDATA(" Old Prof avg",'Averages Pivot Table'!$A$3,"State","TX","Category",6,"Category2","Four-Year")</f>
        <v>98583.414454545447</v>
      </c>
      <c r="C296" s="130">
        <f t="shared" si="46"/>
        <v>1</v>
      </c>
      <c r="D296" s="129">
        <f>+GETPIVOTDATA(" Old Asc. avg",'Averages Pivot Table'!$A$3,"State","TX","Category",6,"Category2","Four-Year")</f>
        <v>72108.176470588238</v>
      </c>
      <c r="E296" s="130">
        <f t="shared" si="46"/>
        <v>2</v>
      </c>
      <c r="F296" s="129">
        <f>+GETPIVOTDATA(" Old Ast. avg",'Averages Pivot Table'!$A$3,"State","TX","Category",6,"Category2","Four-Year")</f>
        <v>64649.125</v>
      </c>
      <c r="G296" s="130">
        <f t="shared" si="42"/>
        <v>2</v>
      </c>
      <c r="H296" s="129">
        <f>+GETPIVOTDATA(" Old Inst. avg",'Averages Pivot Table'!$A$3,"State","TX","Category",6,"Category2","Four-Year")</f>
        <v>0</v>
      </c>
      <c r="I296" s="201">
        <f t="shared" si="43"/>
        <v>0</v>
      </c>
      <c r="J296" s="129">
        <f>+GETPIVOTDATA(" Old Undesg. avg",'Averages Pivot Table'!$A$3,"State","TX","Category",6,"Category2","Four-Year")</f>
        <v>50378.985159999997</v>
      </c>
      <c r="K296" s="130">
        <f t="shared" si="44"/>
        <v>2</v>
      </c>
      <c r="L296" s="129">
        <f>+GETPIVOTDATA(" Old All Ranks avg",'Averages Pivot Table'!$A$3,"State","TX","Category",6,"Category2","Four-Year")</f>
        <v>67833.889730526309</v>
      </c>
      <c r="M296" s="201">
        <f t="shared" si="45"/>
        <v>5</v>
      </c>
      <c r="N296" s="62"/>
      <c r="O296" s="212"/>
    </row>
    <row r="297" spans="1:15" ht="12.95" customHeight="1">
      <c r="A297" s="12" t="s">
        <v>452</v>
      </c>
      <c r="B297" s="129">
        <f>+GETPIVOTDATA(" Old Prof avg",'Averages Pivot Table'!$A$3,"State","VA","Category",6,"Category2","Four-Year")</f>
        <v>77478</v>
      </c>
      <c r="C297" s="130">
        <f t="shared" si="46"/>
        <v>7</v>
      </c>
      <c r="D297" s="129">
        <f>+GETPIVOTDATA(" Old Asc. avg",'Averages Pivot Table'!$A$3,"State","VA","Category",6,"Category2","Four-Year")</f>
        <v>58292</v>
      </c>
      <c r="E297" s="130">
        <f t="shared" si="46"/>
        <v>8</v>
      </c>
      <c r="F297" s="129">
        <f>+GETPIVOTDATA(" Old Ast. avg",'Averages Pivot Table'!$A$3,"State","VA","Category",6,"Category2","Four-Year")</f>
        <v>53792</v>
      </c>
      <c r="G297" s="130">
        <f t="shared" si="42"/>
        <v>5</v>
      </c>
      <c r="H297" s="129">
        <f>+GETPIVOTDATA(" Old Inst. avg",'Averages Pivot Table'!$A$3,"State","VA","Category",6,"Category2","Four-Year")</f>
        <v>43310</v>
      </c>
      <c r="I297" s="201">
        <f t="shared" si="43"/>
        <v>5</v>
      </c>
      <c r="J297" s="129">
        <f>+GETPIVOTDATA(" Old Undesg. avg",'Averages Pivot Table'!$A$3,"State","VA","Category",6,"Category2","Four-Year")</f>
        <v>39033</v>
      </c>
      <c r="K297" s="130">
        <f t="shared" si="44"/>
        <v>7</v>
      </c>
      <c r="L297" s="129">
        <f>+GETPIVOTDATA(" Old All Ranks avg",'Averages Pivot Table'!$A$3,"State","VA","Category",6,"Category2","Four-Year")</f>
        <v>56791.451612903227</v>
      </c>
      <c r="M297" s="201">
        <f t="shared" si="45"/>
        <v>7</v>
      </c>
      <c r="N297" s="62"/>
      <c r="O297" s="209"/>
    </row>
    <row r="298" spans="1:15" ht="12.95" customHeight="1">
      <c r="A298" s="24" t="s">
        <v>453</v>
      </c>
      <c r="B298" s="64">
        <f>+GETPIVOTDATA(" Old Prof avg",'Averages Pivot Table'!$A$3,"State","WV","Category",6,"Category2","Four-Year")</f>
        <v>67084.565788709675</v>
      </c>
      <c r="C298" s="65">
        <f t="shared" si="46"/>
        <v>9</v>
      </c>
      <c r="D298" s="64">
        <f>+GETPIVOTDATA(" Old Asc. avg",'Averages Pivot Table'!$A$3,"State","WV","Category",6,"Category2","Four-Year")</f>
        <v>56469.73169066666</v>
      </c>
      <c r="E298" s="65">
        <f t="shared" si="46"/>
        <v>10</v>
      </c>
      <c r="F298" s="64">
        <f>+GETPIVOTDATA(" Old Ast. avg",'Averages Pivot Table'!$A$3,"State","WV","Category",6,"Category2","Four-Year")</f>
        <v>48379.402579104484</v>
      </c>
      <c r="G298" s="65">
        <f t="shared" si="42"/>
        <v>10</v>
      </c>
      <c r="H298" s="64">
        <f>+GETPIVOTDATA(" Old Inst. avg",'Averages Pivot Table'!$A$3,"State","WV","Category",6,"Category2","Four-Year")</f>
        <v>40049.502721951219</v>
      </c>
      <c r="I298" s="202">
        <f t="shared" si="43"/>
        <v>9</v>
      </c>
      <c r="J298" s="64">
        <f>+GETPIVOTDATA(" Old Undesg. avg",'Averages Pivot Table'!$A$3,"State","WV","Category",6,"Category2","Four-Year")</f>
        <v>42198.107384615381</v>
      </c>
      <c r="K298" s="65">
        <f t="shared" si="44"/>
        <v>4</v>
      </c>
      <c r="L298" s="64">
        <f>+GETPIVOTDATA(" Old All Ranks avg",'Averages Pivot Table'!$A$3,"State","WV","Category",6,"Category2","Four-Year")</f>
        <v>53238.316577192985</v>
      </c>
      <c r="M298" s="202">
        <f t="shared" si="45"/>
        <v>9</v>
      </c>
      <c r="N298" s="62"/>
      <c r="O298" s="209"/>
    </row>
    <row r="299" spans="1:15" ht="30" customHeight="1">
      <c r="A299" s="629" t="s">
        <v>323</v>
      </c>
      <c r="B299" s="633"/>
      <c r="C299" s="633"/>
      <c r="D299" s="633"/>
      <c r="E299" s="633"/>
      <c r="F299" s="633"/>
      <c r="G299" s="633"/>
      <c r="H299" s="633"/>
      <c r="I299" s="633"/>
      <c r="J299" s="633"/>
      <c r="K299" s="633"/>
      <c r="L299" s="633"/>
      <c r="M299" s="633"/>
      <c r="N299" s="12"/>
      <c r="O299" s="215"/>
    </row>
    <row r="300" spans="1:15">
      <c r="M300" s="244" t="s">
        <v>1166</v>
      </c>
      <c r="O300" s="214"/>
    </row>
    <row r="301" spans="1:15" ht="18">
      <c r="A301" s="618" t="s">
        <v>786</v>
      </c>
      <c r="B301" s="618"/>
      <c r="C301" s="618"/>
      <c r="D301" s="618"/>
      <c r="E301" s="618"/>
      <c r="F301" s="618"/>
      <c r="G301" s="618"/>
      <c r="H301" s="618"/>
      <c r="I301" s="618"/>
      <c r="J301" s="618"/>
      <c r="K301" s="618"/>
      <c r="L301" s="618"/>
      <c r="M301" s="618"/>
      <c r="N301" s="618"/>
      <c r="O301" s="618"/>
    </row>
    <row r="302" spans="1:15">
      <c r="A302" s="23"/>
      <c r="B302" s="5"/>
      <c r="C302" s="5"/>
      <c r="D302" s="5"/>
      <c r="E302" s="5"/>
      <c r="F302" s="5"/>
      <c r="G302" s="5"/>
      <c r="H302" s="5"/>
      <c r="I302" s="159"/>
      <c r="J302" s="5"/>
      <c r="K302" s="5"/>
      <c r="L302" s="5"/>
      <c r="M302" s="159"/>
      <c r="N302" s="5"/>
      <c r="O302" s="159"/>
    </row>
    <row r="303" spans="1:15">
      <c r="A303" s="619" t="s">
        <v>454</v>
      </c>
      <c r="B303" s="619"/>
      <c r="C303" s="619"/>
      <c r="D303" s="619"/>
      <c r="E303" s="619"/>
      <c r="F303" s="619"/>
      <c r="G303" s="619"/>
      <c r="H303" s="619"/>
      <c r="I303" s="619"/>
      <c r="J303" s="619"/>
      <c r="K303" s="619"/>
      <c r="L303" s="619"/>
      <c r="M303" s="619"/>
      <c r="N303" s="619"/>
      <c r="O303" s="619"/>
    </row>
    <row r="304" spans="1:15">
      <c r="A304" s="619" t="s">
        <v>765</v>
      </c>
      <c r="B304" s="619"/>
      <c r="C304" s="619"/>
      <c r="D304" s="619"/>
      <c r="E304" s="619"/>
      <c r="F304" s="619"/>
      <c r="G304" s="619"/>
      <c r="H304" s="619"/>
      <c r="I304" s="619"/>
      <c r="J304" s="619"/>
      <c r="K304" s="619"/>
      <c r="L304" s="619"/>
      <c r="M304" s="619"/>
      <c r="N304" s="619"/>
      <c r="O304" s="619"/>
    </row>
    <row r="305" spans="1:19">
      <c r="A305" s="12"/>
      <c r="B305" s="12"/>
      <c r="C305" s="12"/>
      <c r="D305" s="12"/>
      <c r="E305" s="12"/>
      <c r="F305" s="12"/>
      <c r="G305" s="12"/>
      <c r="H305" s="12"/>
      <c r="I305" s="215"/>
      <c r="J305" s="12"/>
      <c r="K305" s="12"/>
      <c r="L305" s="12"/>
      <c r="M305" s="215"/>
      <c r="N305" s="12"/>
      <c r="O305" s="215"/>
    </row>
    <row r="306" spans="1:19" ht="33" customHeight="1">
      <c r="A306" s="15"/>
      <c r="B306" s="21" t="s">
        <v>332</v>
      </c>
      <c r="C306" s="22"/>
      <c r="D306" s="141" t="s">
        <v>333</v>
      </c>
      <c r="E306" s="142"/>
      <c r="F306" s="141" t="s">
        <v>334</v>
      </c>
      <c r="G306" s="142"/>
      <c r="H306" s="21" t="s">
        <v>335</v>
      </c>
      <c r="I306" s="225"/>
      <c r="J306" s="141" t="s">
        <v>461</v>
      </c>
      <c r="K306" s="142"/>
      <c r="L306" s="22" t="s">
        <v>314</v>
      </c>
      <c r="M306" s="225"/>
      <c r="N306" s="22" t="s">
        <v>316</v>
      </c>
      <c r="O306" s="225"/>
    </row>
    <row r="307" spans="1:19">
      <c r="A307" s="16"/>
      <c r="B307" s="19" t="s">
        <v>336</v>
      </c>
      <c r="C307" s="18" t="s">
        <v>427</v>
      </c>
      <c r="D307" s="19" t="s">
        <v>336</v>
      </c>
      <c r="E307" s="18" t="s">
        <v>427</v>
      </c>
      <c r="F307" s="19" t="s">
        <v>336</v>
      </c>
      <c r="G307" s="18" t="s">
        <v>427</v>
      </c>
      <c r="H307" s="19" t="s">
        <v>336</v>
      </c>
      <c r="I307" s="226" t="s">
        <v>427</v>
      </c>
      <c r="J307" s="19" t="s">
        <v>336</v>
      </c>
      <c r="K307" s="18" t="s">
        <v>427</v>
      </c>
      <c r="L307" s="19" t="s">
        <v>336</v>
      </c>
      <c r="M307" s="226" t="s">
        <v>427</v>
      </c>
      <c r="N307" s="19" t="s">
        <v>336</v>
      </c>
      <c r="O307" s="226" t="s">
        <v>427</v>
      </c>
    </row>
    <row r="308" spans="1:19" s="156" customFormat="1" ht="18" customHeight="1">
      <c r="A308" s="168" t="s">
        <v>456</v>
      </c>
      <c r="B308" s="172">
        <f>+GETPIVOTDATA(" Old Prof avg",'Averages Pivot Table'!$A$3,"Category2","Two-Year")</f>
        <v>66960.437371678941</v>
      </c>
      <c r="C308" s="172"/>
      <c r="D308" s="172">
        <f>+GETPIVOTDATA(" Old Asc. avg",'Averages Pivot Table'!$A$3,"Category2","Two-Year")</f>
        <v>55023.394112793547</v>
      </c>
      <c r="E308" s="172"/>
      <c r="F308" s="172">
        <f>+GETPIVOTDATA(" Old Ast. avg",'Averages Pivot Table'!$A$3,"Category2","Two-Year")</f>
        <v>49465.233946624168</v>
      </c>
      <c r="G308" s="172"/>
      <c r="H308" s="172">
        <f>+GETPIVOTDATA(" Old Inst. avg",'Averages Pivot Table'!$A$3,"Category2","Two-Year")</f>
        <v>43260.648410024398</v>
      </c>
      <c r="I308" s="229"/>
      <c r="J308" s="172">
        <f>+GETPIVOTDATA(" Old Undesg. avg",'Averages Pivot Table'!$A$3,"Category2","Two-Year")</f>
        <v>45672.585506440999</v>
      </c>
      <c r="K308" s="172"/>
      <c r="L308" s="172">
        <f>+GETPIVOTDATA(" Old Single Rnk avg",'Averages Pivot Table'!$A$3,"Category2","Two-Year")</f>
        <v>50788.601742257299</v>
      </c>
      <c r="M308" s="229"/>
      <c r="N308" s="172">
        <f>+GETPIVOTDATA(" Old All Ranks avg",'Averages Pivot Table'!$A$3,"Category2","Two-Year")</f>
        <v>51671.338241047022</v>
      </c>
      <c r="O308" s="216"/>
      <c r="Q308" s="193"/>
      <c r="R308" s="193"/>
      <c r="S308" s="193"/>
    </row>
    <row r="309" spans="1:19" ht="12.95" customHeight="1">
      <c r="A309" s="12"/>
      <c r="B309" s="9"/>
      <c r="C309" s="17"/>
      <c r="D309" s="9"/>
      <c r="E309" s="17"/>
      <c r="F309" s="9"/>
      <c r="G309" s="17"/>
      <c r="H309" s="9"/>
      <c r="I309" s="233"/>
      <c r="J309" s="9"/>
      <c r="K309" s="17"/>
      <c r="L309" s="9"/>
      <c r="M309" s="233"/>
      <c r="N309" s="9"/>
      <c r="O309" s="217"/>
    </row>
    <row r="310" spans="1:19" ht="12.95" customHeight="1">
      <c r="A310" s="12" t="s">
        <v>439</v>
      </c>
      <c r="B310" s="62">
        <f>+GETPIVOTDATA(" Old Prof avg",'Averages Pivot Table'!$A$3,"State","AL","Category2","Two-Year")</f>
        <v>0</v>
      </c>
      <c r="C310" s="130">
        <f>IF(B310&gt;0,(RANK(B310,B$310:B$328)),0)</f>
        <v>0</v>
      </c>
      <c r="D310" s="62">
        <f>+GETPIVOTDATA(" Old Asc. avg",'Averages Pivot Table'!$A$3,"State","AL","Category2","Two-Year")</f>
        <v>0</v>
      </c>
      <c r="E310" s="130">
        <f>IF(D310&gt;0,(RANK(D310,D$310:D$328)),0)</f>
        <v>0</v>
      </c>
      <c r="F310" s="62">
        <f>+GETPIVOTDATA(" Old Ast. avg",'Averages Pivot Table'!$A$3,"State","AL","Category2","Two-Year")</f>
        <v>0</v>
      </c>
      <c r="G310" s="130">
        <f t="shared" ref="G310:G328" si="47">IF(F310&gt;0,(RANK(F310,F$310:F$328)),0)</f>
        <v>0</v>
      </c>
      <c r="H310" s="62">
        <f>+GETPIVOTDATA(" Old Inst. avg",'Averages Pivot Table'!$A$3,"State","AL","Category2","Two-Year")</f>
        <v>0</v>
      </c>
      <c r="I310" s="201">
        <f t="shared" ref="I310:I328" si="48">IF(H310&gt;0,(RANK(H310,H$310:H$328)),0)</f>
        <v>0</v>
      </c>
      <c r="J310" s="62">
        <f>+GETPIVOTDATA(" Old Undesg. avg",'Averages Pivot Table'!$A$3,"State","AL","Category2","Two-Year")</f>
        <v>0</v>
      </c>
      <c r="K310" s="130">
        <f t="shared" ref="K310:K328" si="49">IF(J310&gt;0,(RANK(J310,J$310:J$328)),0)</f>
        <v>0</v>
      </c>
      <c r="L310" s="62">
        <f>+GETPIVOTDATA(" Old Single Rnk avg",'Averages Pivot Table'!$A$3,"State","AL","Category2","Two-Year")</f>
        <v>53422.743054463281</v>
      </c>
      <c r="M310" s="201">
        <f t="shared" ref="M310:M328" si="50">IF(L310&gt;0,(RANK(L310,L$310:L$328)),0)</f>
        <v>4</v>
      </c>
      <c r="N310" s="62">
        <f>+GETPIVOTDATA(" Old All Ranks avg",'Averages Pivot Table'!$A$3,"State","AL","Category2","Two-Year")</f>
        <v>53422.743054463281</v>
      </c>
      <c r="O310" s="201">
        <f t="shared" ref="O310:O328" si="51">IF(N310&gt;0,(RANK(N310,N$310:N$328)),0)</f>
        <v>5</v>
      </c>
    </row>
    <row r="311" spans="1:19" ht="12.95" customHeight="1">
      <c r="A311" s="12" t="s">
        <v>440</v>
      </c>
      <c r="B311" s="62">
        <f>+GETPIVOTDATA(" Old Prof avg",'Averages Pivot Table'!$A$3,"State","AR","Category2","Two-Year")</f>
        <v>56095.540760000004</v>
      </c>
      <c r="C311" s="130">
        <f t="shared" ref="C311:E328" si="52">IF(B311&gt;0,(RANK(B311,B$310:B$328)),0)</f>
        <v>10</v>
      </c>
      <c r="D311" s="62">
        <f>+GETPIVOTDATA(" Old Asc. avg",'Averages Pivot Table'!$A$3,"State","AR","Category2","Two-Year")</f>
        <v>55361.756099999999</v>
      </c>
      <c r="E311" s="130">
        <f t="shared" si="52"/>
        <v>4</v>
      </c>
      <c r="F311" s="62">
        <f>+GETPIVOTDATA(" Old Ast. avg",'Averages Pivot Table'!$A$3,"State","AR","Category2","Two-Year")</f>
        <v>44384.00772173913</v>
      </c>
      <c r="G311" s="130">
        <f t="shared" si="47"/>
        <v>7</v>
      </c>
      <c r="H311" s="62">
        <f>+GETPIVOTDATA(" Old Inst. avg",'Averages Pivot Table'!$A$3,"State","AR","Category2","Two-Year")</f>
        <v>38557.460143835619</v>
      </c>
      <c r="I311" s="201">
        <f t="shared" si="48"/>
        <v>7</v>
      </c>
      <c r="J311" s="62">
        <f>+GETPIVOTDATA(" Old Undesg. avg",'Averages Pivot Table'!$A$3,"State","AR","Category2","Two-Year")</f>
        <v>0</v>
      </c>
      <c r="K311" s="130">
        <f t="shared" si="49"/>
        <v>0</v>
      </c>
      <c r="L311" s="62">
        <f>+GETPIVOTDATA(" Old Single Rnk avg",'Averages Pivot Table'!$A$3,"State","AR","Category2","Two-Year")</f>
        <v>43984.416891637629</v>
      </c>
      <c r="M311" s="201">
        <f t="shared" si="50"/>
        <v>8</v>
      </c>
      <c r="N311" s="62">
        <f>+GETPIVOTDATA(" Old All Ranks avg",'Averages Pivot Table'!$A$3,"State","AR","Category2","Two-Year")</f>
        <v>43555.944535703915</v>
      </c>
      <c r="O311" s="201">
        <f t="shared" si="51"/>
        <v>16</v>
      </c>
    </row>
    <row r="312" spans="1:19" ht="12.95" customHeight="1">
      <c r="A312" s="12" t="s">
        <v>455</v>
      </c>
      <c r="B312" s="62">
        <f>+GETPIVOTDATA(" Old Prof avg",'Averages Pivot Table'!$A$3,"State","DE","Category2","Two-Year")</f>
        <v>0</v>
      </c>
      <c r="C312" s="130">
        <f t="shared" si="52"/>
        <v>0</v>
      </c>
      <c r="D312" s="62">
        <f>+GETPIVOTDATA(" Old Asc. avg",'Averages Pivot Table'!$A$3,"State","DE","Category2","Two-Year")</f>
        <v>0</v>
      </c>
      <c r="E312" s="130">
        <f t="shared" si="52"/>
        <v>0</v>
      </c>
      <c r="F312" s="62">
        <f>+GETPIVOTDATA(" Old Ast. avg",'Averages Pivot Table'!$A$3,"State","DE","Category2","Two-Year")</f>
        <v>0</v>
      </c>
      <c r="G312" s="130">
        <f t="shared" si="47"/>
        <v>0</v>
      </c>
      <c r="H312" s="62">
        <f>+GETPIVOTDATA(" Old Inst. avg",'Averages Pivot Table'!$A$3,"State","DE","Category2","Two-Year")</f>
        <v>0</v>
      </c>
      <c r="I312" s="201">
        <f t="shared" si="48"/>
        <v>0</v>
      </c>
      <c r="J312" s="62">
        <f>+GETPIVOTDATA(" Old Undesg. avg",'Averages Pivot Table'!$A$3,"State","DE","Category2","Two-Year")</f>
        <v>0</v>
      </c>
      <c r="K312" s="130">
        <f t="shared" si="49"/>
        <v>0</v>
      </c>
      <c r="L312" s="62">
        <f>+GETPIVOTDATA(" Old Single Rnk avg",'Averages Pivot Table'!$A$3,"State","DE","Category2","Two-Year")</f>
        <v>62779.514551595748</v>
      </c>
      <c r="M312" s="201">
        <f t="shared" si="50"/>
        <v>1</v>
      </c>
      <c r="N312" s="62">
        <f>+GETPIVOTDATA(" Old All Ranks avg",'Averages Pivot Table'!$A$3,"State","DE","Category2","Two-Year")</f>
        <v>62779.514551595748</v>
      </c>
      <c r="O312" s="201">
        <f t="shared" si="51"/>
        <v>2</v>
      </c>
    </row>
    <row r="313" spans="1:19" ht="12.95" customHeight="1">
      <c r="A313" s="12" t="s">
        <v>441</v>
      </c>
      <c r="B313" s="62">
        <f>+GETPIVOTDATA(" Old Prof avg",'Averages Pivot Table'!$A$3,"State","FL","Category2","Two-Year")</f>
        <v>0</v>
      </c>
      <c r="C313" s="130">
        <f t="shared" si="52"/>
        <v>0</v>
      </c>
      <c r="D313" s="62">
        <f>+GETPIVOTDATA(" Old Asc. avg",'Averages Pivot Table'!$A$3,"State","FL","Category2","Two-Year")</f>
        <v>0</v>
      </c>
      <c r="E313" s="130">
        <f t="shared" si="52"/>
        <v>0</v>
      </c>
      <c r="F313" s="62">
        <f>+GETPIVOTDATA(" Old Ast. avg",'Averages Pivot Table'!$A$3,"State","FL","Category2","Two-Year")</f>
        <v>0</v>
      </c>
      <c r="G313" s="130">
        <f t="shared" si="47"/>
        <v>0</v>
      </c>
      <c r="H313" s="62">
        <f>+GETPIVOTDATA(" Old Inst. avg",'Averages Pivot Table'!$A$3,"State","FL","Category2","Two-Year")</f>
        <v>0</v>
      </c>
      <c r="I313" s="201">
        <f t="shared" si="48"/>
        <v>0</v>
      </c>
      <c r="J313" s="62">
        <f>+GETPIVOTDATA(" Old Undesg. avg",'Averages Pivot Table'!$A$3,"State","FL","Category2","Two-Year")</f>
        <v>0</v>
      </c>
      <c r="K313" s="130">
        <f t="shared" si="49"/>
        <v>0</v>
      </c>
      <c r="L313" s="62">
        <f>+GETPIVOTDATA(" Old Single Rnk avg",'Averages Pivot Table'!$A$3,"State","FL","Category2","Two-Year")</f>
        <v>53625.516518784214</v>
      </c>
      <c r="M313" s="201">
        <f t="shared" si="50"/>
        <v>2</v>
      </c>
      <c r="N313" s="62">
        <f>+GETPIVOTDATA(" Old All Ranks avg",'Averages Pivot Table'!$A$3,"State","FL","Category2","Two-Year")</f>
        <v>53625.516518784214</v>
      </c>
      <c r="O313" s="201">
        <f t="shared" si="51"/>
        <v>4</v>
      </c>
    </row>
    <row r="314" spans="1:19" ht="12.95" customHeight="1">
      <c r="A314" s="12"/>
      <c r="B314" s="62"/>
      <c r="C314" s="130">
        <f t="shared" si="52"/>
        <v>0</v>
      </c>
      <c r="D314" s="62"/>
      <c r="E314" s="130">
        <f t="shared" si="52"/>
        <v>0</v>
      </c>
      <c r="F314" s="62"/>
      <c r="G314" s="130">
        <f t="shared" si="47"/>
        <v>0</v>
      </c>
      <c r="H314" s="62"/>
      <c r="I314" s="201">
        <f t="shared" si="48"/>
        <v>0</v>
      </c>
      <c r="J314" s="62"/>
      <c r="K314" s="130">
        <f t="shared" si="49"/>
        <v>0</v>
      </c>
      <c r="L314" s="62"/>
      <c r="M314" s="201">
        <f t="shared" si="50"/>
        <v>0</v>
      </c>
      <c r="N314" s="62"/>
      <c r="O314" s="201">
        <f t="shared" si="51"/>
        <v>0</v>
      </c>
    </row>
    <row r="315" spans="1:19" ht="12.95" customHeight="1">
      <c r="A315" s="12" t="s">
        <v>442</v>
      </c>
      <c r="B315" s="62">
        <f>+GETPIVOTDATA(" Old Prof avg",'Averages Pivot Table'!$A$3,"State","GA","Category2","Two-Year")</f>
        <v>63360.76286120218</v>
      </c>
      <c r="C315" s="130">
        <f t="shared" si="52"/>
        <v>6</v>
      </c>
      <c r="D315" s="62">
        <f>+GETPIVOTDATA(" Old Asc. avg",'Averages Pivot Table'!$A$3,"State","GA","Category2","Two-Year")</f>
        <v>53490.434092601434</v>
      </c>
      <c r="E315" s="130">
        <f t="shared" si="52"/>
        <v>7</v>
      </c>
      <c r="F315" s="62">
        <f>+GETPIVOTDATA(" Old Ast. avg",'Averages Pivot Table'!$A$3,"State","GA","Category2","Two-Year")</f>
        <v>44718.232233506045</v>
      </c>
      <c r="G315" s="130">
        <f t="shared" si="47"/>
        <v>6</v>
      </c>
      <c r="H315" s="62">
        <f>+GETPIVOTDATA(" Old Inst. avg",'Averages Pivot Table'!$A$3,"State","GA","Category2","Two-Year")</f>
        <v>40506.245136895675</v>
      </c>
      <c r="I315" s="201">
        <f t="shared" si="48"/>
        <v>6</v>
      </c>
      <c r="J315" s="62">
        <f>+GETPIVOTDATA(" Old Undesg. avg",'Averages Pivot Table'!$A$3,"State","GA","Category2","Two-Year")</f>
        <v>47767.558183333334</v>
      </c>
      <c r="K315" s="130">
        <f t="shared" si="49"/>
        <v>1</v>
      </c>
      <c r="L315" s="62">
        <f>+GETPIVOTDATA(" Old Single Rnk avg",'Averages Pivot Table'!$A$3,"State","GA","Category2","Two-Year")</f>
        <v>0</v>
      </c>
      <c r="M315" s="201">
        <f t="shared" si="50"/>
        <v>0</v>
      </c>
      <c r="N315" s="62">
        <f>+GETPIVOTDATA(" Old All Ranks avg",'Averages Pivot Table'!$A$3,"State","GA","Category2","Two-Year")</f>
        <v>48163.168765206508</v>
      </c>
      <c r="O315" s="201">
        <f t="shared" si="51"/>
        <v>11</v>
      </c>
    </row>
    <row r="316" spans="1:19" ht="12.95" customHeight="1">
      <c r="A316" s="12" t="s">
        <v>443</v>
      </c>
      <c r="B316" s="62">
        <f>+GETPIVOTDATA(" Old Prof avg",'Averages Pivot Table'!$A$3,"State","KY","Category2","Two-Year")</f>
        <v>58367.894730163942</v>
      </c>
      <c r="C316" s="130">
        <f t="shared" si="52"/>
        <v>9</v>
      </c>
      <c r="D316" s="62">
        <f>+GETPIVOTDATA(" Old Asc. avg",'Averages Pivot Table'!$A$3,"State","KY","Category2","Two-Year")</f>
        <v>48171.521308934709</v>
      </c>
      <c r="E316" s="130">
        <f t="shared" si="52"/>
        <v>10</v>
      </c>
      <c r="F316" s="62">
        <f>+GETPIVOTDATA(" Old Ast. avg",'Averages Pivot Table'!$A$3,"State","KY","Category2","Two-Year")</f>
        <v>41610.60476814815</v>
      </c>
      <c r="G316" s="130">
        <f t="shared" si="47"/>
        <v>10</v>
      </c>
      <c r="H316" s="62">
        <f>+GETPIVOTDATA(" Old Inst. avg",'Averages Pivot Table'!$A$3,"State","KY","Category2","Two-Year")</f>
        <v>37407.091284067799</v>
      </c>
      <c r="I316" s="201">
        <f t="shared" si="48"/>
        <v>10</v>
      </c>
      <c r="J316" s="62">
        <f>+GETPIVOTDATA(" Old Undesg. avg",'Averages Pivot Table'!$A$3,"State","KY","Category2","Two-Year")</f>
        <v>0</v>
      </c>
      <c r="K316" s="130">
        <f t="shared" si="49"/>
        <v>0</v>
      </c>
      <c r="L316" s="62">
        <f>+GETPIVOTDATA(" Old Single Rnk avg",'Averages Pivot Table'!$A$3,"State","KY","Category2","Two-Year")</f>
        <v>0</v>
      </c>
      <c r="M316" s="201">
        <f t="shared" si="50"/>
        <v>0</v>
      </c>
      <c r="N316" s="62">
        <f>+GETPIVOTDATA(" Old All Ranks avg",'Averages Pivot Table'!$A$3,"State","KY","Category2","Two-Year")</f>
        <v>48895.956974046676</v>
      </c>
      <c r="O316" s="201">
        <f t="shared" si="51"/>
        <v>8</v>
      </c>
    </row>
    <row r="317" spans="1:19" ht="12.95" customHeight="1">
      <c r="A317" s="12" t="s">
        <v>444</v>
      </c>
      <c r="B317" s="62">
        <f>+GETPIVOTDATA(" Old Prof avg",'Averages Pivot Table'!$A$3,"State","LA","Category2","Two-Year")</f>
        <v>71022.344535338343</v>
      </c>
      <c r="C317" s="130">
        <f t="shared" si="52"/>
        <v>2</v>
      </c>
      <c r="D317" s="62">
        <f>+GETPIVOTDATA(" Old Asc. avg",'Averages Pivot Table'!$A$3,"State","LA","Category2","Two-Year")</f>
        <v>54930.193447290643</v>
      </c>
      <c r="E317" s="130">
        <f t="shared" si="52"/>
        <v>5</v>
      </c>
      <c r="F317" s="62">
        <f>+GETPIVOTDATA(" Old Ast. avg",'Averages Pivot Table'!$A$3,"State","LA","Category2","Two-Year")</f>
        <v>52312.454723134331</v>
      </c>
      <c r="G317" s="130">
        <f t="shared" si="47"/>
        <v>3</v>
      </c>
      <c r="H317" s="62">
        <f>+GETPIVOTDATA(" Old Inst. avg",'Averages Pivot Table'!$A$3,"State","LA","Category2","Two-Year")</f>
        <v>42489.838899220777</v>
      </c>
      <c r="I317" s="201">
        <f t="shared" si="48"/>
        <v>4</v>
      </c>
      <c r="J317" s="62">
        <f>+GETPIVOTDATA(" Old Undesg. avg",'Averages Pivot Table'!$A$3,"State","LA","Category2","Two-Year")</f>
        <v>40742.776972916668</v>
      </c>
      <c r="K317" s="130">
        <f t="shared" si="49"/>
        <v>4</v>
      </c>
      <c r="L317" s="62">
        <f>+GETPIVOTDATA(" Old Single Rnk avg",'Averages Pivot Table'!$A$3,"State","LA","Category2","Two-Year")</f>
        <v>0</v>
      </c>
      <c r="M317" s="201">
        <f t="shared" si="50"/>
        <v>0</v>
      </c>
      <c r="N317" s="62">
        <f>+GETPIVOTDATA(" Old All Ranks avg",'Averages Pivot Table'!$A$3,"State","LA","Category2","Two-Year")</f>
        <v>50586.574676866359</v>
      </c>
      <c r="O317" s="201">
        <f t="shared" si="51"/>
        <v>7</v>
      </c>
    </row>
    <row r="318" spans="1:19" ht="12.95" customHeight="1">
      <c r="A318" s="12" t="s">
        <v>445</v>
      </c>
      <c r="B318" s="62">
        <f>+GETPIVOTDATA(" Old Prof avg",'Averages Pivot Table'!$A$3,"State","MD","Category2","Two-Year")</f>
        <v>81149.846802930057</v>
      </c>
      <c r="C318" s="130">
        <f t="shared" si="52"/>
        <v>1</v>
      </c>
      <c r="D318" s="62">
        <f>+GETPIVOTDATA(" Old Asc. avg",'Averages Pivot Table'!$A$3,"State","MD","Category2","Two-Year")</f>
        <v>64618.35770385732</v>
      </c>
      <c r="E318" s="130">
        <f t="shared" si="52"/>
        <v>1</v>
      </c>
      <c r="F318" s="62">
        <f>+GETPIVOTDATA(" Old Ast. avg",'Averages Pivot Table'!$A$3,"State","MD","Category2","Two-Year")</f>
        <v>55813.787438218525</v>
      </c>
      <c r="G318" s="130">
        <f t="shared" si="47"/>
        <v>1</v>
      </c>
      <c r="H318" s="62">
        <f>+GETPIVOTDATA(" Old Inst. avg",'Averages Pivot Table'!$A$3,"State","MD","Category2","Two-Year")</f>
        <v>47910.393279440614</v>
      </c>
      <c r="I318" s="201">
        <f t="shared" si="48"/>
        <v>2</v>
      </c>
      <c r="J318" s="62">
        <f>+GETPIVOTDATA(" Old Undesg. avg",'Averages Pivot Table'!$A$3,"State","MD","Category2","Two-Year")</f>
        <v>47263.199999999997</v>
      </c>
      <c r="K318" s="130">
        <f t="shared" si="49"/>
        <v>2</v>
      </c>
      <c r="L318" s="62">
        <f>+GETPIVOTDATA(" Old Single Rnk avg",'Averages Pivot Table'!$A$3,"State","MD","Category2","Two-Year")</f>
        <v>0</v>
      </c>
      <c r="M318" s="201">
        <f t="shared" si="50"/>
        <v>0</v>
      </c>
      <c r="N318" s="62">
        <f>+GETPIVOTDATA(" Old All Ranks avg",'Averages Pivot Table'!$A$3,"State","MD","Category2","Two-Year")</f>
        <v>66025.461728139242</v>
      </c>
      <c r="O318" s="201">
        <f t="shared" si="51"/>
        <v>1</v>
      </c>
    </row>
    <row r="319" spans="1:19" ht="12.95" customHeight="1">
      <c r="A319" s="12"/>
      <c r="B319" s="62"/>
      <c r="C319" s="130">
        <f t="shared" si="52"/>
        <v>0</v>
      </c>
      <c r="D319" s="62"/>
      <c r="E319" s="130">
        <f t="shared" si="52"/>
        <v>0</v>
      </c>
      <c r="F319" s="62"/>
      <c r="G319" s="130">
        <f t="shared" si="47"/>
        <v>0</v>
      </c>
      <c r="H319" s="62"/>
      <c r="I319" s="201">
        <f t="shared" si="48"/>
        <v>0</v>
      </c>
      <c r="J319" s="62"/>
      <c r="K319" s="130">
        <f t="shared" si="49"/>
        <v>0</v>
      </c>
      <c r="L319" s="62"/>
      <c r="M319" s="201">
        <f t="shared" si="50"/>
        <v>0</v>
      </c>
      <c r="N319" s="62"/>
      <c r="O319" s="201">
        <f t="shared" si="51"/>
        <v>0</v>
      </c>
    </row>
    <row r="320" spans="1:19" ht="12.95" customHeight="1">
      <c r="A320" s="12" t="s">
        <v>446</v>
      </c>
      <c r="B320" s="62">
        <f>+GETPIVOTDATA(" Old Prof avg",'Averages Pivot Table'!$A$3,"State","MS","Category2","Two-Year")</f>
        <v>0</v>
      </c>
      <c r="C320" s="130">
        <f t="shared" si="52"/>
        <v>0</v>
      </c>
      <c r="D320" s="62">
        <f>+GETPIVOTDATA(" Old Asc. avg",'Averages Pivot Table'!$A$3,"State","MS","Category2","Two-Year")</f>
        <v>0</v>
      </c>
      <c r="E320" s="130">
        <f t="shared" si="52"/>
        <v>0</v>
      </c>
      <c r="F320" s="62">
        <f>+GETPIVOTDATA(" Old Ast. avg",'Averages Pivot Table'!$A$3,"State","MS","Category2","Two-Year")</f>
        <v>0</v>
      </c>
      <c r="G320" s="130">
        <f t="shared" si="47"/>
        <v>0</v>
      </c>
      <c r="H320" s="62">
        <f>+GETPIVOTDATA(" Old Inst. avg",'Averages Pivot Table'!$A$3,"State","MS","Category2","Two-Year")</f>
        <v>0</v>
      </c>
      <c r="I320" s="201">
        <f t="shared" si="48"/>
        <v>0</v>
      </c>
      <c r="J320" s="62">
        <f>+GETPIVOTDATA(" Old Undesg. avg",'Averages Pivot Table'!$A$3,"State","MS","Category2","Two-Year")</f>
        <v>0</v>
      </c>
      <c r="K320" s="130">
        <f t="shared" si="49"/>
        <v>0</v>
      </c>
      <c r="L320" s="62">
        <f>+GETPIVOTDATA(" Old Single Rnk avg",'Averages Pivot Table'!$A$3,"State","MS","Category2","Two-Year")</f>
        <v>48815.648814470456</v>
      </c>
      <c r="M320" s="201">
        <f t="shared" si="50"/>
        <v>6</v>
      </c>
      <c r="N320" s="62">
        <f>+GETPIVOTDATA(" Old All Ranks avg",'Averages Pivot Table'!$A$3,"State","MS","Category2","Two-Year")</f>
        <v>48815.648814470456</v>
      </c>
      <c r="O320" s="201">
        <f t="shared" si="51"/>
        <v>10</v>
      </c>
    </row>
    <row r="321" spans="1:16" ht="12.95" customHeight="1">
      <c r="A321" s="12" t="s">
        <v>447</v>
      </c>
      <c r="B321" s="62">
        <f>+GETPIVOTDATA(" Old Prof avg",'Averages Pivot Table'!$A$3,"State","NC","Category2","Two-Year")</f>
        <v>0</v>
      </c>
      <c r="C321" s="130">
        <f t="shared" si="52"/>
        <v>0</v>
      </c>
      <c r="D321" s="62">
        <f>+GETPIVOTDATA(" Old Asc. avg",'Averages Pivot Table'!$A$3,"State","NC","Category2","Two-Year")</f>
        <v>0</v>
      </c>
      <c r="E321" s="130">
        <f t="shared" si="52"/>
        <v>0</v>
      </c>
      <c r="F321" s="62">
        <f>+GETPIVOTDATA(" Old Ast. avg",'Averages Pivot Table'!$A$3,"State","NC","Category2","Two-Year")</f>
        <v>0</v>
      </c>
      <c r="G321" s="130">
        <f t="shared" si="47"/>
        <v>0</v>
      </c>
      <c r="H321" s="62">
        <f>+GETPIVOTDATA(" Old Inst. avg",'Averages Pivot Table'!$A$3,"State","NC","Category2","Two-Year")</f>
        <v>0</v>
      </c>
      <c r="I321" s="201">
        <f t="shared" si="48"/>
        <v>0</v>
      </c>
      <c r="J321" s="62">
        <f>+GETPIVOTDATA(" Old Undesg. avg",'Averages Pivot Table'!$A$3,"State","NC","Category2","Two-Year")</f>
        <v>0</v>
      </c>
      <c r="K321" s="130">
        <f t="shared" si="49"/>
        <v>0</v>
      </c>
      <c r="L321" s="62">
        <f>+GETPIVOTDATA(" Old Single Rnk avg",'Averages Pivot Table'!$A$3,"State","NC","Category2","Two-Year")</f>
        <v>47092.319545949307</v>
      </c>
      <c r="M321" s="201">
        <f t="shared" si="50"/>
        <v>7</v>
      </c>
      <c r="N321" s="62">
        <f>+GETPIVOTDATA(" Old All Ranks avg",'Averages Pivot Table'!$A$3,"State","NC","Category2","Two-Year")</f>
        <v>47092.319545949307</v>
      </c>
      <c r="O321" s="201">
        <f t="shared" si="51"/>
        <v>12</v>
      </c>
    </row>
    <row r="322" spans="1:16" ht="12.95" customHeight="1">
      <c r="A322" s="12" t="s">
        <v>448</v>
      </c>
      <c r="B322" s="62">
        <f>+GETPIVOTDATA(" Old Prof avg",'Averages Pivot Table'!$A$3,"State","OK","Category2","Two-Year")</f>
        <v>0</v>
      </c>
      <c r="C322" s="130">
        <f t="shared" si="52"/>
        <v>0</v>
      </c>
      <c r="D322" s="62">
        <f>+GETPIVOTDATA(" Old Asc. avg",'Averages Pivot Table'!$A$3,"State","OK","Category2","Two-Year")</f>
        <v>0</v>
      </c>
      <c r="E322" s="130">
        <f t="shared" si="52"/>
        <v>0</v>
      </c>
      <c r="F322" s="62">
        <f>+GETPIVOTDATA(" Old Ast. avg",'Averages Pivot Table'!$A$3,"State","OK","Category2","Two-Year")</f>
        <v>0</v>
      </c>
      <c r="G322" s="130">
        <f t="shared" si="47"/>
        <v>0</v>
      </c>
      <c r="H322" s="62">
        <f>+GETPIVOTDATA(" Old Inst. avg",'Averages Pivot Table'!$A$3,"State","OK","Category2","Two-Year")</f>
        <v>0</v>
      </c>
      <c r="I322" s="201">
        <f t="shared" si="48"/>
        <v>0</v>
      </c>
      <c r="J322" s="62">
        <f>+GETPIVOTDATA(" Old Undesg. avg",'Averages Pivot Table'!$A$3,"State","OK","Category2","Two-Year")</f>
        <v>0</v>
      </c>
      <c r="K322" s="130">
        <f t="shared" si="49"/>
        <v>0</v>
      </c>
      <c r="L322" s="62">
        <f>+GETPIVOTDATA(" Old Single Rnk avg",'Averages Pivot Table'!$A$3,"State","OK","Category2","Two-Year")</f>
        <v>48888.647740705128</v>
      </c>
      <c r="M322" s="201">
        <f t="shared" si="50"/>
        <v>5</v>
      </c>
      <c r="N322" s="62">
        <f>+GETPIVOTDATA(" Old All Ranks avg",'Averages Pivot Table'!$A$3,"State","OK","Category2","Two-Year")</f>
        <v>48888.647740705128</v>
      </c>
      <c r="O322" s="201">
        <f t="shared" si="51"/>
        <v>9</v>
      </c>
    </row>
    <row r="323" spans="1:16" ht="12.95" customHeight="1">
      <c r="A323" s="12" t="s">
        <v>449</v>
      </c>
      <c r="B323" s="62">
        <f>+GETPIVOTDATA(" Old Prof avg",'Averages Pivot Table'!$A$3,"State","SC","Category2","Two-Year")</f>
        <v>67715.526755555562</v>
      </c>
      <c r="C323" s="130">
        <f t="shared" si="52"/>
        <v>3</v>
      </c>
      <c r="D323" s="62">
        <f>+GETPIVOTDATA(" Old Asc. avg",'Averages Pivot Table'!$A$3,"State","SC","Category2","Two-Year")</f>
        <v>56934.413757894741</v>
      </c>
      <c r="E323" s="130">
        <f t="shared" si="52"/>
        <v>3</v>
      </c>
      <c r="F323" s="62">
        <f>+GETPIVOTDATA(" Old Ast. avg",'Averages Pivot Table'!$A$3,"State","SC","Category2","Two-Year")</f>
        <v>48347.196078431371</v>
      </c>
      <c r="G323" s="130">
        <f t="shared" si="47"/>
        <v>5</v>
      </c>
      <c r="H323" s="62">
        <f>+GETPIVOTDATA(" Old Inst. avg",'Averages Pivot Table'!$A$3,"State","SC","Category2","Two-Year")</f>
        <v>41682.83853770492</v>
      </c>
      <c r="I323" s="201">
        <f t="shared" si="48"/>
        <v>5</v>
      </c>
      <c r="J323" s="62">
        <f>+GETPIVOTDATA(" Old Undesg. avg",'Averages Pivot Table'!$A$3,"State","SC","Category2","Two-Year")</f>
        <v>46218.312970241852</v>
      </c>
      <c r="K323" s="130">
        <f t="shared" si="49"/>
        <v>3</v>
      </c>
      <c r="L323" s="62">
        <f>+GETPIVOTDATA(" Old Single Rnk avg",'Averages Pivot Table'!$A$3,"State","SC","Category2","Two-Year")</f>
        <v>0</v>
      </c>
      <c r="M323" s="201">
        <f t="shared" si="50"/>
        <v>0</v>
      </c>
      <c r="N323" s="62">
        <f>+GETPIVOTDATA(" Old All Ranks avg",'Averages Pivot Table'!$A$3,"State","SC","Category2","Two-Year")</f>
        <v>46612.51484627225</v>
      </c>
      <c r="O323" s="201">
        <f t="shared" si="51"/>
        <v>15</v>
      </c>
    </row>
    <row r="324" spans="1:16" ht="12.95" customHeight="1">
      <c r="A324" s="12"/>
      <c r="B324" s="62"/>
      <c r="C324" s="130">
        <f t="shared" si="52"/>
        <v>0</v>
      </c>
      <c r="D324" s="62"/>
      <c r="E324" s="130">
        <f t="shared" si="52"/>
        <v>0</v>
      </c>
      <c r="F324" s="62"/>
      <c r="G324" s="130">
        <f t="shared" si="47"/>
        <v>0</v>
      </c>
      <c r="H324" s="62"/>
      <c r="I324" s="201">
        <f t="shared" si="48"/>
        <v>0</v>
      </c>
      <c r="J324" s="62"/>
      <c r="K324" s="130">
        <f t="shared" si="49"/>
        <v>0</v>
      </c>
      <c r="L324" s="62"/>
      <c r="M324" s="201">
        <f t="shared" si="50"/>
        <v>0</v>
      </c>
      <c r="N324" s="62"/>
      <c r="O324" s="201">
        <f t="shared" si="51"/>
        <v>0</v>
      </c>
    </row>
    <row r="325" spans="1:16" ht="12.95" customHeight="1">
      <c r="A325" s="12" t="s">
        <v>450</v>
      </c>
      <c r="B325" s="129">
        <f>+GETPIVOTDATA(" Old Prof avg",'Averages Pivot Table'!$A$3,"State","TN","Category2","Two-Year")</f>
        <v>60058.56155406699</v>
      </c>
      <c r="C325" s="130">
        <f t="shared" si="52"/>
        <v>8</v>
      </c>
      <c r="D325" s="129">
        <f>+GETPIVOTDATA(" Old Asc. avg",'Averages Pivot Table'!$A$3,"State","TN","Category2","Two-Year")</f>
        <v>50202.689834966892</v>
      </c>
      <c r="E325" s="130">
        <f t="shared" si="52"/>
        <v>9</v>
      </c>
      <c r="F325" s="129">
        <f>+GETPIVOTDATA(" Old Ast. avg",'Averages Pivot Table'!$A$3,"State","TN","Category2","Two-Year")</f>
        <v>42110.728540555552</v>
      </c>
      <c r="G325" s="130">
        <f t="shared" si="47"/>
        <v>9</v>
      </c>
      <c r="H325" s="129">
        <f>+GETPIVOTDATA(" Old Inst. avg",'Averages Pivot Table'!$A$3,"State","TN","Category2","Two-Year")</f>
        <v>37745.687955384616</v>
      </c>
      <c r="I325" s="201">
        <f t="shared" si="48"/>
        <v>9</v>
      </c>
      <c r="J325" s="129">
        <f>+GETPIVOTDATA(" Old Undesg. avg",'Averages Pivot Table'!$A$3,"State","TN","Category2","Two-Year")</f>
        <v>38697.25</v>
      </c>
      <c r="K325" s="130">
        <f t="shared" si="49"/>
        <v>7</v>
      </c>
      <c r="L325" s="129">
        <f>+GETPIVOTDATA(" Old Single Rnk avg",'Averages Pivot Table'!$A$3,"State","TN","Category2","Two-Year")</f>
        <v>0</v>
      </c>
      <c r="M325" s="201">
        <f t="shared" si="50"/>
        <v>0</v>
      </c>
      <c r="N325" s="62">
        <f>+GETPIVOTDATA(" Old All Ranks avg",'Averages Pivot Table'!$A$3,"State","TN","Category2","Two-Year")</f>
        <v>46851.42012072177</v>
      </c>
      <c r="O325" s="201">
        <f t="shared" si="51"/>
        <v>13</v>
      </c>
    </row>
    <row r="326" spans="1:16" ht="12.95" customHeight="1">
      <c r="A326" s="12" t="s">
        <v>451</v>
      </c>
      <c r="B326" s="129">
        <f>+GETPIVOTDATA(" Old Prof avg",'Averages Pivot Table'!$A$3,"State","TX","Category2","Two-Year")</f>
        <v>65029.139975221238</v>
      </c>
      <c r="C326" s="130">
        <f t="shared" si="52"/>
        <v>5</v>
      </c>
      <c r="D326" s="129">
        <f>+GETPIVOTDATA(" Old Asc. avg",'Averages Pivot Table'!$A$3,"State","TX","Category2","Two-Year")</f>
        <v>54244.117742592585</v>
      </c>
      <c r="E326" s="130">
        <f t="shared" si="52"/>
        <v>6</v>
      </c>
      <c r="F326" s="129">
        <f>+GETPIVOTDATA(" Old Ast. avg",'Averages Pivot Table'!$A$3,"State","TX","Category2","Two-Year")</f>
        <v>49599.676831061261</v>
      </c>
      <c r="G326" s="130">
        <f t="shared" si="47"/>
        <v>4</v>
      </c>
      <c r="H326" s="129">
        <f>+GETPIVOTDATA(" Old Inst. avg",'Averages Pivot Table'!$A$3,"State","TX","Category2","Two-Year")</f>
        <v>44905.944618550951</v>
      </c>
      <c r="I326" s="201">
        <f t="shared" si="48"/>
        <v>3</v>
      </c>
      <c r="J326" s="129">
        <f>+GETPIVOTDATA(" Old Undesg. avg",'Averages Pivot Table'!$A$3,"State","TX","Category2","Two-Year")</f>
        <v>39287.931366666664</v>
      </c>
      <c r="K326" s="130">
        <f t="shared" si="49"/>
        <v>6</v>
      </c>
      <c r="L326" s="129">
        <f>+GETPIVOTDATA(" Old Single Rnk avg",'Averages Pivot Table'!$A$3,"State","TX","Category2","Two-Year")</f>
        <v>53506.141078891342</v>
      </c>
      <c r="M326" s="201">
        <f t="shared" si="50"/>
        <v>3</v>
      </c>
      <c r="N326" s="62">
        <f>+GETPIVOTDATA(" Old All Ranks avg",'Averages Pivot Table'!$A$3,"State","TX","Category2","Two-Year")</f>
        <v>53284.073586265818</v>
      </c>
      <c r="O326" s="201">
        <f t="shared" si="51"/>
        <v>6</v>
      </c>
    </row>
    <row r="327" spans="1:16" ht="12.95" customHeight="1">
      <c r="A327" s="12" t="s">
        <v>452</v>
      </c>
      <c r="B327" s="129">
        <f>+GETPIVOTDATA(" Old Prof avg",'Averages Pivot Table'!$A$3,"State","VA","Category2","Two-Year")</f>
        <v>67074.978991111115</v>
      </c>
      <c r="C327" s="130">
        <f t="shared" si="52"/>
        <v>4</v>
      </c>
      <c r="D327" s="129">
        <f>+GETPIVOTDATA(" Old Asc. avg",'Averages Pivot Table'!$A$3,"State","VA","Category2","Two-Year")</f>
        <v>59683.587825037706</v>
      </c>
      <c r="E327" s="130">
        <f t="shared" si="52"/>
        <v>2</v>
      </c>
      <c r="F327" s="129">
        <f>+GETPIVOTDATA(" Old Ast. avg",'Averages Pivot Table'!$A$3,"State","VA","Category2","Two-Year")</f>
        <v>53710.233947016015</v>
      </c>
      <c r="G327" s="130">
        <f t="shared" si="47"/>
        <v>2</v>
      </c>
      <c r="H327" s="129">
        <f>+GETPIVOTDATA(" Old Inst. avg",'Averages Pivot Table'!$A$3,"State","VA","Category2","Two-Year")</f>
        <v>47982.438270297032</v>
      </c>
      <c r="I327" s="201">
        <f t="shared" si="48"/>
        <v>1</v>
      </c>
      <c r="J327" s="129">
        <f>+GETPIVOTDATA(" Old Undesg. avg",'Averages Pivot Table'!$A$3,"State","VA","Category2","Two-Year")</f>
        <v>0</v>
      </c>
      <c r="K327" s="130">
        <f t="shared" si="49"/>
        <v>0</v>
      </c>
      <c r="L327" s="129">
        <f>+GETPIVOTDATA(" Old Single Rnk avg",'Averages Pivot Table'!$A$3,"State","VA","Category2","Two-Year")</f>
        <v>0</v>
      </c>
      <c r="M327" s="201">
        <f t="shared" si="50"/>
        <v>0</v>
      </c>
      <c r="N327" s="62">
        <f>+GETPIVOTDATA(" Old All Ranks avg",'Averages Pivot Table'!$A$3,"State","VA","Category2","Two-Year")</f>
        <v>57185.932421415615</v>
      </c>
      <c r="O327" s="201">
        <f t="shared" si="51"/>
        <v>3</v>
      </c>
    </row>
    <row r="328" spans="1:16" ht="12.95" customHeight="1">
      <c r="A328" s="11" t="s">
        <v>453</v>
      </c>
      <c r="B328" s="64">
        <f>+GETPIVOTDATA(" Old Prof avg",'Averages Pivot Table'!$A$3,"State","WV","Category2","Two-Year")</f>
        <v>60448.068818032785</v>
      </c>
      <c r="C328" s="65">
        <f t="shared" si="52"/>
        <v>7</v>
      </c>
      <c r="D328" s="64">
        <f>+GETPIVOTDATA(" Old Asc. avg",'Averages Pivot Table'!$A$3,"State","WV","Category2","Two-Year")</f>
        <v>52447.981526027397</v>
      </c>
      <c r="E328" s="65">
        <f t="shared" si="52"/>
        <v>8</v>
      </c>
      <c r="F328" s="64">
        <f>+GETPIVOTDATA(" Old Ast. avg",'Averages Pivot Table'!$A$3,"State","WV","Category2","Two-Year")</f>
        <v>43619.3208609375</v>
      </c>
      <c r="G328" s="65">
        <f t="shared" si="47"/>
        <v>8</v>
      </c>
      <c r="H328" s="64">
        <f>+GETPIVOTDATA(" Old Inst. avg",'Averages Pivot Table'!$A$3,"State","WV","Category2","Two-Year")</f>
        <v>38104.401464772731</v>
      </c>
      <c r="I328" s="202">
        <f t="shared" si="48"/>
        <v>8</v>
      </c>
      <c r="J328" s="64">
        <f>+GETPIVOTDATA(" Old Undesg. avg",'Averages Pivot Table'!$A$3,"State","WV","Category2","Two-Year")</f>
        <v>40554.886266666668</v>
      </c>
      <c r="K328" s="65">
        <f t="shared" si="49"/>
        <v>5</v>
      </c>
      <c r="L328" s="64">
        <f>+GETPIVOTDATA(" Old Single Rnk avg",'Averages Pivot Table'!$A$3,"State","WV","Category2","Two-Year")</f>
        <v>0</v>
      </c>
      <c r="M328" s="202">
        <f t="shared" si="50"/>
        <v>0</v>
      </c>
      <c r="N328" s="64">
        <f>+GETPIVOTDATA(" Old All Ranks avg",'Averages Pivot Table'!$A$3,"State","WV","Category2","Two-Year")</f>
        <v>46675.424853383462</v>
      </c>
      <c r="O328" s="202">
        <f t="shared" si="51"/>
        <v>14</v>
      </c>
    </row>
    <row r="329" spans="1:16" ht="30" customHeight="1">
      <c r="A329" s="634" t="s">
        <v>323</v>
      </c>
      <c r="B329" s="634"/>
      <c r="C329" s="634"/>
      <c r="D329" s="634"/>
      <c r="E329" s="634"/>
      <c r="F329" s="634"/>
      <c r="G329" s="634"/>
      <c r="H329" s="634"/>
      <c r="I329" s="634"/>
      <c r="J329" s="634"/>
      <c r="K329" s="634"/>
      <c r="L329" s="634"/>
      <c r="M329" s="634"/>
      <c r="N329" s="634"/>
      <c r="O329" s="634"/>
    </row>
    <row r="330" spans="1:16">
      <c r="O330" s="244" t="s">
        <v>1166</v>
      </c>
    </row>
    <row r="331" spans="1:16" ht="18">
      <c r="A331" s="618" t="s">
        <v>787</v>
      </c>
      <c r="B331" s="618"/>
      <c r="C331" s="618"/>
      <c r="D331" s="618"/>
      <c r="E331" s="618"/>
      <c r="F331" s="618"/>
      <c r="G331" s="618"/>
      <c r="H331" s="618"/>
      <c r="I331" s="618"/>
      <c r="J331" s="618"/>
      <c r="K331" s="618"/>
      <c r="L331" s="618"/>
      <c r="M331" s="618"/>
      <c r="N331" s="618"/>
      <c r="O331" s="618"/>
      <c r="P331" s="254" t="s">
        <v>457</v>
      </c>
    </row>
    <row r="332" spans="1:16">
      <c r="A332" s="23"/>
      <c r="B332" s="5"/>
      <c r="C332" s="5"/>
      <c r="D332" s="5"/>
      <c r="E332" s="5"/>
      <c r="F332" s="5"/>
      <c r="G332" s="5"/>
      <c r="H332" s="5"/>
      <c r="I332" s="159"/>
      <c r="J332" s="5"/>
      <c r="K332" s="5"/>
      <c r="L332" s="5"/>
      <c r="M332" s="159"/>
      <c r="N332" s="5"/>
      <c r="O332" s="159"/>
    </row>
    <row r="333" spans="1:16">
      <c r="A333" s="619" t="s">
        <v>454</v>
      </c>
      <c r="B333" s="619"/>
      <c r="C333" s="619"/>
      <c r="D333" s="619"/>
      <c r="E333" s="619"/>
      <c r="F333" s="619"/>
      <c r="G333" s="619"/>
      <c r="H333" s="619"/>
      <c r="I333" s="619"/>
      <c r="J333" s="619"/>
      <c r="K333" s="619"/>
      <c r="L333" s="619"/>
      <c r="M333" s="619"/>
      <c r="N333" s="619"/>
      <c r="O333" s="619"/>
    </row>
    <row r="334" spans="1:16">
      <c r="A334" s="619" t="s">
        <v>766</v>
      </c>
      <c r="B334" s="619"/>
      <c r="C334" s="619"/>
      <c r="D334" s="619"/>
      <c r="E334" s="619"/>
      <c r="F334" s="619"/>
      <c r="G334" s="619"/>
      <c r="H334" s="619"/>
      <c r="I334" s="619"/>
      <c r="J334" s="619"/>
      <c r="K334" s="619"/>
      <c r="L334" s="619"/>
      <c r="M334" s="619"/>
      <c r="N334" s="619"/>
      <c r="O334" s="619"/>
    </row>
    <row r="335" spans="1:16">
      <c r="A335" s="12"/>
      <c r="B335" s="12"/>
      <c r="C335" s="12"/>
      <c r="D335" s="12"/>
      <c r="E335" s="12"/>
      <c r="F335" s="12"/>
      <c r="G335" s="12"/>
      <c r="H335" s="12"/>
      <c r="I335" s="215"/>
      <c r="J335" s="12"/>
      <c r="K335" s="12"/>
      <c r="L335" s="12"/>
      <c r="M335" s="215"/>
      <c r="N335" s="12"/>
      <c r="O335" s="215"/>
    </row>
    <row r="336" spans="1:16" ht="33" customHeight="1">
      <c r="A336" s="15"/>
      <c r="B336" s="21" t="s">
        <v>332</v>
      </c>
      <c r="C336" s="22"/>
      <c r="D336" s="141" t="s">
        <v>333</v>
      </c>
      <c r="E336" s="142"/>
      <c r="F336" s="141" t="s">
        <v>334</v>
      </c>
      <c r="G336" s="142"/>
      <c r="H336" s="21" t="s">
        <v>335</v>
      </c>
      <c r="I336" s="225"/>
      <c r="J336" s="141" t="s">
        <v>461</v>
      </c>
      <c r="K336" s="142"/>
      <c r="L336" s="22" t="s">
        <v>314</v>
      </c>
      <c r="M336" s="225"/>
      <c r="N336" s="22" t="s">
        <v>316</v>
      </c>
      <c r="O336" s="225"/>
    </row>
    <row r="337" spans="1:19">
      <c r="A337" s="16"/>
      <c r="B337" s="19" t="s">
        <v>336</v>
      </c>
      <c r="C337" s="18" t="s">
        <v>427</v>
      </c>
      <c r="D337" s="19" t="s">
        <v>336</v>
      </c>
      <c r="E337" s="18" t="s">
        <v>427</v>
      </c>
      <c r="F337" s="19" t="s">
        <v>336</v>
      </c>
      <c r="G337" s="18" t="s">
        <v>427</v>
      </c>
      <c r="H337" s="19" t="s">
        <v>336</v>
      </c>
      <c r="I337" s="226" t="s">
        <v>427</v>
      </c>
      <c r="J337" s="19" t="s">
        <v>336</v>
      </c>
      <c r="K337" s="18" t="s">
        <v>427</v>
      </c>
      <c r="L337" s="19" t="s">
        <v>336</v>
      </c>
      <c r="M337" s="226" t="s">
        <v>427</v>
      </c>
      <c r="N337" s="19" t="s">
        <v>336</v>
      </c>
      <c r="O337" s="226" t="s">
        <v>427</v>
      </c>
    </row>
    <row r="338" spans="1:19" s="156" customFormat="1" ht="18" customHeight="1">
      <c r="A338" s="168" t="s">
        <v>456</v>
      </c>
      <c r="B338" s="172">
        <f>+GETPIVOTDATA(" Old Prof avg",'Averages Pivot Table'!$A$3,"Category",7,"Category2","Two-Year")</f>
        <v>64399.885801052638</v>
      </c>
      <c r="C338" s="172"/>
      <c r="D338" s="172">
        <f>+GETPIVOTDATA(" Old Asc. avg",'Averages Pivot Table'!$A$3,"Category",7,"Category2","Two-Year")</f>
        <v>52622.779724752472</v>
      </c>
      <c r="E338" s="172"/>
      <c r="F338" s="172">
        <f>+GETPIVOTDATA(" Old Ast. avg",'Averages Pivot Table'!$A$3,"Category",7,"Category2","Two-Year")</f>
        <v>45570.456160747664</v>
      </c>
      <c r="G338" s="172"/>
      <c r="H338" s="172">
        <f>+GETPIVOTDATA(" Old Inst. avg",'Averages Pivot Table'!$A$3,"Category",7,"Category2","Two-Year")</f>
        <v>48075.226877602523</v>
      </c>
      <c r="I338" s="229"/>
      <c r="J338" s="172">
        <f>+GETPIVOTDATA(" Old Undesg. avg",'Averages Pivot Table'!$A$3,"Category",7,"Category2","Two-Year")</f>
        <v>39352.147199999999</v>
      </c>
      <c r="K338" s="172"/>
      <c r="L338" s="172">
        <f>+GETPIVOTDATA(" Old Single Rnk avg",'Averages Pivot Table'!$A$3,"Category",7,"Category2","Two-Year")</f>
        <v>57236.452393288586</v>
      </c>
      <c r="M338" s="229"/>
      <c r="N338" s="172">
        <f>+GETPIVOTDATA(" Old All Ranks avg",'Averages Pivot Table'!$A$3,"Category",7,"Category2","Two-Year")</f>
        <v>54175.924906059598</v>
      </c>
      <c r="O338" s="216"/>
      <c r="Q338" s="193"/>
      <c r="R338" s="193"/>
      <c r="S338" s="193"/>
    </row>
    <row r="339" spans="1:19" ht="12.95" customHeight="1">
      <c r="A339" s="12"/>
      <c r="B339" s="9"/>
      <c r="C339" s="17"/>
      <c r="D339" s="9"/>
      <c r="E339" s="17"/>
      <c r="F339" s="9"/>
      <c r="G339" s="17"/>
      <c r="H339" s="9"/>
      <c r="I339" s="233"/>
      <c r="J339" s="9"/>
      <c r="K339" s="17"/>
      <c r="L339" s="9"/>
      <c r="M339" s="233"/>
      <c r="N339" s="9"/>
      <c r="O339" s="217"/>
    </row>
    <row r="340" spans="1:19" ht="12.95" customHeight="1">
      <c r="A340" s="12" t="s">
        <v>439</v>
      </c>
      <c r="B340" s="62">
        <f>+GETPIVOTDATA(" Old Prof avg",'Averages Pivot Table'!$A$3,"State","AL","Category",7,"Category2","Two-Year")</f>
        <v>0</v>
      </c>
      <c r="C340" s="130">
        <f>IF(B340&gt;0,(RANK(B340,B$340:B$358)),0)</f>
        <v>0</v>
      </c>
      <c r="D340" s="62">
        <f>+GETPIVOTDATA(" Old Asc. avg",'Averages Pivot Table'!$A$3,"State","AL","Category",7,"Category2","Two-Year")</f>
        <v>0</v>
      </c>
      <c r="E340" s="130">
        <f>IF(D340&gt;0,(RANK(D340,D$340:D$358)),0)</f>
        <v>0</v>
      </c>
      <c r="F340" s="62">
        <f>+GETPIVOTDATA(" Old Ast. avg",'Averages Pivot Table'!$A$3,"State","AL","Category",7,"Category2","Two-Year")</f>
        <v>0</v>
      </c>
      <c r="G340" s="130">
        <f t="shared" ref="G340:G358" si="53">IF(F340&gt;0,(RANK(F340,F$340:F$358)),0)</f>
        <v>0</v>
      </c>
      <c r="H340" s="62">
        <f>+GETPIVOTDATA(" Old Inst. avg",'Averages Pivot Table'!$A$3,"State","AL","Category",7,"Category2","Two-Year")</f>
        <v>0</v>
      </c>
      <c r="I340" s="201">
        <f t="shared" ref="I340:I358" si="54">IF(H340&gt;0,(RANK(H340,H$340:H$358)),0)</f>
        <v>0</v>
      </c>
      <c r="J340" s="62">
        <f>+GETPIVOTDATA(" Old Undesg. avg",'Averages Pivot Table'!$A$3,"State","AL","Category",7,"Category2","Two-Year")</f>
        <v>0</v>
      </c>
      <c r="K340" s="130">
        <f t="shared" ref="K340:K358" si="55">IF(J340&gt;0,(RANK(J340,J$340:J$358)),0)</f>
        <v>0</v>
      </c>
      <c r="L340" s="62">
        <f>+GETPIVOTDATA(" Old Single Rnk avg",'Averages Pivot Table'!$A$3,"State","AL","Category",7,"Category2","Two-Year")</f>
        <v>0</v>
      </c>
      <c r="M340" s="201">
        <f t="shared" ref="M340:M358" si="56">IF(L340&gt;0,(RANK(L340,L$340:L$358)),0)</f>
        <v>0</v>
      </c>
      <c r="N340" s="62">
        <f>+GETPIVOTDATA(" Old All Ranks avg",'Averages Pivot Table'!$A$3,"State","AL","Category",7,"Category2","Two-Year")</f>
        <v>0</v>
      </c>
      <c r="O340" s="201">
        <f t="shared" ref="O340:O358" si="57">IF(N340&gt;0,(RANK(N340,N$340:N$358)),0)</f>
        <v>0</v>
      </c>
    </row>
    <row r="341" spans="1:19" ht="12.95" customHeight="1">
      <c r="A341" s="12" t="s">
        <v>440</v>
      </c>
      <c r="B341" s="62">
        <f>+GETPIVOTDATA(" Old Prof avg",'Averages Pivot Table'!$A$3,"State","AR","Category",7,"Category2","Two-Year")</f>
        <v>0</v>
      </c>
      <c r="C341" s="130">
        <f t="shared" ref="C341:E358" si="58">IF(B341&gt;0,(RANK(B341,B$340:B$358)),0)</f>
        <v>0</v>
      </c>
      <c r="D341" s="62">
        <f>+GETPIVOTDATA(" Old Asc. avg",'Averages Pivot Table'!$A$3,"State","AR","Category",7,"Category2","Two-Year")</f>
        <v>0</v>
      </c>
      <c r="E341" s="130">
        <f t="shared" si="58"/>
        <v>0</v>
      </c>
      <c r="F341" s="62">
        <f>+GETPIVOTDATA(" Old Ast. avg",'Averages Pivot Table'!$A$3,"State","AR","Category",7,"Category2","Two-Year")</f>
        <v>0</v>
      </c>
      <c r="G341" s="130">
        <f t="shared" si="53"/>
        <v>0</v>
      </c>
      <c r="H341" s="62">
        <f>+GETPIVOTDATA(" Old Inst. avg",'Averages Pivot Table'!$A$3,"State","AR","Category",7,"Category2","Two-Year")</f>
        <v>0</v>
      </c>
      <c r="I341" s="201">
        <f t="shared" si="54"/>
        <v>0</v>
      </c>
      <c r="J341" s="62">
        <f>+GETPIVOTDATA(" Old Undesg. avg",'Averages Pivot Table'!$A$3,"State","AR","Category",7,"Category2","Two-Year")</f>
        <v>0</v>
      </c>
      <c r="K341" s="130">
        <f t="shared" si="55"/>
        <v>0</v>
      </c>
      <c r="L341" s="62">
        <f>+GETPIVOTDATA(" Old Single Rnk avg",'Averages Pivot Table'!$A$3,"State","AR","Category",7,"Category2","Two-Year")</f>
        <v>0</v>
      </c>
      <c r="M341" s="201">
        <f t="shared" si="56"/>
        <v>0</v>
      </c>
      <c r="N341" s="62">
        <f>+GETPIVOTDATA(" Old All Ranks avg",'Averages Pivot Table'!$A$3,"State","AR","Category",7,"Category2","Two-Year")</f>
        <v>0</v>
      </c>
      <c r="O341" s="201">
        <f t="shared" si="57"/>
        <v>0</v>
      </c>
    </row>
    <row r="342" spans="1:19" ht="12.95" customHeight="1">
      <c r="A342" s="12" t="s">
        <v>455</v>
      </c>
      <c r="B342" s="62">
        <f>+GETPIVOTDATA(" Old Prof avg",'Averages Pivot Table'!$A$3,"State","DE","Category",7,"Category2","Two-Year")</f>
        <v>0</v>
      </c>
      <c r="C342" s="130">
        <f t="shared" si="58"/>
        <v>0</v>
      </c>
      <c r="D342" s="62">
        <f>+GETPIVOTDATA(" Old Asc. avg",'Averages Pivot Table'!$A$3,"State","DE","Category",7,"Category2","Two-Year")</f>
        <v>0</v>
      </c>
      <c r="E342" s="130">
        <f t="shared" si="58"/>
        <v>0</v>
      </c>
      <c r="F342" s="62">
        <f>+GETPIVOTDATA(" Old Ast. avg",'Averages Pivot Table'!$A$3,"State","DE","Category",7,"Category2","Two-Year")</f>
        <v>0</v>
      </c>
      <c r="G342" s="130">
        <f t="shared" si="53"/>
        <v>0</v>
      </c>
      <c r="H342" s="62">
        <f>+GETPIVOTDATA(" Old Inst. avg",'Averages Pivot Table'!$A$3,"State","DE","Category",7,"Category2","Two-Year")</f>
        <v>0</v>
      </c>
      <c r="I342" s="201">
        <f t="shared" si="54"/>
        <v>0</v>
      </c>
      <c r="J342" s="62">
        <f>+GETPIVOTDATA(" Old Undesg. avg",'Averages Pivot Table'!$A$3,"State","DE","Category",7,"Category2","Two-Year")</f>
        <v>0</v>
      </c>
      <c r="K342" s="130">
        <f t="shared" si="55"/>
        <v>0</v>
      </c>
      <c r="L342" s="62">
        <f>+GETPIVOTDATA(" Old Single Rnk avg",'Averages Pivot Table'!$A$3,"State","DE","Category",7,"Category2","Two-Year")</f>
        <v>0</v>
      </c>
      <c r="M342" s="201">
        <f t="shared" si="56"/>
        <v>0</v>
      </c>
      <c r="N342" s="62">
        <f>+GETPIVOTDATA(" Old All Ranks avg",'Averages Pivot Table'!$A$3,"State","DE","Category",7,"Category2","Two-Year")</f>
        <v>0</v>
      </c>
      <c r="O342" s="201">
        <f t="shared" si="57"/>
        <v>0</v>
      </c>
    </row>
    <row r="343" spans="1:19" ht="12.95" customHeight="1">
      <c r="A343" s="12" t="s">
        <v>441</v>
      </c>
      <c r="B343" s="62">
        <f>+GETPIVOTDATA(" Old Prof avg",'Averages Pivot Table'!$A$3,"State","FL","Category",7,"Category2","Two-Year")</f>
        <v>0</v>
      </c>
      <c r="C343" s="130">
        <f t="shared" si="58"/>
        <v>0</v>
      </c>
      <c r="D343" s="62">
        <f>+GETPIVOTDATA(" Old Asc. avg",'Averages Pivot Table'!$A$3,"State","FL","Category",7,"Category2","Two-Year")</f>
        <v>0</v>
      </c>
      <c r="E343" s="130">
        <f t="shared" si="58"/>
        <v>0</v>
      </c>
      <c r="F343" s="62">
        <f>+GETPIVOTDATA(" Old Ast. avg",'Averages Pivot Table'!$A$3,"State","FL","Category",7,"Category2","Two-Year")</f>
        <v>0</v>
      </c>
      <c r="G343" s="130">
        <f t="shared" si="53"/>
        <v>0</v>
      </c>
      <c r="H343" s="62">
        <f>+GETPIVOTDATA(" Old Inst. avg",'Averages Pivot Table'!$A$3,"State","FL","Category",7,"Category2","Two-Year")</f>
        <v>0</v>
      </c>
      <c r="I343" s="201">
        <f t="shared" si="54"/>
        <v>0</v>
      </c>
      <c r="J343" s="62">
        <f>+GETPIVOTDATA(" Old Undesg. avg",'Averages Pivot Table'!$A$3,"State","FL","Category",7,"Category2","Two-Year")</f>
        <v>0</v>
      </c>
      <c r="K343" s="130">
        <f t="shared" si="55"/>
        <v>0</v>
      </c>
      <c r="L343" s="62">
        <f>+GETPIVOTDATA(" Old Single Rnk avg",'Averages Pivot Table'!$A$3,"State","FL","Category",7,"Category2","Two-Year")</f>
        <v>57610.60145888594</v>
      </c>
      <c r="M343" s="201">
        <f t="shared" si="56"/>
        <v>1</v>
      </c>
      <c r="N343" s="62">
        <f>+GETPIVOTDATA(" Old All Ranks avg",'Averages Pivot Table'!$A$3,"State","FL","Category",7,"Category2","Two-Year")</f>
        <v>57610.60145888594</v>
      </c>
      <c r="O343" s="201">
        <f t="shared" si="57"/>
        <v>1</v>
      </c>
    </row>
    <row r="344" spans="1:19" ht="12.95" customHeight="1">
      <c r="A344" s="12"/>
      <c r="B344" s="62"/>
      <c r="C344" s="130">
        <f t="shared" si="58"/>
        <v>0</v>
      </c>
      <c r="D344" s="62"/>
      <c r="E344" s="130">
        <f t="shared" si="58"/>
        <v>0</v>
      </c>
      <c r="F344" s="62"/>
      <c r="G344" s="130">
        <f t="shared" si="53"/>
        <v>0</v>
      </c>
      <c r="H344" s="62"/>
      <c r="I344" s="201">
        <f t="shared" si="54"/>
        <v>0</v>
      </c>
      <c r="J344" s="62"/>
      <c r="K344" s="130">
        <f t="shared" si="55"/>
        <v>0</v>
      </c>
      <c r="L344" s="62"/>
      <c r="M344" s="201">
        <f t="shared" si="56"/>
        <v>0</v>
      </c>
      <c r="N344" s="62"/>
      <c r="O344" s="201">
        <f t="shared" si="57"/>
        <v>0</v>
      </c>
    </row>
    <row r="345" spans="1:19" ht="12.95" customHeight="1">
      <c r="A345" s="12" t="s">
        <v>442</v>
      </c>
      <c r="B345" s="62">
        <f>+GETPIVOTDATA(" Old Prof avg",'Averages Pivot Table'!$A$3,"State","GA","Category",7,"Category2","Two-Year")</f>
        <v>67348.422451999999</v>
      </c>
      <c r="C345" s="130">
        <f t="shared" si="58"/>
        <v>2</v>
      </c>
      <c r="D345" s="62">
        <f>+GETPIVOTDATA(" Old Asc. avg",'Averages Pivot Table'!$A$3,"State","GA","Category",7,"Category2","Two-Year")</f>
        <v>52856.335842222223</v>
      </c>
      <c r="E345" s="130">
        <f t="shared" si="58"/>
        <v>3</v>
      </c>
      <c r="F345" s="62">
        <f>+GETPIVOTDATA(" Old Ast. avg",'Averages Pivot Table'!$A$3,"State","GA","Category",7,"Category2","Two-Year")</f>
        <v>43344.060921052631</v>
      </c>
      <c r="G345" s="130">
        <f t="shared" si="53"/>
        <v>4</v>
      </c>
      <c r="H345" s="62">
        <f>+GETPIVOTDATA(" Old Inst. avg",'Averages Pivot Table'!$A$3,"State","GA","Category",7,"Category2","Two-Year")</f>
        <v>39929.565217391304</v>
      </c>
      <c r="I345" s="201">
        <f t="shared" si="54"/>
        <v>3</v>
      </c>
      <c r="J345" s="62">
        <f>+GETPIVOTDATA(" Old Undesg. avg",'Averages Pivot Table'!$A$3,"State","GA","Category",7,"Category2","Two-Year")</f>
        <v>0</v>
      </c>
      <c r="K345" s="130">
        <f t="shared" si="55"/>
        <v>0</v>
      </c>
      <c r="L345" s="62">
        <f>+GETPIVOTDATA(" Old Single Rnk avg",'Averages Pivot Table'!$A$3,"State","GA","Category",7,"Category2","Two-Year")</f>
        <v>0</v>
      </c>
      <c r="M345" s="201">
        <f t="shared" si="56"/>
        <v>0</v>
      </c>
      <c r="N345" s="62">
        <f>+GETPIVOTDATA(" Old All Ranks avg",'Averages Pivot Table'!$A$3,"State","GA","Category",7,"Category2","Two-Year")</f>
        <v>48963.16156331361</v>
      </c>
      <c r="O345" s="201">
        <f t="shared" si="57"/>
        <v>5</v>
      </c>
    </row>
    <row r="346" spans="1:19" ht="12.95" customHeight="1">
      <c r="A346" s="12" t="s">
        <v>443</v>
      </c>
      <c r="B346" s="62">
        <f>+GETPIVOTDATA(" Old Prof avg",'Averages Pivot Table'!$A$3,"State","KY","Category",7,"Category2","Two-Year")</f>
        <v>0</v>
      </c>
      <c r="C346" s="130">
        <f t="shared" si="58"/>
        <v>0</v>
      </c>
      <c r="D346" s="62">
        <f>+GETPIVOTDATA(" Old Asc. avg",'Averages Pivot Table'!$A$3,"State","KY","Category",7,"Category2","Two-Year")</f>
        <v>0</v>
      </c>
      <c r="E346" s="130">
        <f t="shared" si="58"/>
        <v>0</v>
      </c>
      <c r="F346" s="62">
        <f>+GETPIVOTDATA(" Old Ast. avg",'Averages Pivot Table'!$A$3,"State","KY","Category",7,"Category2","Two-Year")</f>
        <v>0</v>
      </c>
      <c r="G346" s="130">
        <f t="shared" si="53"/>
        <v>0</v>
      </c>
      <c r="H346" s="62">
        <f>+GETPIVOTDATA(" Old Inst. avg",'Averages Pivot Table'!$A$3,"State","KY","Category",7,"Category2","Two-Year")</f>
        <v>0</v>
      </c>
      <c r="I346" s="201">
        <f t="shared" si="54"/>
        <v>0</v>
      </c>
      <c r="J346" s="62">
        <f>+GETPIVOTDATA(" Old Undesg. avg",'Averages Pivot Table'!$A$3,"State","KY","Category",7,"Category2","Two-Year")</f>
        <v>0</v>
      </c>
      <c r="K346" s="130">
        <f t="shared" si="55"/>
        <v>0</v>
      </c>
      <c r="L346" s="62">
        <f>+GETPIVOTDATA(" Old Single Rnk avg",'Averages Pivot Table'!$A$3,"State","KY","Category",7,"Category2","Two-Year")</f>
        <v>0</v>
      </c>
      <c r="M346" s="201">
        <f t="shared" si="56"/>
        <v>0</v>
      </c>
      <c r="N346" s="62">
        <f>+GETPIVOTDATA(" Old All Ranks avg",'Averages Pivot Table'!$A$3,"State","KY","Category",7,"Category2","Two-Year")</f>
        <v>0</v>
      </c>
      <c r="O346" s="201">
        <f t="shared" si="57"/>
        <v>0</v>
      </c>
    </row>
    <row r="347" spans="1:19" ht="12.95" customHeight="1">
      <c r="A347" s="12" t="s">
        <v>444</v>
      </c>
      <c r="B347" s="62">
        <f>+GETPIVOTDATA(" Old Prof avg",'Averages Pivot Table'!$A$3,"State","LA","Category",7,"Category2","Two-Year")</f>
        <v>61863.030316666671</v>
      </c>
      <c r="C347" s="130">
        <f t="shared" si="58"/>
        <v>4</v>
      </c>
      <c r="D347" s="62">
        <f>+GETPIVOTDATA(" Old Asc. avg",'Averages Pivot Table'!$A$3,"State","LA","Category",7,"Category2","Two-Year")</f>
        <v>47543.925766666674</v>
      </c>
      <c r="E347" s="130">
        <f t="shared" si="58"/>
        <v>5</v>
      </c>
      <c r="F347" s="62">
        <f>+GETPIVOTDATA(" Old Ast. avg",'Averages Pivot Table'!$A$3,"State","LA","Category",7,"Category2","Two-Year")</f>
        <v>45177.735990697678</v>
      </c>
      <c r="G347" s="130">
        <f t="shared" si="53"/>
        <v>3</v>
      </c>
      <c r="H347" s="62">
        <f>+GETPIVOTDATA(" Old Inst. avg",'Averages Pivot Table'!$A$3,"State","LA","Category",7,"Category2","Two-Year")</f>
        <v>38807</v>
      </c>
      <c r="I347" s="201">
        <f t="shared" si="54"/>
        <v>4</v>
      </c>
      <c r="J347" s="62">
        <f>+GETPIVOTDATA(" Old Undesg. avg",'Averages Pivot Table'!$A$3,"State","LA","Category",7,"Category2","Two-Year")</f>
        <v>0</v>
      </c>
      <c r="K347" s="130">
        <f t="shared" si="55"/>
        <v>0</v>
      </c>
      <c r="L347" s="62">
        <f>+GETPIVOTDATA(" Old Single Rnk avg",'Averages Pivot Table'!$A$3,"State","LA","Category",7,"Category2","Two-Year")</f>
        <v>0</v>
      </c>
      <c r="M347" s="201">
        <f t="shared" si="56"/>
        <v>0</v>
      </c>
      <c r="N347" s="62">
        <f>+GETPIVOTDATA(" Old All Ranks avg",'Averages Pivot Table'!$A$3,"State","LA","Category",7,"Category2","Two-Year")</f>
        <v>48408.598088888888</v>
      </c>
      <c r="O347" s="201">
        <f t="shared" si="57"/>
        <v>6</v>
      </c>
    </row>
    <row r="348" spans="1:19" ht="12.95" customHeight="1">
      <c r="A348" s="12" t="s">
        <v>445</v>
      </c>
      <c r="B348" s="62">
        <f>+GETPIVOTDATA(" Old Prof avg",'Averages Pivot Table'!$A$3,"State","MD","Category",7,"Category2","Two-Year")</f>
        <v>0</v>
      </c>
      <c r="C348" s="130">
        <f t="shared" si="58"/>
        <v>0</v>
      </c>
      <c r="D348" s="62">
        <f>+GETPIVOTDATA(" Old Asc. avg",'Averages Pivot Table'!$A$3,"State","MD","Category",7,"Category2","Two-Year")</f>
        <v>0</v>
      </c>
      <c r="E348" s="130">
        <f t="shared" si="58"/>
        <v>0</v>
      </c>
      <c r="F348" s="62">
        <f>+GETPIVOTDATA(" Old Ast. avg",'Averages Pivot Table'!$A$3,"State","MD","Category",7,"Category2","Two-Year")</f>
        <v>0</v>
      </c>
      <c r="G348" s="130">
        <f t="shared" si="53"/>
        <v>0</v>
      </c>
      <c r="H348" s="62">
        <f>+GETPIVOTDATA(" Old Inst. avg",'Averages Pivot Table'!$A$3,"State","MD","Category",7,"Category2","Two-Year")</f>
        <v>0</v>
      </c>
      <c r="I348" s="201">
        <f t="shared" si="54"/>
        <v>0</v>
      </c>
      <c r="J348" s="62">
        <f>+GETPIVOTDATA(" Old Undesg. avg",'Averages Pivot Table'!$A$3,"State","MD","Category",7,"Category2","Two-Year")</f>
        <v>0</v>
      </c>
      <c r="K348" s="130">
        <f t="shared" si="55"/>
        <v>0</v>
      </c>
      <c r="L348" s="62">
        <f>+GETPIVOTDATA(" Old Single Rnk avg",'Averages Pivot Table'!$A$3,"State","MD","Category",7,"Category2","Two-Year")</f>
        <v>0</v>
      </c>
      <c r="M348" s="201">
        <f t="shared" si="56"/>
        <v>0</v>
      </c>
      <c r="N348" s="62">
        <f>+GETPIVOTDATA(" Old All Ranks avg",'Averages Pivot Table'!$A$3,"State","MD","Category",7,"Category2","Two-Year")</f>
        <v>0</v>
      </c>
      <c r="O348" s="201">
        <f t="shared" si="57"/>
        <v>0</v>
      </c>
    </row>
    <row r="349" spans="1:19" ht="12.95" customHeight="1">
      <c r="A349" s="12"/>
      <c r="B349" s="62"/>
      <c r="C349" s="130">
        <f t="shared" si="58"/>
        <v>0</v>
      </c>
      <c r="D349" s="62"/>
      <c r="E349" s="130">
        <f t="shared" si="58"/>
        <v>0</v>
      </c>
      <c r="F349" s="62"/>
      <c r="G349" s="130">
        <f t="shared" si="53"/>
        <v>0</v>
      </c>
      <c r="H349" s="62"/>
      <c r="I349" s="201">
        <f t="shared" si="54"/>
        <v>0</v>
      </c>
      <c r="J349" s="62"/>
      <c r="K349" s="130">
        <f t="shared" si="55"/>
        <v>0</v>
      </c>
      <c r="L349" s="62"/>
      <c r="M349" s="201">
        <f t="shared" si="56"/>
        <v>0</v>
      </c>
      <c r="N349" s="62"/>
      <c r="O349" s="201">
        <f t="shared" si="57"/>
        <v>0</v>
      </c>
    </row>
    <row r="350" spans="1:19" ht="12.95" customHeight="1">
      <c r="A350" s="12" t="s">
        <v>446</v>
      </c>
      <c r="B350" s="62">
        <f>+GETPIVOTDATA(" Old Prof avg",'Averages Pivot Table'!$A$3,"State","MS","Category",7,"Category2","Two-Year")</f>
        <v>0</v>
      </c>
      <c r="C350" s="130">
        <f t="shared" si="58"/>
        <v>0</v>
      </c>
      <c r="D350" s="62">
        <f>+GETPIVOTDATA(" Old Asc. avg",'Averages Pivot Table'!$A$3,"State","MS","Category",7,"Category2","Two-Year")</f>
        <v>0</v>
      </c>
      <c r="E350" s="130">
        <f t="shared" si="58"/>
        <v>0</v>
      </c>
      <c r="F350" s="62">
        <f>+GETPIVOTDATA(" Old Ast. avg",'Averages Pivot Table'!$A$3,"State","MS","Category",7,"Category2","Two-Year")</f>
        <v>0</v>
      </c>
      <c r="G350" s="130">
        <f t="shared" si="53"/>
        <v>0</v>
      </c>
      <c r="H350" s="62">
        <f>+GETPIVOTDATA(" Old Inst. avg",'Averages Pivot Table'!$A$3,"State","MS","Category",7,"Category2","Two-Year")</f>
        <v>0</v>
      </c>
      <c r="I350" s="201">
        <f t="shared" si="54"/>
        <v>0</v>
      </c>
      <c r="J350" s="62">
        <f>+GETPIVOTDATA(" Old Undesg. avg",'Averages Pivot Table'!$A$3,"State","MS","Category",7,"Category2","Two-Year")</f>
        <v>0</v>
      </c>
      <c r="K350" s="130">
        <f t="shared" si="55"/>
        <v>0</v>
      </c>
      <c r="L350" s="62">
        <f>+GETPIVOTDATA(" Old Single Rnk avg",'Averages Pivot Table'!$A$3,"State","MS","Category",7,"Category2","Two-Year")</f>
        <v>0</v>
      </c>
      <c r="M350" s="201">
        <f t="shared" si="56"/>
        <v>0</v>
      </c>
      <c r="N350" s="62">
        <f>+GETPIVOTDATA(" Old All Ranks avg",'Averages Pivot Table'!$A$3,"State","MS","Category",7,"Category2","Two-Year")</f>
        <v>0</v>
      </c>
      <c r="O350" s="201">
        <f t="shared" si="57"/>
        <v>0</v>
      </c>
    </row>
    <row r="351" spans="1:19" ht="12.95" customHeight="1">
      <c r="A351" s="12" t="s">
        <v>447</v>
      </c>
      <c r="B351" s="62">
        <f>+GETPIVOTDATA(" Old Prof avg",'Averages Pivot Table'!$A$3,"State","NC","Category",7,"Category2","Two-Year")</f>
        <v>0</v>
      </c>
      <c r="C351" s="130">
        <f t="shared" si="58"/>
        <v>0</v>
      </c>
      <c r="D351" s="62">
        <f>+GETPIVOTDATA(" Old Asc. avg",'Averages Pivot Table'!$A$3,"State","NC","Category",7,"Category2","Two-Year")</f>
        <v>0</v>
      </c>
      <c r="E351" s="130">
        <f t="shared" si="58"/>
        <v>0</v>
      </c>
      <c r="F351" s="62">
        <f>+GETPIVOTDATA(" Old Ast. avg",'Averages Pivot Table'!$A$3,"State","NC","Category",7,"Category2","Two-Year")</f>
        <v>0</v>
      </c>
      <c r="G351" s="130">
        <f t="shared" si="53"/>
        <v>0</v>
      </c>
      <c r="H351" s="62">
        <f>+GETPIVOTDATA(" Old Inst. avg",'Averages Pivot Table'!$A$3,"State","NC","Category",7,"Category2","Two-Year")</f>
        <v>0</v>
      </c>
      <c r="I351" s="201">
        <f t="shared" si="54"/>
        <v>0</v>
      </c>
      <c r="J351" s="62">
        <f>+GETPIVOTDATA(" Old Undesg. avg",'Averages Pivot Table'!$A$3,"State","NC","Category",7,"Category2","Two-Year")</f>
        <v>0</v>
      </c>
      <c r="K351" s="130">
        <f t="shared" si="55"/>
        <v>0</v>
      </c>
      <c r="L351" s="62">
        <f>+GETPIVOTDATA(" Old Single Rnk avg",'Averages Pivot Table'!$A$3,"State","NC","Category",7,"Category2","Two-Year")</f>
        <v>0</v>
      </c>
      <c r="M351" s="201">
        <f t="shared" si="56"/>
        <v>0</v>
      </c>
      <c r="N351" s="62">
        <f>+GETPIVOTDATA(" Old All Ranks avg",'Averages Pivot Table'!$A$3,"State","NC","Category",7,"Category2","Two-Year")</f>
        <v>0</v>
      </c>
      <c r="O351" s="201">
        <f t="shared" si="57"/>
        <v>0</v>
      </c>
    </row>
    <row r="352" spans="1:19" ht="12.95" customHeight="1">
      <c r="A352" s="12" t="s">
        <v>448</v>
      </c>
      <c r="B352" s="62">
        <f>+GETPIVOTDATA(" Old Prof avg",'Averages Pivot Table'!$A$3,"State","OK","Category",7,"Category2","Two-Year")</f>
        <v>0</v>
      </c>
      <c r="C352" s="130">
        <f t="shared" si="58"/>
        <v>0</v>
      </c>
      <c r="D352" s="62">
        <f>+GETPIVOTDATA(" Old Asc. avg",'Averages Pivot Table'!$A$3,"State","OK","Category",7,"Category2","Two-Year")</f>
        <v>0</v>
      </c>
      <c r="E352" s="130">
        <f t="shared" si="58"/>
        <v>0</v>
      </c>
      <c r="F352" s="62">
        <f>+GETPIVOTDATA(" Old Ast. avg",'Averages Pivot Table'!$A$3,"State","OK","Category",7,"Category2","Two-Year")</f>
        <v>0</v>
      </c>
      <c r="G352" s="130">
        <f t="shared" si="53"/>
        <v>0</v>
      </c>
      <c r="H352" s="62">
        <f>+GETPIVOTDATA(" Old Inst. avg",'Averages Pivot Table'!$A$3,"State","OK","Category",7,"Category2","Two-Year")</f>
        <v>0</v>
      </c>
      <c r="I352" s="201">
        <f t="shared" si="54"/>
        <v>0</v>
      </c>
      <c r="J352" s="62">
        <f>+GETPIVOTDATA(" Old Undesg. avg",'Averages Pivot Table'!$A$3,"State","OK","Category",7,"Category2","Two-Year")</f>
        <v>0</v>
      </c>
      <c r="K352" s="130">
        <f t="shared" si="55"/>
        <v>0</v>
      </c>
      <c r="L352" s="62">
        <f>+GETPIVOTDATA(" Old Single Rnk avg",'Averages Pivot Table'!$A$3,"State","OK","Category",7,"Category2","Two-Year")</f>
        <v>53446</v>
      </c>
      <c r="M352" s="201">
        <f t="shared" si="56"/>
        <v>2</v>
      </c>
      <c r="N352" s="62">
        <f>+GETPIVOTDATA(" Old All Ranks avg",'Averages Pivot Table'!$A$3,"State","OK","Category",7,"Category2","Two-Year")</f>
        <v>53446</v>
      </c>
      <c r="O352" s="201">
        <f t="shared" si="57"/>
        <v>3</v>
      </c>
    </row>
    <row r="353" spans="1:19" ht="12.95" customHeight="1">
      <c r="A353" s="12" t="s">
        <v>449</v>
      </c>
      <c r="B353" s="62">
        <f>+GETPIVOTDATA(" Old Prof avg",'Averages Pivot Table'!$A$3,"State","SC","Category",7,"Category2","Two-Year")</f>
        <v>69420.654763636368</v>
      </c>
      <c r="C353" s="130">
        <f t="shared" si="58"/>
        <v>1</v>
      </c>
      <c r="D353" s="62">
        <f>+GETPIVOTDATA(" Old Asc. avg",'Averages Pivot Table'!$A$3,"State","SC","Category",7,"Category2","Two-Year")</f>
        <v>59472.859000000004</v>
      </c>
      <c r="E353" s="130">
        <f t="shared" si="58"/>
        <v>1</v>
      </c>
      <c r="F353" s="62">
        <f>+GETPIVOTDATA(" Old Ast. avg",'Averages Pivot Table'!$A$3,"State","SC","Category",7,"Category2","Two-Year")</f>
        <v>52354.470588235294</v>
      </c>
      <c r="G353" s="130">
        <f t="shared" si="53"/>
        <v>1</v>
      </c>
      <c r="H353" s="62">
        <f>+GETPIVOTDATA(" Old Inst. avg",'Averages Pivot Table'!$A$3,"State","SC","Category",7,"Category2","Two-Year")</f>
        <v>44860.990771428573</v>
      </c>
      <c r="I353" s="201">
        <f t="shared" si="54"/>
        <v>2</v>
      </c>
      <c r="J353" s="62">
        <f>+GETPIVOTDATA(" Old Undesg. avg",'Averages Pivot Table'!$A$3,"State","SC","Category",7,"Category2","Two-Year")</f>
        <v>0</v>
      </c>
      <c r="K353" s="130">
        <f t="shared" si="55"/>
        <v>0</v>
      </c>
      <c r="L353" s="62">
        <f>+GETPIVOTDATA(" Old Single Rnk avg",'Averages Pivot Table'!$A$3,"State","SC","Category",7,"Category2","Two-Year")</f>
        <v>0</v>
      </c>
      <c r="M353" s="201">
        <f t="shared" si="56"/>
        <v>0</v>
      </c>
      <c r="N353" s="62">
        <f>+GETPIVOTDATA(" Old All Ranks avg",'Averages Pivot Table'!$A$3,"State","SC","Category",7,"Category2","Two-Year")</f>
        <v>55680.701021052635</v>
      </c>
      <c r="O353" s="201">
        <f t="shared" si="57"/>
        <v>2</v>
      </c>
    </row>
    <row r="354" spans="1:19" ht="12.95" customHeight="1">
      <c r="A354" s="12"/>
      <c r="B354" s="62"/>
      <c r="C354" s="130">
        <f t="shared" si="58"/>
        <v>0</v>
      </c>
      <c r="D354" s="62"/>
      <c r="E354" s="130">
        <f t="shared" si="58"/>
        <v>0</v>
      </c>
      <c r="F354" s="62"/>
      <c r="G354" s="130">
        <f t="shared" si="53"/>
        <v>0</v>
      </c>
      <c r="H354" s="62"/>
      <c r="I354" s="201">
        <f t="shared" si="54"/>
        <v>0</v>
      </c>
      <c r="J354" s="62"/>
      <c r="K354" s="130">
        <f t="shared" si="55"/>
        <v>0</v>
      </c>
      <c r="L354" s="62"/>
      <c r="M354" s="201">
        <f t="shared" si="56"/>
        <v>0</v>
      </c>
      <c r="N354" s="62"/>
      <c r="O354" s="201">
        <f t="shared" si="57"/>
        <v>0</v>
      </c>
    </row>
    <row r="355" spans="1:19" ht="12.95" customHeight="1">
      <c r="A355" s="12" t="s">
        <v>450</v>
      </c>
      <c r="B355" s="129">
        <f>+GETPIVOTDATA(" Old Prof avg",'Averages Pivot Table'!$A$3,"State","TN","Category",7,"Category2","Two-Year")</f>
        <v>0</v>
      </c>
      <c r="C355" s="130">
        <f t="shared" si="58"/>
        <v>0</v>
      </c>
      <c r="D355" s="129">
        <f>+GETPIVOTDATA(" Old Asc. avg",'Averages Pivot Table'!$A$3,"State","TN","Category",7,"Category2","Two-Year")</f>
        <v>0</v>
      </c>
      <c r="E355" s="130">
        <f t="shared" si="58"/>
        <v>0</v>
      </c>
      <c r="F355" s="129">
        <f>+GETPIVOTDATA(" Old Ast. avg",'Averages Pivot Table'!$A$3,"State","TN","Category",7,"Category2","Two-Year")</f>
        <v>0</v>
      </c>
      <c r="G355" s="130">
        <f t="shared" si="53"/>
        <v>0</v>
      </c>
      <c r="H355" s="129">
        <f>+GETPIVOTDATA(" Old Inst. avg",'Averages Pivot Table'!$A$3,"State","TN","Category",7,"Category2","Two-Year")</f>
        <v>0</v>
      </c>
      <c r="I355" s="201">
        <f t="shared" si="54"/>
        <v>0</v>
      </c>
      <c r="J355" s="129">
        <f>+GETPIVOTDATA(" Old Undesg. avg",'Averages Pivot Table'!$A$3,"State","TN","Category",7,"Category2","Two-Year")</f>
        <v>0</v>
      </c>
      <c r="K355" s="130">
        <f t="shared" si="55"/>
        <v>0</v>
      </c>
      <c r="L355" s="129">
        <f>+GETPIVOTDATA(" Old Single Rnk avg",'Averages Pivot Table'!$A$3,"State","TN","Category",7,"Category2","Two-Year")</f>
        <v>0</v>
      </c>
      <c r="M355" s="201">
        <f t="shared" si="56"/>
        <v>0</v>
      </c>
      <c r="N355" s="62">
        <f>+GETPIVOTDATA(" Old All Ranks avg",'Averages Pivot Table'!$A$3,"State","TN","Category",7,"Category2","Two-Year")</f>
        <v>0</v>
      </c>
      <c r="O355" s="201">
        <f t="shared" si="57"/>
        <v>0</v>
      </c>
    </row>
    <row r="356" spans="1:19" ht="12.95" customHeight="1">
      <c r="A356" s="12" t="s">
        <v>451</v>
      </c>
      <c r="B356" s="129">
        <f>+GETPIVOTDATA(" Old Prof avg",'Averages Pivot Table'!$A$3,"State","TX","Category",7,"Category2","Two-Year")</f>
        <v>66332.863632258071</v>
      </c>
      <c r="C356" s="130">
        <f t="shared" si="58"/>
        <v>3</v>
      </c>
      <c r="D356" s="129">
        <f>+GETPIVOTDATA(" Old Asc. avg",'Averages Pivot Table'!$A$3,"State","TX","Category",7,"Category2","Two-Year")</f>
        <v>53061.715666666671</v>
      </c>
      <c r="E356" s="130">
        <f t="shared" si="58"/>
        <v>2</v>
      </c>
      <c r="F356" s="129">
        <f>+GETPIVOTDATA(" Old Ast. avg",'Averages Pivot Table'!$A$3,"State","TX","Category",7,"Category2","Two-Year")</f>
        <v>48959.362634482764</v>
      </c>
      <c r="G356" s="130">
        <f t="shared" si="53"/>
        <v>2</v>
      </c>
      <c r="H356" s="129">
        <f>+GETPIVOTDATA(" Old Inst. avg",'Averages Pivot Table'!$A$3,"State","TX","Category",7,"Category2","Two-Year")</f>
        <v>50157.244081249999</v>
      </c>
      <c r="I356" s="201">
        <f t="shared" si="54"/>
        <v>1</v>
      </c>
      <c r="J356" s="129">
        <f>+GETPIVOTDATA(" Old Undesg. avg",'Averages Pivot Table'!$A$3,"State","TX","Category",7,"Category2","Two-Year")</f>
        <v>0</v>
      </c>
      <c r="K356" s="130">
        <f t="shared" si="55"/>
        <v>0</v>
      </c>
      <c r="L356" s="129">
        <f>+GETPIVOTDATA(" Old Single Rnk avg",'Averages Pivot Table'!$A$3,"State","TX","Category",7,"Category2","Two-Year")</f>
        <v>43779.210371428569</v>
      </c>
      <c r="M356" s="201">
        <f t="shared" si="56"/>
        <v>3</v>
      </c>
      <c r="N356" s="62">
        <f>+GETPIVOTDATA(" Old All Ranks avg",'Averages Pivot Table'!$A$3,"State","TX","Category",7,"Category2","Two-Year")</f>
        <v>51563.563213241381</v>
      </c>
      <c r="O356" s="201">
        <f t="shared" si="57"/>
        <v>4</v>
      </c>
    </row>
    <row r="357" spans="1:19" ht="12.95" customHeight="1">
      <c r="A357" s="12" t="s">
        <v>452</v>
      </c>
      <c r="B357" s="129">
        <f>+GETPIVOTDATA(" Old Prof avg",'Averages Pivot Table'!$A$3,"State","VA","Category",7,"Category2","Two-Year")</f>
        <v>0</v>
      </c>
      <c r="C357" s="130">
        <f t="shared" si="58"/>
        <v>0</v>
      </c>
      <c r="D357" s="129">
        <f>+GETPIVOTDATA(" Old Asc. avg",'Averages Pivot Table'!$A$3,"State","VA","Category",7,"Category2","Two-Year")</f>
        <v>0</v>
      </c>
      <c r="E357" s="130">
        <f t="shared" si="58"/>
        <v>0</v>
      </c>
      <c r="F357" s="129">
        <f>+GETPIVOTDATA(" Old Ast. avg",'Averages Pivot Table'!$A$3,"State","VA","Category",7,"Category2","Two-Year")</f>
        <v>0</v>
      </c>
      <c r="G357" s="130">
        <f t="shared" si="53"/>
        <v>0</v>
      </c>
      <c r="H357" s="129">
        <f>+GETPIVOTDATA(" Old Inst. avg",'Averages Pivot Table'!$A$3,"State","VA","Category",7,"Category2","Two-Year")</f>
        <v>0</v>
      </c>
      <c r="I357" s="201">
        <f t="shared" si="54"/>
        <v>0</v>
      </c>
      <c r="J357" s="129">
        <f>+GETPIVOTDATA(" Old Undesg. avg",'Averages Pivot Table'!$A$3,"State","VA","Category",7,"Category2","Two-Year")</f>
        <v>0</v>
      </c>
      <c r="K357" s="130">
        <f t="shared" si="55"/>
        <v>0</v>
      </c>
      <c r="L357" s="129">
        <f>+GETPIVOTDATA(" Old Single Rnk avg",'Averages Pivot Table'!$A$3,"State","VA","Category",7,"Category2","Two-Year")</f>
        <v>0</v>
      </c>
      <c r="M357" s="201">
        <f t="shared" si="56"/>
        <v>0</v>
      </c>
      <c r="N357" s="62">
        <f>+GETPIVOTDATA(" Old All Ranks avg",'Averages Pivot Table'!$A$3,"State","VA","Category",7,"Category2","Two-Year")</f>
        <v>0</v>
      </c>
      <c r="O357" s="201">
        <f t="shared" si="57"/>
        <v>0</v>
      </c>
    </row>
    <row r="358" spans="1:19" ht="12.95" customHeight="1">
      <c r="A358" s="11" t="s">
        <v>453</v>
      </c>
      <c r="B358" s="64">
        <f>+GETPIVOTDATA(" Old Prof avg",'Averages Pivot Table'!$A$3,"State","WV","Category",7,"Category2","Two-Year")</f>
        <v>58315.807079069775</v>
      </c>
      <c r="C358" s="65">
        <f t="shared" si="58"/>
        <v>5</v>
      </c>
      <c r="D358" s="64">
        <f>+GETPIVOTDATA(" Old Asc. avg",'Averages Pivot Table'!$A$3,"State","WV","Category",7,"Category2","Two-Year")</f>
        <v>50941.6488875</v>
      </c>
      <c r="E358" s="65">
        <f t="shared" si="58"/>
        <v>4</v>
      </c>
      <c r="F358" s="64">
        <f>+GETPIVOTDATA(" Old Ast. avg",'Averages Pivot Table'!$A$3,"State","WV","Category",7,"Category2","Two-Year")</f>
        <v>43076.635036363637</v>
      </c>
      <c r="G358" s="65">
        <f t="shared" si="53"/>
        <v>5</v>
      </c>
      <c r="H358" s="64">
        <f>+GETPIVOTDATA(" Old Inst. avg",'Averages Pivot Table'!$A$3,"State","WV","Category",7,"Category2","Two-Year")</f>
        <v>37214.488888888889</v>
      </c>
      <c r="I358" s="202">
        <f t="shared" si="54"/>
        <v>5</v>
      </c>
      <c r="J358" s="64">
        <f>+GETPIVOTDATA(" Old Undesg. avg",'Averages Pivot Table'!$A$3,"State","WV","Category",7,"Category2","Two-Year")</f>
        <v>39352.147199999999</v>
      </c>
      <c r="K358" s="65">
        <f t="shared" si="55"/>
        <v>1</v>
      </c>
      <c r="L358" s="64">
        <f>+GETPIVOTDATA(" Old Single Rnk avg",'Averages Pivot Table'!$A$3,"State","WV","Category",7,"Category2","Two-Year")</f>
        <v>0</v>
      </c>
      <c r="M358" s="202">
        <f t="shared" si="56"/>
        <v>0</v>
      </c>
      <c r="N358" s="64">
        <f>+GETPIVOTDATA(" Old All Ranks avg",'Averages Pivot Table'!$A$3,"State","WV","Category",7,"Category2","Two-Year")</f>
        <v>47120.757516535428</v>
      </c>
      <c r="O358" s="202">
        <f t="shared" si="57"/>
        <v>7</v>
      </c>
    </row>
    <row r="359" spans="1:19" ht="30" customHeight="1">
      <c r="A359" s="634" t="s">
        <v>323</v>
      </c>
      <c r="B359" s="634"/>
      <c r="C359" s="634"/>
      <c r="D359" s="634"/>
      <c r="E359" s="634"/>
      <c r="F359" s="634"/>
      <c r="G359" s="634"/>
      <c r="H359" s="634"/>
      <c r="I359" s="634"/>
      <c r="J359" s="634"/>
      <c r="K359" s="634"/>
      <c r="L359" s="634"/>
      <c r="M359" s="634"/>
      <c r="N359" s="634"/>
      <c r="O359" s="634"/>
    </row>
    <row r="360" spans="1:19">
      <c r="O360" s="244" t="s">
        <v>1166</v>
      </c>
    </row>
    <row r="361" spans="1:19" ht="18">
      <c r="A361" s="618" t="s">
        <v>788</v>
      </c>
      <c r="B361" s="618"/>
      <c r="C361" s="618"/>
      <c r="D361" s="618"/>
      <c r="E361" s="618"/>
      <c r="F361" s="618"/>
      <c r="G361" s="618"/>
      <c r="H361" s="618"/>
      <c r="I361" s="618"/>
      <c r="J361" s="618"/>
      <c r="K361" s="618"/>
      <c r="L361" s="618"/>
      <c r="M361" s="618"/>
      <c r="N361" s="618"/>
      <c r="O361" s="618"/>
    </row>
    <row r="362" spans="1:19">
      <c r="A362" s="23"/>
      <c r="B362" s="5"/>
      <c r="C362" s="5"/>
      <c r="D362" s="5"/>
      <c r="E362" s="5"/>
      <c r="F362" s="5"/>
      <c r="G362" s="5"/>
      <c r="H362" s="5"/>
      <c r="I362" s="159"/>
      <c r="J362" s="5"/>
      <c r="K362" s="5"/>
      <c r="L362" s="5"/>
      <c r="M362" s="159"/>
      <c r="N362" s="5"/>
      <c r="O362" s="159"/>
    </row>
    <row r="363" spans="1:19">
      <c r="A363" s="619" t="s">
        <v>454</v>
      </c>
      <c r="B363" s="619"/>
      <c r="C363" s="619"/>
      <c r="D363" s="619"/>
      <c r="E363" s="619"/>
      <c r="F363" s="619"/>
      <c r="G363" s="619"/>
      <c r="H363" s="619"/>
      <c r="I363" s="619"/>
      <c r="J363" s="619"/>
      <c r="K363" s="619"/>
      <c r="L363" s="619"/>
      <c r="M363" s="619"/>
      <c r="N363" s="619"/>
      <c r="O363" s="619"/>
    </row>
    <row r="364" spans="1:19">
      <c r="A364" s="619" t="s">
        <v>767</v>
      </c>
      <c r="B364" s="619"/>
      <c r="C364" s="619"/>
      <c r="D364" s="619"/>
      <c r="E364" s="619"/>
      <c r="F364" s="619"/>
      <c r="G364" s="619"/>
      <c r="H364" s="619"/>
      <c r="I364" s="619"/>
      <c r="J364" s="619"/>
      <c r="K364" s="619"/>
      <c r="L364" s="619"/>
      <c r="M364" s="619"/>
      <c r="N364" s="619"/>
      <c r="O364" s="619"/>
    </row>
    <row r="365" spans="1:19">
      <c r="A365" s="12"/>
      <c r="B365" s="12"/>
      <c r="C365" s="12"/>
      <c r="D365" s="12"/>
      <c r="E365" s="12"/>
      <c r="F365" s="12"/>
      <c r="G365" s="12"/>
      <c r="H365" s="12"/>
      <c r="I365" s="215"/>
      <c r="J365" s="12"/>
      <c r="K365" s="12"/>
      <c r="L365" s="12"/>
      <c r="M365" s="215"/>
      <c r="N365" s="12"/>
      <c r="O365" s="215"/>
    </row>
    <row r="366" spans="1:19" ht="31.5" customHeight="1">
      <c r="A366" s="15"/>
      <c r="B366" s="21" t="s">
        <v>332</v>
      </c>
      <c r="C366" s="22"/>
      <c r="D366" s="141" t="s">
        <v>333</v>
      </c>
      <c r="E366" s="142"/>
      <c r="F366" s="141" t="s">
        <v>334</v>
      </c>
      <c r="G366" s="142"/>
      <c r="H366" s="21" t="s">
        <v>335</v>
      </c>
      <c r="I366" s="225"/>
      <c r="J366" s="141" t="s">
        <v>461</v>
      </c>
      <c r="K366" s="142"/>
      <c r="L366" s="22" t="s">
        <v>314</v>
      </c>
      <c r="M366" s="225"/>
      <c r="N366" s="22" t="s">
        <v>316</v>
      </c>
      <c r="O366" s="225"/>
    </row>
    <row r="367" spans="1:19">
      <c r="A367" s="16"/>
      <c r="B367" s="19" t="s">
        <v>336</v>
      </c>
      <c r="C367" s="18" t="s">
        <v>427</v>
      </c>
      <c r="D367" s="19" t="s">
        <v>336</v>
      </c>
      <c r="E367" s="18" t="s">
        <v>427</v>
      </c>
      <c r="F367" s="19" t="s">
        <v>336</v>
      </c>
      <c r="G367" s="18" t="s">
        <v>427</v>
      </c>
      <c r="H367" s="19" t="s">
        <v>336</v>
      </c>
      <c r="I367" s="226" t="s">
        <v>427</v>
      </c>
      <c r="J367" s="19" t="s">
        <v>336</v>
      </c>
      <c r="K367" s="18" t="s">
        <v>427</v>
      </c>
      <c r="L367" s="19" t="s">
        <v>336</v>
      </c>
      <c r="M367" s="226" t="s">
        <v>427</v>
      </c>
      <c r="N367" s="19" t="s">
        <v>336</v>
      </c>
      <c r="O367" s="226" t="s">
        <v>427</v>
      </c>
    </row>
    <row r="368" spans="1:19" s="156" customFormat="1" ht="18" customHeight="1">
      <c r="A368" s="168" t="s">
        <v>456</v>
      </c>
      <c r="B368" s="172">
        <f>+GETPIVOTDATA(" Old Prof avg",'Averages Pivot Table'!$A$3,"Category",8,"Category2","Two-Year")</f>
        <v>69471.411394867435</v>
      </c>
      <c r="C368" s="172"/>
      <c r="D368" s="172">
        <f>+GETPIVOTDATA(" Old Asc. avg",'Averages Pivot Table'!$A$3,"Category",8,"Category2","Two-Year")</f>
        <v>56375.27559386778</v>
      </c>
      <c r="E368" s="172"/>
      <c r="F368" s="172">
        <f>+GETPIVOTDATA(" Old Ast. avg",'Averages Pivot Table'!$A$3,"Category",8,"Category2","Two-Year")</f>
        <v>51495.169257418216</v>
      </c>
      <c r="G368" s="172"/>
      <c r="H368" s="172">
        <f>+GETPIVOTDATA(" Old Inst. avg",'Averages Pivot Table'!$A$3,"Category",8,"Category2","Two-Year")</f>
        <v>45033.174531765573</v>
      </c>
      <c r="I368" s="229"/>
      <c r="J368" s="172">
        <f>+GETPIVOTDATA(" Old Undesg. avg",'Averages Pivot Table'!$A$3,"Category",8,"Category2","Two-Year")</f>
        <v>46145.923947514908</v>
      </c>
      <c r="K368" s="172"/>
      <c r="L368" s="172">
        <f>+GETPIVOTDATA(" Old Single Rnk avg",'Averages Pivot Table'!$A$3,"Category",8,"Category2","Two-Year")</f>
        <v>52082.442894326246</v>
      </c>
      <c r="M368" s="229"/>
      <c r="N368" s="172">
        <f>+GETPIVOTDATA(" Old All Ranks avg",'Averages Pivot Table'!$A$3,"Category",8,"Category2","Two-Year")</f>
        <v>53785.728975032594</v>
      </c>
      <c r="O368" s="216"/>
      <c r="Q368" s="193"/>
      <c r="R368" s="193"/>
      <c r="S368" s="193"/>
    </row>
    <row r="369" spans="1:15" ht="12.95" customHeight="1">
      <c r="A369" s="12"/>
      <c r="B369" s="9"/>
      <c r="C369" s="17"/>
      <c r="D369" s="9"/>
      <c r="E369" s="17"/>
      <c r="F369" s="9"/>
      <c r="G369" s="17"/>
      <c r="H369" s="9"/>
      <c r="I369" s="233"/>
      <c r="J369" s="9"/>
      <c r="K369" s="17"/>
      <c r="L369" s="9"/>
      <c r="M369" s="233"/>
      <c r="N369" s="9"/>
      <c r="O369" s="217"/>
    </row>
    <row r="370" spans="1:15" ht="12.95" customHeight="1">
      <c r="A370" s="12" t="s">
        <v>439</v>
      </c>
      <c r="B370" s="62">
        <f>+GETPIVOTDATA(" Old Prof avg",'Averages Pivot Table'!$A$3,"State","AL","Category",8,"Category2","Two-Year")</f>
        <v>0</v>
      </c>
      <c r="C370" s="130">
        <f>IF(B370&gt;0,(RANK(B370,B$370:B$388)),0)</f>
        <v>0</v>
      </c>
      <c r="D370" s="62">
        <f>+GETPIVOTDATA(" Old Asc. avg",'Averages Pivot Table'!$A$3,"State","AL","Category",8,"Category2","Two-Year")</f>
        <v>0</v>
      </c>
      <c r="E370" s="130">
        <f>IF(D370&gt;0,(RANK(D370,D$370:D$388)),0)</f>
        <v>0</v>
      </c>
      <c r="F370" s="62">
        <f>+GETPIVOTDATA(" Old Ast. avg",'Averages Pivot Table'!$A$3,"State","AL","Category",8,"Category2","Two-Year")</f>
        <v>0</v>
      </c>
      <c r="G370" s="130">
        <f t="shared" ref="G370:G388" si="59">IF(F370&gt;0,(RANK(F370,F$370:F$388)),0)</f>
        <v>0</v>
      </c>
      <c r="H370" s="62">
        <f>+GETPIVOTDATA(" Old Inst. avg",'Averages Pivot Table'!$A$3,"State","AL","Category",8,"Category2","Two-Year")</f>
        <v>0</v>
      </c>
      <c r="I370" s="201">
        <f t="shared" ref="I370:I388" si="60">IF(H370&gt;0,(RANK(H370,H$370:H$388)),0)</f>
        <v>0</v>
      </c>
      <c r="J370" s="62">
        <f>+GETPIVOTDATA(" Old Undesg. avg",'Averages Pivot Table'!$A$3,"State","AL","Category",8,"Category2","Two-Year")</f>
        <v>0</v>
      </c>
      <c r="K370" s="130">
        <f t="shared" ref="K370:K388" si="61">IF(J370&gt;0,(RANK(J370,J$370:J$388)),0)</f>
        <v>0</v>
      </c>
      <c r="L370" s="62">
        <f>+GETPIVOTDATA(" Old Single Rnk avg",'Averages Pivot Table'!$A$3,"State","AL","Category",8,"Category2","Two-Year")</f>
        <v>53891.246937627118</v>
      </c>
      <c r="M370" s="201">
        <f t="shared" ref="M370:M388" si="62">IF(L370&gt;0,(RANK(L370,L$370:L$388)),0)</f>
        <v>2</v>
      </c>
      <c r="N370" s="62">
        <f>+GETPIVOTDATA(" Old All Ranks avg",'Averages Pivot Table'!$A$3,"State","AL","Category",8,"Category2","Two-Year")</f>
        <v>53891.246937627118</v>
      </c>
      <c r="O370" s="201">
        <f t="shared" ref="O370:O388" si="63">IF(N370&gt;0,(RANK(N370,N$370:N$388)),0)</f>
        <v>4</v>
      </c>
    </row>
    <row r="371" spans="1:15" ht="12.95" customHeight="1">
      <c r="A371" s="12" t="s">
        <v>440</v>
      </c>
      <c r="B371" s="62">
        <f>+GETPIVOTDATA(" Old Prof avg",'Averages Pivot Table'!$A$3,"State","AR","Category",8,"Category2","Two-Year")</f>
        <v>0</v>
      </c>
      <c r="C371" s="130">
        <f t="shared" ref="C371:E388" si="64">IF(B371&gt;0,(RANK(B371,B$370:B$388)),0)</f>
        <v>0</v>
      </c>
      <c r="D371" s="62">
        <f>+GETPIVOTDATA(" Old Asc. avg",'Averages Pivot Table'!$A$3,"State","AR","Category",8,"Category2","Two-Year")</f>
        <v>0</v>
      </c>
      <c r="E371" s="130">
        <f t="shared" si="64"/>
        <v>0</v>
      </c>
      <c r="F371" s="62">
        <f>+GETPIVOTDATA(" Old Ast. avg",'Averages Pivot Table'!$A$3,"State","AR","Category",8,"Category2","Two-Year")</f>
        <v>0</v>
      </c>
      <c r="G371" s="130">
        <f t="shared" si="59"/>
        <v>0</v>
      </c>
      <c r="H371" s="62">
        <f>+GETPIVOTDATA(" Old Inst. avg",'Averages Pivot Table'!$A$3,"State","AR","Category",8,"Category2","Two-Year")</f>
        <v>0</v>
      </c>
      <c r="I371" s="201">
        <f t="shared" si="60"/>
        <v>0</v>
      </c>
      <c r="J371" s="62">
        <f>+GETPIVOTDATA(" Old Undesg. avg",'Averages Pivot Table'!$A$3,"State","AR","Category",8,"Category2","Two-Year")</f>
        <v>0</v>
      </c>
      <c r="K371" s="130">
        <f t="shared" si="61"/>
        <v>0</v>
      </c>
      <c r="L371" s="62">
        <f>+GETPIVOTDATA(" Old Single Rnk avg",'Averages Pivot Table'!$A$3,"State","AR","Category",8,"Category2","Two-Year")</f>
        <v>46162.602924050632</v>
      </c>
      <c r="M371" s="201">
        <f t="shared" si="62"/>
        <v>7</v>
      </c>
      <c r="N371" s="62">
        <f>+GETPIVOTDATA(" Old All Ranks avg",'Averages Pivot Table'!$A$3,"State","AR","Category",8,"Category2","Two-Year")</f>
        <v>46162.602924050632</v>
      </c>
      <c r="O371" s="201">
        <f t="shared" si="63"/>
        <v>13</v>
      </c>
    </row>
    <row r="372" spans="1:15" ht="12.95" customHeight="1">
      <c r="A372" s="12" t="s">
        <v>455</v>
      </c>
      <c r="B372" s="62">
        <f>+GETPIVOTDATA(" Old Prof avg",'Averages Pivot Table'!$A$3,"State","DE","Category",8,"Category2","Two-Year")</f>
        <v>0</v>
      </c>
      <c r="C372" s="130">
        <f t="shared" si="64"/>
        <v>0</v>
      </c>
      <c r="D372" s="62">
        <f>+GETPIVOTDATA(" Old Asc. avg",'Averages Pivot Table'!$A$3,"State","DE","Category",8,"Category2","Two-Year")</f>
        <v>0</v>
      </c>
      <c r="E372" s="130">
        <f t="shared" si="64"/>
        <v>0</v>
      </c>
      <c r="F372" s="62">
        <f>+GETPIVOTDATA(" Old Ast. avg",'Averages Pivot Table'!$A$3,"State","DE","Category",8,"Category2","Two-Year")</f>
        <v>0</v>
      </c>
      <c r="G372" s="130">
        <f t="shared" si="59"/>
        <v>0</v>
      </c>
      <c r="H372" s="62">
        <f>+GETPIVOTDATA(" Old Inst. avg",'Averages Pivot Table'!$A$3,"State","DE","Category",8,"Category2","Two-Year")</f>
        <v>0</v>
      </c>
      <c r="I372" s="201">
        <f t="shared" si="60"/>
        <v>0</v>
      </c>
      <c r="J372" s="62">
        <f>+GETPIVOTDATA(" Old Undesg. avg",'Averages Pivot Table'!$A$3,"State","DE","Category",8,"Category2","Two-Year")</f>
        <v>0</v>
      </c>
      <c r="K372" s="130">
        <f t="shared" si="61"/>
        <v>0</v>
      </c>
      <c r="L372" s="62">
        <f>+GETPIVOTDATA(" Old Single Rnk avg",'Averages Pivot Table'!$A$3,"State","DE","Category",8,"Category2","Two-Year")</f>
        <v>0</v>
      </c>
      <c r="M372" s="201">
        <f t="shared" si="62"/>
        <v>0</v>
      </c>
      <c r="N372" s="62">
        <f>+GETPIVOTDATA(" Old All Ranks avg",'Averages Pivot Table'!$A$3,"State","DE","Category",8,"Category2","Two-Year")</f>
        <v>0</v>
      </c>
      <c r="O372" s="201">
        <f t="shared" si="63"/>
        <v>0</v>
      </c>
    </row>
    <row r="373" spans="1:15" ht="12.95" customHeight="1">
      <c r="A373" s="12" t="s">
        <v>441</v>
      </c>
      <c r="B373" s="62">
        <f>+GETPIVOTDATA(" Old Prof avg",'Averages Pivot Table'!$A$3,"State","FL","Category",8,"Category2","Two-Year")</f>
        <v>0</v>
      </c>
      <c r="C373" s="130">
        <f t="shared" si="64"/>
        <v>0</v>
      </c>
      <c r="D373" s="62">
        <f>+GETPIVOTDATA(" Old Asc. avg",'Averages Pivot Table'!$A$3,"State","FL","Category",8,"Category2","Two-Year")</f>
        <v>0</v>
      </c>
      <c r="E373" s="130">
        <f t="shared" si="64"/>
        <v>0</v>
      </c>
      <c r="F373" s="62">
        <f>+GETPIVOTDATA(" Old Ast. avg",'Averages Pivot Table'!$A$3,"State","FL","Category",8,"Category2","Two-Year")</f>
        <v>0</v>
      </c>
      <c r="G373" s="130">
        <f t="shared" si="59"/>
        <v>0</v>
      </c>
      <c r="H373" s="62">
        <f>+GETPIVOTDATA(" Old Inst. avg",'Averages Pivot Table'!$A$3,"State","FL","Category",8,"Category2","Two-Year")</f>
        <v>0</v>
      </c>
      <c r="I373" s="201">
        <f t="shared" si="60"/>
        <v>0</v>
      </c>
      <c r="J373" s="62">
        <f>+GETPIVOTDATA(" Old Undesg. avg",'Averages Pivot Table'!$A$3,"State","FL","Category",8,"Category2","Two-Year")</f>
        <v>0</v>
      </c>
      <c r="K373" s="130">
        <f t="shared" si="61"/>
        <v>0</v>
      </c>
      <c r="L373" s="62">
        <f>+GETPIVOTDATA(" Old Single Rnk avg",'Averages Pivot Table'!$A$3,"State","FL","Category",8,"Category2","Two-Year")</f>
        <v>52851.372625866745</v>
      </c>
      <c r="M373" s="201">
        <f t="shared" si="62"/>
        <v>4</v>
      </c>
      <c r="N373" s="62">
        <f>+GETPIVOTDATA(" Old All Ranks avg",'Averages Pivot Table'!$A$3,"State","FL","Category",8,"Category2","Two-Year")</f>
        <v>52851.372625866745</v>
      </c>
      <c r="O373" s="201">
        <f t="shared" si="63"/>
        <v>6</v>
      </c>
    </row>
    <row r="374" spans="1:15" ht="12.95" customHeight="1">
      <c r="A374" s="12"/>
      <c r="B374" s="62"/>
      <c r="C374" s="130">
        <f t="shared" si="64"/>
        <v>0</v>
      </c>
      <c r="D374" s="62"/>
      <c r="E374" s="130">
        <f t="shared" si="64"/>
        <v>0</v>
      </c>
      <c r="F374" s="62"/>
      <c r="G374" s="130">
        <f t="shared" si="59"/>
        <v>0</v>
      </c>
      <c r="H374" s="62"/>
      <c r="I374" s="201">
        <f t="shared" si="60"/>
        <v>0</v>
      </c>
      <c r="J374" s="62"/>
      <c r="K374" s="130">
        <f t="shared" si="61"/>
        <v>0</v>
      </c>
      <c r="L374" s="62"/>
      <c r="M374" s="201">
        <f t="shared" si="62"/>
        <v>0</v>
      </c>
      <c r="N374" s="62"/>
      <c r="O374" s="201">
        <f t="shared" si="63"/>
        <v>0</v>
      </c>
    </row>
    <row r="375" spans="1:15" ht="12.95" customHeight="1">
      <c r="A375" s="12" t="s">
        <v>442</v>
      </c>
      <c r="B375" s="62">
        <f>+GETPIVOTDATA(" Old Prof avg",'Averages Pivot Table'!$A$3,"State","GA","Category",8,"Category2","Two-Year")</f>
        <v>64534.307178378382</v>
      </c>
      <c r="C375" s="130">
        <f t="shared" si="64"/>
        <v>4</v>
      </c>
      <c r="D375" s="62">
        <f>+GETPIVOTDATA(" Old Asc. avg",'Averages Pivot Table'!$A$3,"State","GA","Category",8,"Category2","Two-Year")</f>
        <v>56088.968185915495</v>
      </c>
      <c r="E375" s="130">
        <f t="shared" si="64"/>
        <v>3</v>
      </c>
      <c r="F375" s="62">
        <f>+GETPIVOTDATA(" Old Ast. avg",'Averages Pivot Table'!$A$3,"State","GA","Category",8,"Category2","Two-Year")</f>
        <v>45200.325607079649</v>
      </c>
      <c r="G375" s="130">
        <f t="shared" si="59"/>
        <v>4</v>
      </c>
      <c r="H375" s="62">
        <f>+GETPIVOTDATA(" Old Inst. avg",'Averages Pivot Table'!$A$3,"State","GA","Category",8,"Category2","Two-Year")</f>
        <v>40691.78633333333</v>
      </c>
      <c r="I375" s="201">
        <f t="shared" si="60"/>
        <v>4</v>
      </c>
      <c r="J375" s="62">
        <f>+GETPIVOTDATA(" Old Undesg. avg",'Averages Pivot Table'!$A$3,"State","GA","Category",8,"Category2","Two-Year")</f>
        <v>57126.806400000001</v>
      </c>
      <c r="K375" s="130">
        <f t="shared" si="61"/>
        <v>1</v>
      </c>
      <c r="L375" s="62">
        <f>+GETPIVOTDATA(" Old Single Rnk avg",'Averages Pivot Table'!$A$3,"State","GA","Category",8,"Category2","Two-Year")</f>
        <v>0</v>
      </c>
      <c r="M375" s="201">
        <f t="shared" si="62"/>
        <v>0</v>
      </c>
      <c r="N375" s="62">
        <f>+GETPIVOTDATA(" Old All Ranks avg",'Averages Pivot Table'!$A$3,"State","GA","Category",8,"Category2","Two-Year")</f>
        <v>50094.771843216076</v>
      </c>
      <c r="O375" s="201">
        <f t="shared" si="63"/>
        <v>7</v>
      </c>
    </row>
    <row r="376" spans="1:15" ht="12.95" customHeight="1">
      <c r="A376" s="12" t="s">
        <v>443</v>
      </c>
      <c r="B376" s="62">
        <f>+GETPIVOTDATA(" Old Prof avg",'Averages Pivot Table'!$A$3,"State","KY","Category",8,"Category2","Two-Year")</f>
        <v>58025.457929870128</v>
      </c>
      <c r="C376" s="130">
        <f t="shared" si="64"/>
        <v>6</v>
      </c>
      <c r="D376" s="62">
        <f>+GETPIVOTDATA(" Old Asc. avg",'Averages Pivot Table'!$A$3,"State","KY","Category",8,"Category2","Two-Year")</f>
        <v>49892.844045161291</v>
      </c>
      <c r="E376" s="130">
        <f t="shared" si="64"/>
        <v>6</v>
      </c>
      <c r="F376" s="62">
        <f>+GETPIVOTDATA(" Old Ast. avg",'Averages Pivot Table'!$A$3,"State","KY","Category",8,"Category2","Two-Year")</f>
        <v>42547.654983333334</v>
      </c>
      <c r="G376" s="130">
        <f t="shared" si="59"/>
        <v>5</v>
      </c>
      <c r="H376" s="62">
        <f>+GETPIVOTDATA(" Old Inst. avg",'Averages Pivot Table'!$A$3,"State","KY","Category",8,"Category2","Two-Year")</f>
        <v>39790.935521739128</v>
      </c>
      <c r="I376" s="201">
        <f t="shared" si="60"/>
        <v>5</v>
      </c>
      <c r="J376" s="62">
        <f>+GETPIVOTDATA(" Old Undesg. avg",'Averages Pivot Table'!$A$3,"State","KY","Category",8,"Category2","Two-Year")</f>
        <v>0</v>
      </c>
      <c r="K376" s="130">
        <f t="shared" si="61"/>
        <v>0</v>
      </c>
      <c r="L376" s="62">
        <f>+GETPIVOTDATA(" Old Single Rnk avg",'Averages Pivot Table'!$A$3,"State","KY","Category",8,"Category2","Two-Year")</f>
        <v>0</v>
      </c>
      <c r="M376" s="201">
        <f t="shared" si="62"/>
        <v>0</v>
      </c>
      <c r="N376" s="62">
        <f>+GETPIVOTDATA(" Old All Ranks avg",'Averages Pivot Table'!$A$3,"State","KY","Category",8,"Category2","Two-Year")</f>
        <v>49613.464754477616</v>
      </c>
      <c r="O376" s="201">
        <f t="shared" si="63"/>
        <v>8</v>
      </c>
    </row>
    <row r="377" spans="1:15" ht="12.95" customHeight="1">
      <c r="A377" s="12" t="s">
        <v>444</v>
      </c>
      <c r="B377" s="62">
        <f>+GETPIVOTDATA(" Old Prof avg",'Averages Pivot Table'!$A$3,"State","LA","Category",8,"Category2","Two-Year")</f>
        <v>78558.978587500009</v>
      </c>
      <c r="C377" s="130">
        <f t="shared" si="64"/>
        <v>2</v>
      </c>
      <c r="D377" s="62">
        <f>+GETPIVOTDATA(" Old Asc. avg",'Averages Pivot Table'!$A$3,"State","LA","Category",8,"Category2","Two-Year")</f>
        <v>60499.198991919191</v>
      </c>
      <c r="E377" s="130">
        <f t="shared" si="64"/>
        <v>2</v>
      </c>
      <c r="F377" s="62">
        <f>+GETPIVOTDATA(" Old Ast. avg",'Averages Pivot Table'!$A$3,"State","LA","Category",8,"Category2","Two-Year")</f>
        <v>60398.426584615387</v>
      </c>
      <c r="G377" s="130">
        <f t="shared" si="59"/>
        <v>1</v>
      </c>
      <c r="H377" s="62">
        <f>+GETPIVOTDATA(" Old Inst. avg",'Averages Pivot Table'!$A$3,"State","LA","Category",8,"Category2","Two-Year")</f>
        <v>47802.753876404495</v>
      </c>
      <c r="I377" s="201">
        <f t="shared" si="60"/>
        <v>2</v>
      </c>
      <c r="J377" s="62">
        <f>+GETPIVOTDATA(" Old Undesg. avg",'Averages Pivot Table'!$A$3,"State","LA","Category",8,"Category2","Two-Year")</f>
        <v>40834.854055913973</v>
      </c>
      <c r="K377" s="130">
        <f t="shared" si="61"/>
        <v>4</v>
      </c>
      <c r="L377" s="62">
        <f>+GETPIVOTDATA(" Old Single Rnk avg",'Averages Pivot Table'!$A$3,"State","LA","Category",8,"Category2","Two-Year")</f>
        <v>0</v>
      </c>
      <c r="M377" s="201">
        <f t="shared" si="62"/>
        <v>0</v>
      </c>
      <c r="N377" s="62">
        <f>+GETPIVOTDATA(" Old All Ranks avg",'Averages Pivot Table'!$A$3,"State","LA","Category",8,"Category2","Two-Year")</f>
        <v>55918.044931724144</v>
      </c>
      <c r="O377" s="201">
        <f t="shared" si="63"/>
        <v>2</v>
      </c>
    </row>
    <row r="378" spans="1:15" ht="12.95" customHeight="1">
      <c r="A378" s="12" t="s">
        <v>445</v>
      </c>
      <c r="B378" s="62">
        <f>+GETPIVOTDATA(" Old Prof avg",'Averages Pivot Table'!$A$3,"State","MD","Category",8,"Category2","Two-Year")</f>
        <v>83892.581651632339</v>
      </c>
      <c r="C378" s="130">
        <f t="shared" si="64"/>
        <v>1</v>
      </c>
      <c r="D378" s="62">
        <f>+GETPIVOTDATA(" Old Asc. avg",'Averages Pivot Table'!$A$3,"State","MD","Category",8,"Category2","Two-Year")</f>
        <v>65491.579817414684</v>
      </c>
      <c r="E378" s="130">
        <f t="shared" si="64"/>
        <v>1</v>
      </c>
      <c r="F378" s="62">
        <f>+GETPIVOTDATA(" Old Ast. avg",'Averages Pivot Table'!$A$3,"State","MD","Category",8,"Category2","Two-Year")</f>
        <v>57066.364748823944</v>
      </c>
      <c r="G378" s="130">
        <f t="shared" si="59"/>
        <v>2</v>
      </c>
      <c r="H378" s="62">
        <f>+GETPIVOTDATA(" Old Inst. avg",'Averages Pivot Table'!$A$3,"State","MD","Category",8,"Category2","Two-Year")</f>
        <v>49575.474055187296</v>
      </c>
      <c r="I378" s="201">
        <f t="shared" si="60"/>
        <v>1</v>
      </c>
      <c r="J378" s="62">
        <f>+GETPIVOTDATA(" Old Undesg. avg",'Averages Pivot Table'!$A$3,"State","MD","Category",8,"Category2","Two-Year")</f>
        <v>0</v>
      </c>
      <c r="K378" s="130">
        <f t="shared" si="61"/>
        <v>0</v>
      </c>
      <c r="L378" s="62">
        <f>+GETPIVOTDATA(" Old Single Rnk avg",'Averages Pivot Table'!$A$3,"State","MD","Category",8,"Category2","Two-Year")</f>
        <v>0</v>
      </c>
      <c r="M378" s="201">
        <f t="shared" si="62"/>
        <v>0</v>
      </c>
      <c r="N378" s="62">
        <f>+GETPIVOTDATA(" Old All Ranks avg",'Averages Pivot Table'!$A$3,"State","MD","Category",8,"Category2","Two-Year")</f>
        <v>68555.176708086467</v>
      </c>
      <c r="O378" s="201">
        <f t="shared" si="63"/>
        <v>1</v>
      </c>
    </row>
    <row r="379" spans="1:15" ht="12.95" customHeight="1">
      <c r="A379" s="12"/>
      <c r="B379" s="62"/>
      <c r="C379" s="130">
        <f t="shared" si="64"/>
        <v>0</v>
      </c>
      <c r="D379" s="62"/>
      <c r="E379" s="130">
        <f t="shared" si="64"/>
        <v>0</v>
      </c>
      <c r="F379" s="62"/>
      <c r="G379" s="130">
        <f t="shared" si="59"/>
        <v>0</v>
      </c>
      <c r="H379" s="62"/>
      <c r="I379" s="201">
        <f t="shared" si="60"/>
        <v>0</v>
      </c>
      <c r="J379" s="62"/>
      <c r="K379" s="130">
        <f t="shared" si="61"/>
        <v>0</v>
      </c>
      <c r="L379" s="62"/>
      <c r="M379" s="201">
        <f t="shared" si="62"/>
        <v>0</v>
      </c>
      <c r="N379" s="62"/>
      <c r="O379" s="201">
        <f t="shared" si="63"/>
        <v>0</v>
      </c>
    </row>
    <row r="380" spans="1:15" ht="12.95" customHeight="1">
      <c r="A380" s="12" t="s">
        <v>446</v>
      </c>
      <c r="B380" s="62">
        <f>+GETPIVOTDATA(" Old Prof avg",'Averages Pivot Table'!$A$3,"State","MS","Category",8,"Category2","Two-Year")</f>
        <v>0</v>
      </c>
      <c r="C380" s="130">
        <f t="shared" si="64"/>
        <v>0</v>
      </c>
      <c r="D380" s="62">
        <f>+GETPIVOTDATA(" Old Asc. avg",'Averages Pivot Table'!$A$3,"State","MS","Category",8,"Category2","Two-Year")</f>
        <v>0</v>
      </c>
      <c r="E380" s="130">
        <f t="shared" si="64"/>
        <v>0</v>
      </c>
      <c r="F380" s="62">
        <f>+GETPIVOTDATA(" Old Ast. avg",'Averages Pivot Table'!$A$3,"State","MS","Category",8,"Category2","Two-Year")</f>
        <v>0</v>
      </c>
      <c r="G380" s="130">
        <f t="shared" si="59"/>
        <v>0</v>
      </c>
      <c r="H380" s="62">
        <f>+GETPIVOTDATA(" Old Inst. avg",'Averages Pivot Table'!$A$3,"State","MS","Category",8,"Category2","Two-Year")</f>
        <v>0</v>
      </c>
      <c r="I380" s="201">
        <f t="shared" si="60"/>
        <v>0</v>
      </c>
      <c r="J380" s="62">
        <f>+GETPIVOTDATA(" Old Undesg. avg",'Averages Pivot Table'!$A$3,"State","MS","Category",8,"Category2","Two-Year")</f>
        <v>0</v>
      </c>
      <c r="K380" s="130">
        <f t="shared" si="61"/>
        <v>0</v>
      </c>
      <c r="L380" s="62">
        <f>+GETPIVOTDATA(" Old Single Rnk avg",'Averages Pivot Table'!$A$3,"State","MS","Category",8,"Category2","Two-Year")</f>
        <v>47489.630033670037</v>
      </c>
      <c r="M380" s="201">
        <f t="shared" si="62"/>
        <v>6</v>
      </c>
      <c r="N380" s="62">
        <f>+GETPIVOTDATA(" Old All Ranks avg",'Averages Pivot Table'!$A$3,"State","MS","Category",8,"Category2","Two-Year")</f>
        <v>47489.630033670037</v>
      </c>
      <c r="O380" s="201">
        <f t="shared" si="63"/>
        <v>11</v>
      </c>
    </row>
    <row r="381" spans="1:15" ht="12.95" customHeight="1">
      <c r="A381" s="12" t="s">
        <v>447</v>
      </c>
      <c r="B381" s="62">
        <f>+GETPIVOTDATA(" Old Prof avg",'Averages Pivot Table'!$A$3,"State","NC","Category",8,"Category2","Two-Year")</f>
        <v>0</v>
      </c>
      <c r="C381" s="130">
        <f t="shared" si="64"/>
        <v>0</v>
      </c>
      <c r="D381" s="62">
        <f>+GETPIVOTDATA(" Old Asc. avg",'Averages Pivot Table'!$A$3,"State","NC","Category",8,"Category2","Two-Year")</f>
        <v>0</v>
      </c>
      <c r="E381" s="130">
        <f t="shared" si="64"/>
        <v>0</v>
      </c>
      <c r="F381" s="62">
        <f>+GETPIVOTDATA(" Old Ast. avg",'Averages Pivot Table'!$A$3,"State","NC","Category",8,"Category2","Two-Year")</f>
        <v>0</v>
      </c>
      <c r="G381" s="130">
        <f t="shared" si="59"/>
        <v>0</v>
      </c>
      <c r="H381" s="62">
        <f>+GETPIVOTDATA(" Old Inst. avg",'Averages Pivot Table'!$A$3,"State","NC","Category",8,"Category2","Two-Year")</f>
        <v>0</v>
      </c>
      <c r="I381" s="201">
        <f t="shared" si="60"/>
        <v>0</v>
      </c>
      <c r="J381" s="62">
        <f>+GETPIVOTDATA(" Old Undesg. avg",'Averages Pivot Table'!$A$3,"State","NC","Category",8,"Category2","Two-Year")</f>
        <v>0</v>
      </c>
      <c r="K381" s="130">
        <f t="shared" si="61"/>
        <v>0</v>
      </c>
      <c r="L381" s="62">
        <f>+GETPIVOTDATA(" Old Single Rnk avg",'Averages Pivot Table'!$A$3,"State","NC","Category",8,"Category2","Two-Year")</f>
        <v>48064.402660217653</v>
      </c>
      <c r="M381" s="201">
        <f t="shared" si="62"/>
        <v>5</v>
      </c>
      <c r="N381" s="62">
        <f>+GETPIVOTDATA(" Old All Ranks avg",'Averages Pivot Table'!$A$3,"State","NC","Category",8,"Category2","Two-Year")</f>
        <v>48064.402660217653</v>
      </c>
      <c r="O381" s="201">
        <f t="shared" si="63"/>
        <v>9</v>
      </c>
    </row>
    <row r="382" spans="1:15" ht="12.95" customHeight="1">
      <c r="A382" s="12" t="s">
        <v>448</v>
      </c>
      <c r="B382" s="62">
        <f>+GETPIVOTDATA(" Old Prof avg",'Averages Pivot Table'!$A$3,"State","OK","Category",8,"Category2","Two-Year")</f>
        <v>0</v>
      </c>
      <c r="C382" s="130">
        <f t="shared" si="64"/>
        <v>0</v>
      </c>
      <c r="D382" s="62">
        <f>+GETPIVOTDATA(" Old Asc. avg",'Averages Pivot Table'!$A$3,"State","OK","Category",8,"Category2","Two-Year")</f>
        <v>0</v>
      </c>
      <c r="E382" s="130">
        <f t="shared" si="64"/>
        <v>0</v>
      </c>
      <c r="F382" s="62">
        <f>+GETPIVOTDATA(" Old Ast. avg",'Averages Pivot Table'!$A$3,"State","OK","Category",8,"Category2","Two-Year")</f>
        <v>0</v>
      </c>
      <c r="G382" s="130">
        <f t="shared" si="59"/>
        <v>0</v>
      </c>
      <c r="H382" s="62">
        <f>+GETPIVOTDATA(" Old Inst. avg",'Averages Pivot Table'!$A$3,"State","OK","Category",8,"Category2","Two-Year")</f>
        <v>0</v>
      </c>
      <c r="I382" s="201">
        <f t="shared" si="60"/>
        <v>0</v>
      </c>
      <c r="J382" s="62">
        <f>+GETPIVOTDATA(" Old Undesg. avg",'Averages Pivot Table'!$A$3,"State","OK","Category",8,"Category2","Two-Year")</f>
        <v>0</v>
      </c>
      <c r="K382" s="130">
        <f t="shared" si="61"/>
        <v>0</v>
      </c>
      <c r="L382" s="62">
        <f>+GETPIVOTDATA(" Old Single Rnk avg",'Averages Pivot Table'!$A$3,"State","OK","Category",8,"Category2","Two-Year")</f>
        <v>53778.978769506728</v>
      </c>
      <c r="M382" s="201">
        <f t="shared" si="62"/>
        <v>3</v>
      </c>
      <c r="N382" s="62">
        <f>+GETPIVOTDATA(" Old All Ranks avg",'Averages Pivot Table'!$A$3,"State","OK","Category",8,"Category2","Two-Year")</f>
        <v>53778.978769506728</v>
      </c>
      <c r="O382" s="201">
        <f t="shared" si="63"/>
        <v>5</v>
      </c>
    </row>
    <row r="383" spans="1:15" ht="12.95" customHeight="1">
      <c r="A383" s="12" t="s">
        <v>449</v>
      </c>
      <c r="B383" s="62">
        <f>+GETPIVOTDATA(" Old Prof avg",'Averages Pivot Table'!$A$3,"State","SC","Category",8,"Category2","Two-Year")</f>
        <v>0</v>
      </c>
      <c r="C383" s="130">
        <f t="shared" si="64"/>
        <v>0</v>
      </c>
      <c r="D383" s="62">
        <f>+GETPIVOTDATA(" Old Asc. avg",'Averages Pivot Table'!$A$3,"State","SC","Category",8,"Category2","Two-Year")</f>
        <v>0</v>
      </c>
      <c r="E383" s="130">
        <f t="shared" si="64"/>
        <v>0</v>
      </c>
      <c r="F383" s="62">
        <f>+GETPIVOTDATA(" Old Ast. avg",'Averages Pivot Table'!$A$3,"State","SC","Category",8,"Category2","Two-Year")</f>
        <v>0</v>
      </c>
      <c r="G383" s="130">
        <f t="shared" si="59"/>
        <v>0</v>
      </c>
      <c r="H383" s="62">
        <f>+GETPIVOTDATA(" Old Inst. avg",'Averages Pivot Table'!$A$3,"State","SC","Category",8,"Category2","Two-Year")</f>
        <v>0</v>
      </c>
      <c r="I383" s="201">
        <f t="shared" si="60"/>
        <v>0</v>
      </c>
      <c r="J383" s="62">
        <f>+GETPIVOTDATA(" Old Undesg. avg",'Averages Pivot Table'!$A$3,"State","SC","Category",8,"Category2","Two-Year")</f>
        <v>46918.906508875742</v>
      </c>
      <c r="K383" s="130">
        <f t="shared" si="61"/>
        <v>2</v>
      </c>
      <c r="L383" s="62">
        <f>+GETPIVOTDATA(" Old Single Rnk avg",'Averages Pivot Table'!$A$3,"State","SC","Category",8,"Category2","Two-Year")</f>
        <v>0</v>
      </c>
      <c r="M383" s="201">
        <f t="shared" si="62"/>
        <v>0</v>
      </c>
      <c r="N383" s="62">
        <f>+GETPIVOTDATA(" Old All Ranks avg",'Averages Pivot Table'!$A$3,"State","SC","Category",8,"Category2","Two-Year")</f>
        <v>46918.906508875742</v>
      </c>
      <c r="O383" s="201">
        <f t="shared" si="63"/>
        <v>12</v>
      </c>
    </row>
    <row r="384" spans="1:15" ht="12.95" customHeight="1">
      <c r="A384" s="12"/>
      <c r="B384" s="62"/>
      <c r="C384" s="130">
        <f t="shared" si="64"/>
        <v>0</v>
      </c>
      <c r="D384" s="62"/>
      <c r="E384" s="130">
        <f t="shared" si="64"/>
        <v>0</v>
      </c>
      <c r="F384" s="62"/>
      <c r="G384" s="130">
        <f t="shared" si="59"/>
        <v>0</v>
      </c>
      <c r="H384" s="62"/>
      <c r="I384" s="201">
        <f t="shared" si="60"/>
        <v>0</v>
      </c>
      <c r="J384" s="62"/>
      <c r="K384" s="130">
        <f t="shared" si="61"/>
        <v>0</v>
      </c>
      <c r="L384" s="62"/>
      <c r="M384" s="201">
        <f t="shared" si="62"/>
        <v>0</v>
      </c>
      <c r="N384" s="62"/>
      <c r="O384" s="201">
        <f t="shared" si="63"/>
        <v>0</v>
      </c>
    </row>
    <row r="385" spans="1:19" ht="12.95" customHeight="1">
      <c r="A385" s="12" t="s">
        <v>450</v>
      </c>
      <c r="B385" s="129">
        <f>+GETPIVOTDATA(" Old Prof avg",'Averages Pivot Table'!$A$3,"State","TN","Category",8,"Category2","Two-Year")</f>
        <v>58941.550874157307</v>
      </c>
      <c r="C385" s="130">
        <f t="shared" si="64"/>
        <v>5</v>
      </c>
      <c r="D385" s="129">
        <f>+GETPIVOTDATA(" Old Asc. avg",'Averages Pivot Table'!$A$3,"State","TN","Category",8,"Category2","Two-Year")</f>
        <v>50561.760464900661</v>
      </c>
      <c r="E385" s="130">
        <f t="shared" si="64"/>
        <v>5</v>
      </c>
      <c r="F385" s="129">
        <f>+GETPIVOTDATA(" Old Ast. avg",'Averages Pivot Table'!$A$3,"State","TN","Category",8,"Category2","Two-Year")</f>
        <v>42461.331425210083</v>
      </c>
      <c r="G385" s="130">
        <f t="shared" si="59"/>
        <v>6</v>
      </c>
      <c r="H385" s="129">
        <f>+GETPIVOTDATA(" Old Inst. avg",'Averages Pivot Table'!$A$3,"State","TN","Category",8,"Category2","Two-Year")</f>
        <v>37263.940420799998</v>
      </c>
      <c r="I385" s="201">
        <f t="shared" si="60"/>
        <v>6</v>
      </c>
      <c r="J385" s="129">
        <f>+GETPIVOTDATA(" Old Undesg. avg",'Averages Pivot Table'!$A$3,"State","TN","Category",8,"Category2","Two-Year")</f>
        <v>0</v>
      </c>
      <c r="K385" s="130">
        <f t="shared" si="61"/>
        <v>0</v>
      </c>
      <c r="L385" s="129">
        <f>+GETPIVOTDATA(" Old Single Rnk avg",'Averages Pivot Table'!$A$3,"State","TN","Category",8,"Category2","Two-Year")</f>
        <v>0</v>
      </c>
      <c r="M385" s="201">
        <f t="shared" si="62"/>
        <v>0</v>
      </c>
      <c r="N385" s="62">
        <f>+GETPIVOTDATA(" Old All Ranks avg",'Averages Pivot Table'!$A$3,"State","TN","Category",8,"Category2","Two-Year")</f>
        <v>47600.536504566924</v>
      </c>
      <c r="O385" s="201">
        <f t="shared" si="63"/>
        <v>10</v>
      </c>
    </row>
    <row r="386" spans="1:19" ht="12.95" customHeight="1">
      <c r="A386" s="12" t="s">
        <v>451</v>
      </c>
      <c r="B386" s="129">
        <f>+GETPIVOTDATA(" Old Prof avg",'Averages Pivot Table'!$A$3,"State","TX","Category",8,"Category2","Two-Year")</f>
        <v>66582.72885773913</v>
      </c>
      <c r="C386" s="130">
        <f t="shared" si="64"/>
        <v>3</v>
      </c>
      <c r="D386" s="129">
        <f>+GETPIVOTDATA(" Old Asc. avg",'Averages Pivot Table'!$A$3,"State","TX","Category",8,"Category2","Two-Year")</f>
        <v>55202.861663865551</v>
      </c>
      <c r="E386" s="130">
        <f t="shared" si="64"/>
        <v>4</v>
      </c>
      <c r="F386" s="129">
        <f>+GETPIVOTDATA(" Old Ast. avg",'Averages Pivot Table'!$A$3,"State","TX","Category",8,"Category2","Two-Year")</f>
        <v>50613.593611389522</v>
      </c>
      <c r="G386" s="130">
        <f t="shared" si="59"/>
        <v>3</v>
      </c>
      <c r="H386" s="129">
        <f>+GETPIVOTDATA(" Old Inst. avg",'Averages Pivot Table'!$A$3,"State","TX","Category",8,"Category2","Two-Year")</f>
        <v>45774.07788476596</v>
      </c>
      <c r="I386" s="201">
        <f t="shared" si="60"/>
        <v>3</v>
      </c>
      <c r="J386" s="129">
        <f>+GETPIVOTDATA(" Old Undesg. avg",'Averages Pivot Table'!$A$3,"State","TX","Category",8,"Category2","Two-Year")</f>
        <v>41507.137931034486</v>
      </c>
      <c r="K386" s="130">
        <f t="shared" si="61"/>
        <v>3</v>
      </c>
      <c r="L386" s="129">
        <f>+GETPIVOTDATA(" Old Single Rnk avg",'Averages Pivot Table'!$A$3,"State","TX","Category",8,"Category2","Two-Year")</f>
        <v>55770.090052488958</v>
      </c>
      <c r="M386" s="201">
        <f t="shared" si="62"/>
        <v>1</v>
      </c>
      <c r="N386" s="62">
        <f>+GETPIVOTDATA(" Old All Ranks avg",'Averages Pivot Table'!$A$3,"State","TX","Category",8,"Category2","Two-Year")</f>
        <v>55893.740439594279</v>
      </c>
      <c r="O386" s="201">
        <f t="shared" si="63"/>
        <v>3</v>
      </c>
    </row>
    <row r="387" spans="1:19" ht="12.95" customHeight="1">
      <c r="A387" s="12" t="s">
        <v>452</v>
      </c>
      <c r="B387" s="129">
        <f>+GETPIVOTDATA(" Old Prof avg",'Averages Pivot Table'!$A$3,"State","VA","Category",8,"Category2","Two-Year")</f>
        <v>0</v>
      </c>
      <c r="C387" s="130">
        <f t="shared" si="64"/>
        <v>0</v>
      </c>
      <c r="D387" s="129">
        <f>+GETPIVOTDATA(" Old Asc. avg",'Averages Pivot Table'!$A$3,"State","VA","Category",8,"Category2","Two-Year")</f>
        <v>0</v>
      </c>
      <c r="E387" s="130">
        <f t="shared" si="64"/>
        <v>0</v>
      </c>
      <c r="F387" s="129">
        <f>+GETPIVOTDATA(" Old Ast. avg",'Averages Pivot Table'!$A$3,"State","VA","Category",8,"Category2","Two-Year")</f>
        <v>0</v>
      </c>
      <c r="G387" s="130">
        <f t="shared" si="59"/>
        <v>0</v>
      </c>
      <c r="H387" s="129">
        <f>+GETPIVOTDATA(" Old Inst. avg",'Averages Pivot Table'!$A$3,"State","VA","Category",8,"Category2","Two-Year")</f>
        <v>0</v>
      </c>
      <c r="I387" s="201">
        <f t="shared" si="60"/>
        <v>0</v>
      </c>
      <c r="J387" s="129">
        <f>+GETPIVOTDATA(" Old Undesg. avg",'Averages Pivot Table'!$A$3,"State","VA","Category",8,"Category2","Two-Year")</f>
        <v>0</v>
      </c>
      <c r="K387" s="130">
        <f t="shared" si="61"/>
        <v>0</v>
      </c>
      <c r="L387" s="129">
        <f>+GETPIVOTDATA(" Old Single Rnk avg",'Averages Pivot Table'!$A$3,"State","VA","Category",8,"Category2","Two-Year")</f>
        <v>0</v>
      </c>
      <c r="M387" s="201">
        <f t="shared" si="62"/>
        <v>0</v>
      </c>
      <c r="N387" s="62">
        <f>+GETPIVOTDATA(" Old All Ranks avg",'Averages Pivot Table'!$A$3,"State","VA","Category",8,"Category2","Two-Year")</f>
        <v>0</v>
      </c>
      <c r="O387" s="201">
        <f t="shared" si="63"/>
        <v>0</v>
      </c>
    </row>
    <row r="388" spans="1:19" ht="12.95" customHeight="1">
      <c r="A388" s="11" t="s">
        <v>453</v>
      </c>
      <c r="B388" s="64">
        <f>+GETPIVOTDATA(" Old Prof avg",'Averages Pivot Table'!$A$3,"State","WV","Category",8,"Category2","Two-Year")</f>
        <v>0</v>
      </c>
      <c r="C388" s="65">
        <f t="shared" si="64"/>
        <v>0</v>
      </c>
      <c r="D388" s="64">
        <f>+GETPIVOTDATA(" Old Asc. avg",'Averages Pivot Table'!$A$3,"State","WV","Category",8,"Category2","Two-Year")</f>
        <v>0</v>
      </c>
      <c r="E388" s="65">
        <f t="shared" si="64"/>
        <v>0</v>
      </c>
      <c r="F388" s="64">
        <f>+GETPIVOTDATA(" Old Ast. avg",'Averages Pivot Table'!$A$3,"State","WV","Category",8,"Category2","Two-Year")</f>
        <v>0</v>
      </c>
      <c r="G388" s="65">
        <f t="shared" si="59"/>
        <v>0</v>
      </c>
      <c r="H388" s="64">
        <f>+GETPIVOTDATA(" Old Inst. avg",'Averages Pivot Table'!$A$3,"State","WV","Category",8,"Category2","Two-Year")</f>
        <v>0</v>
      </c>
      <c r="I388" s="202">
        <f t="shared" si="60"/>
        <v>0</v>
      </c>
      <c r="J388" s="64">
        <f>+GETPIVOTDATA(" Old Undesg. avg",'Averages Pivot Table'!$A$3,"State","WV","Category",8,"Category2","Two-Year")</f>
        <v>0</v>
      </c>
      <c r="K388" s="65">
        <f t="shared" si="61"/>
        <v>0</v>
      </c>
      <c r="L388" s="64">
        <f>+GETPIVOTDATA(" Old Single Rnk avg",'Averages Pivot Table'!$A$3,"State","WV","Category",8,"Category2","Two-Year")</f>
        <v>0</v>
      </c>
      <c r="M388" s="202">
        <f t="shared" si="62"/>
        <v>0</v>
      </c>
      <c r="N388" s="64">
        <f>+GETPIVOTDATA(" Old All Ranks avg",'Averages Pivot Table'!$A$3,"State","WV","Category",8,"Category2","Two-Year")</f>
        <v>0</v>
      </c>
      <c r="O388" s="202">
        <f t="shared" si="63"/>
        <v>0</v>
      </c>
    </row>
    <row r="389" spans="1:19" ht="30" customHeight="1">
      <c r="A389" s="634" t="s">
        <v>323</v>
      </c>
      <c r="B389" s="634"/>
      <c r="C389" s="634"/>
      <c r="D389" s="634"/>
      <c r="E389" s="634"/>
      <c r="F389" s="634"/>
      <c r="G389" s="634"/>
      <c r="H389" s="634"/>
      <c r="I389" s="634"/>
      <c r="J389" s="634"/>
      <c r="K389" s="634"/>
      <c r="L389" s="634"/>
      <c r="M389" s="634"/>
      <c r="N389" s="634"/>
      <c r="O389" s="634"/>
    </row>
    <row r="390" spans="1:19">
      <c r="O390" s="244" t="s">
        <v>1166</v>
      </c>
    </row>
    <row r="391" spans="1:19" ht="18">
      <c r="A391" s="618" t="s">
        <v>789</v>
      </c>
      <c r="B391" s="618"/>
      <c r="C391" s="618"/>
      <c r="D391" s="618"/>
      <c r="E391" s="618"/>
      <c r="F391" s="618"/>
      <c r="G391" s="618"/>
      <c r="H391" s="618"/>
      <c r="I391" s="618"/>
      <c r="J391" s="618"/>
      <c r="K391" s="618"/>
      <c r="L391" s="618"/>
      <c r="M391" s="618"/>
      <c r="N391" s="618"/>
      <c r="O391" s="618"/>
    </row>
    <row r="392" spans="1:19">
      <c r="A392" s="23"/>
      <c r="B392" s="5"/>
      <c r="C392" s="5"/>
      <c r="D392" s="5"/>
      <c r="E392" s="5"/>
      <c r="F392" s="5"/>
      <c r="G392" s="5"/>
      <c r="H392" s="5"/>
      <c r="I392" s="159"/>
      <c r="J392" s="5"/>
      <c r="K392" s="5"/>
      <c r="L392" s="5"/>
      <c r="M392" s="159"/>
      <c r="N392" s="5"/>
      <c r="O392" s="159"/>
    </row>
    <row r="393" spans="1:19">
      <c r="A393" s="619" t="s">
        <v>454</v>
      </c>
      <c r="B393" s="619"/>
      <c r="C393" s="619"/>
      <c r="D393" s="619"/>
      <c r="E393" s="619"/>
      <c r="F393" s="619"/>
      <c r="G393" s="619"/>
      <c r="H393" s="619"/>
      <c r="I393" s="619"/>
      <c r="J393" s="619"/>
      <c r="K393" s="619"/>
      <c r="L393" s="619"/>
      <c r="M393" s="619"/>
      <c r="N393" s="619"/>
      <c r="O393" s="619"/>
    </row>
    <row r="394" spans="1:19">
      <c r="A394" s="619" t="s">
        <v>768</v>
      </c>
      <c r="B394" s="619"/>
      <c r="C394" s="619"/>
      <c r="D394" s="619"/>
      <c r="E394" s="619"/>
      <c r="F394" s="619"/>
      <c r="G394" s="619"/>
      <c r="H394" s="619"/>
      <c r="I394" s="619"/>
      <c r="J394" s="619"/>
      <c r="K394" s="619"/>
      <c r="L394" s="619"/>
      <c r="M394" s="619"/>
      <c r="N394" s="619"/>
      <c r="O394" s="619"/>
    </row>
    <row r="395" spans="1:19">
      <c r="A395" s="12"/>
      <c r="B395" s="12"/>
      <c r="C395" s="12"/>
      <c r="D395" s="12"/>
      <c r="E395" s="12"/>
      <c r="F395" s="12"/>
      <c r="G395" s="12"/>
      <c r="H395" s="12"/>
      <c r="I395" s="215"/>
      <c r="J395" s="12"/>
      <c r="K395" s="12"/>
      <c r="L395" s="12"/>
      <c r="M395" s="215"/>
      <c r="N395" s="12"/>
      <c r="O395" s="215"/>
    </row>
    <row r="396" spans="1:19" ht="33.75" customHeight="1">
      <c r="A396" s="15"/>
      <c r="B396" s="21" t="s">
        <v>332</v>
      </c>
      <c r="C396" s="22"/>
      <c r="D396" s="141" t="s">
        <v>333</v>
      </c>
      <c r="E396" s="142"/>
      <c r="F396" s="141" t="s">
        <v>334</v>
      </c>
      <c r="G396" s="142"/>
      <c r="H396" s="21" t="s">
        <v>335</v>
      </c>
      <c r="I396" s="225"/>
      <c r="J396" s="141" t="s">
        <v>461</v>
      </c>
      <c r="K396" s="142"/>
      <c r="L396" s="22" t="s">
        <v>314</v>
      </c>
      <c r="M396" s="225"/>
      <c r="N396" s="22" t="s">
        <v>316</v>
      </c>
      <c r="O396" s="225"/>
    </row>
    <row r="397" spans="1:19">
      <c r="A397" s="16"/>
      <c r="B397" s="19" t="s">
        <v>336</v>
      </c>
      <c r="C397" s="18" t="s">
        <v>427</v>
      </c>
      <c r="D397" s="19" t="s">
        <v>336</v>
      </c>
      <c r="E397" s="18" t="s">
        <v>427</v>
      </c>
      <c r="F397" s="19" t="s">
        <v>336</v>
      </c>
      <c r="G397" s="18" t="s">
        <v>427</v>
      </c>
      <c r="H397" s="19" t="s">
        <v>336</v>
      </c>
      <c r="I397" s="226" t="s">
        <v>427</v>
      </c>
      <c r="J397" s="19" t="s">
        <v>336</v>
      </c>
      <c r="K397" s="18" t="s">
        <v>427</v>
      </c>
      <c r="L397" s="19" t="s">
        <v>336</v>
      </c>
      <c r="M397" s="226" t="s">
        <v>427</v>
      </c>
      <c r="N397" s="19" t="s">
        <v>336</v>
      </c>
      <c r="O397" s="226" t="s">
        <v>427</v>
      </c>
    </row>
    <row r="398" spans="1:19" s="156" customFormat="1" ht="18" customHeight="1">
      <c r="A398" s="168" t="s">
        <v>456</v>
      </c>
      <c r="B398" s="172">
        <f>+GETPIVOTDATA(" Old Prof avg",'Averages Pivot Table'!$A$3,"Category",9,"Category2","Two-Year")</f>
        <v>62949.564466431664</v>
      </c>
      <c r="C398" s="172"/>
      <c r="D398" s="172">
        <f>+GETPIVOTDATA(" Old Asc. avg",'Averages Pivot Table'!$A$3,"Category",9,"Category2","Two-Year")</f>
        <v>51425.405268907074</v>
      </c>
      <c r="E398" s="172"/>
      <c r="F398" s="172">
        <f>+GETPIVOTDATA(" Old Ast. avg",'Averages Pivot Table'!$A$3,"Category",9,"Category2","Two-Year")</f>
        <v>46821.797334909716</v>
      </c>
      <c r="G398" s="172"/>
      <c r="H398" s="172">
        <f>+GETPIVOTDATA(" Old Inst. avg",'Averages Pivot Table'!$A$3,"Category",9,"Category2","Two-Year")</f>
        <v>39578.267232676058</v>
      </c>
      <c r="I398" s="229"/>
      <c r="J398" s="172">
        <f>+GETPIVOTDATA(" Old Undesg. avg",'Averages Pivot Table'!$A$3,"Category",9,"Category2","Two-Year")</f>
        <v>45953.639146792848</v>
      </c>
      <c r="K398" s="172"/>
      <c r="L398" s="172">
        <f>+GETPIVOTDATA(" Old Single Rnk avg",'Averages Pivot Table'!$A$3,"Category",9,"Category2","Two-Year")</f>
        <v>49732.917677513957</v>
      </c>
      <c r="M398" s="229"/>
      <c r="N398" s="172">
        <f>+GETPIVOTDATA(" Old All Ranks avg",'Averages Pivot Table'!$A$3,"Category",9,"Category2","Two-Year")</f>
        <v>49354.562347030609</v>
      </c>
      <c r="O398" s="216"/>
      <c r="Q398" s="193"/>
      <c r="R398" s="193"/>
      <c r="S398" s="193"/>
    </row>
    <row r="399" spans="1:19" ht="12.95" customHeight="1">
      <c r="A399" s="12"/>
      <c r="B399" s="9"/>
      <c r="C399" s="17"/>
      <c r="D399" s="9"/>
      <c r="E399" s="17"/>
      <c r="F399" s="9"/>
      <c r="G399" s="17"/>
      <c r="H399" s="9"/>
      <c r="I399" s="233"/>
      <c r="J399" s="9"/>
      <c r="K399" s="17"/>
      <c r="L399" s="9"/>
      <c r="M399" s="233"/>
      <c r="N399" s="9"/>
      <c r="O399" s="217"/>
    </row>
    <row r="400" spans="1:19" ht="12.95" customHeight="1">
      <c r="A400" s="12" t="s">
        <v>439</v>
      </c>
      <c r="B400" s="62">
        <f>+GETPIVOTDATA(" Old Prof avg",'Averages Pivot Table'!$A$3,"State","AL","Category",9,"Category2","Two-Year")</f>
        <v>0</v>
      </c>
      <c r="C400" s="130">
        <f>IF(B400&gt;0,(RANK(B400,B$400:B$418)),0)</f>
        <v>0</v>
      </c>
      <c r="D400" s="62">
        <f>+GETPIVOTDATA(" Old Asc. avg",'Averages Pivot Table'!$A$3,"State","AL","Category",9,"Category2","Two-Year")</f>
        <v>0</v>
      </c>
      <c r="E400" s="130">
        <f>IF(D400&gt;0,(RANK(D400,D$400:D$418)),0)</f>
        <v>0</v>
      </c>
      <c r="F400" s="62">
        <f>+GETPIVOTDATA(" Old Ast. avg",'Averages Pivot Table'!$A$3,"State","AL","Category",9,"Category2","Two-Year")</f>
        <v>0</v>
      </c>
      <c r="G400" s="130">
        <f t="shared" ref="G400:G418" si="65">IF(F400&gt;0,(RANK(F400,F$400:F$418)),0)</f>
        <v>0</v>
      </c>
      <c r="H400" s="62">
        <f>+GETPIVOTDATA(" Old Inst. avg",'Averages Pivot Table'!$A$3,"State","AL","Category",9,"Category2","Two-Year")</f>
        <v>0</v>
      </c>
      <c r="I400" s="201">
        <f t="shared" ref="I400:I418" si="66">IF(H400&gt;0,(RANK(H400,H$400:H$418)),0)</f>
        <v>0</v>
      </c>
      <c r="J400" s="62">
        <f>+GETPIVOTDATA(" Old Undesg. avg",'Averages Pivot Table'!$A$3,"State","AL","Category",9,"Category2","Two-Year")</f>
        <v>0</v>
      </c>
      <c r="K400" s="130">
        <f t="shared" ref="K400:K418" si="67">IF(J400&gt;0,(RANK(J400,J$400:J$418)),0)</f>
        <v>0</v>
      </c>
      <c r="L400" s="62">
        <f>+GETPIVOTDATA(" Old Single Rnk avg",'Averages Pivot Table'!$A$3,"State","AL","Category",9,"Category2","Two-Year")</f>
        <v>53584.435250413982</v>
      </c>
      <c r="M400" s="201">
        <f t="shared" ref="M400:M418" si="68">IF(L400&gt;0,(RANK(L400,L$400:L$418)),0)</f>
        <v>2</v>
      </c>
      <c r="N400" s="62">
        <f>+GETPIVOTDATA(" Old All Ranks avg",'Averages Pivot Table'!$A$3,"State","AL","Category",9,"Category2","Two-Year")</f>
        <v>53584.435250413982</v>
      </c>
      <c r="O400" s="201">
        <f t="shared" ref="O400:O418" si="69">IF(N400&gt;0,(RANK(N400,N$400:N$418)),0)</f>
        <v>3</v>
      </c>
    </row>
    <row r="401" spans="1:15" ht="12.95" customHeight="1">
      <c r="A401" s="12" t="s">
        <v>440</v>
      </c>
      <c r="B401" s="62">
        <f>+GETPIVOTDATA(" Old Prof avg",'Averages Pivot Table'!$A$3,"State","AR","Category",9,"Category2","Two-Year")</f>
        <v>56095.540760000004</v>
      </c>
      <c r="C401" s="130">
        <f t="shared" ref="C401:E418" si="70">IF(B401&gt;0,(RANK(B401,B$400:B$418)),0)</f>
        <v>6</v>
      </c>
      <c r="D401" s="62">
        <f>+GETPIVOTDATA(" Old Asc. avg",'Averages Pivot Table'!$A$3,"State","AR","Category",9,"Category2","Two-Year")</f>
        <v>55361.756099999999</v>
      </c>
      <c r="E401" s="130">
        <f t="shared" si="70"/>
        <v>2</v>
      </c>
      <c r="F401" s="62">
        <f>+GETPIVOTDATA(" Old Ast. avg",'Averages Pivot Table'!$A$3,"State","AR","Category",9,"Category2","Two-Year")</f>
        <v>45883.24435135135</v>
      </c>
      <c r="G401" s="130">
        <f t="shared" si="65"/>
        <v>3</v>
      </c>
      <c r="H401" s="62">
        <f>+GETPIVOTDATA(" Old Inst. avg",'Averages Pivot Table'!$A$3,"State","AR","Category",9,"Category2","Two-Year")</f>
        <v>40016.91117428572</v>
      </c>
      <c r="I401" s="201">
        <f t="shared" si="66"/>
        <v>4</v>
      </c>
      <c r="J401" s="62">
        <f>+GETPIVOTDATA(" Old Undesg. avg",'Averages Pivot Table'!$A$3,"State","AR","Category",9,"Category2","Two-Year")</f>
        <v>0</v>
      </c>
      <c r="K401" s="130">
        <f t="shared" si="67"/>
        <v>0</v>
      </c>
      <c r="L401" s="62">
        <f>+GETPIVOTDATA(" Old Single Rnk avg",'Averages Pivot Table'!$A$3,"State","AR","Category",9,"Category2","Two-Year")</f>
        <v>48153.877058035709</v>
      </c>
      <c r="M401" s="201">
        <f t="shared" si="68"/>
        <v>5</v>
      </c>
      <c r="N401" s="62">
        <f>+GETPIVOTDATA(" Old All Ranks avg",'Averages Pivot Table'!$A$3,"State","AR","Category",9,"Category2","Two-Year")</f>
        <v>46587.940893063584</v>
      </c>
      <c r="O401" s="201">
        <f t="shared" si="69"/>
        <v>10</v>
      </c>
    </row>
    <row r="402" spans="1:15" ht="12.95" customHeight="1">
      <c r="A402" s="12" t="s">
        <v>455</v>
      </c>
      <c r="B402" s="62">
        <f>+GETPIVOTDATA(" Old Prof avg",'Averages Pivot Table'!$A$3,"State","DE","Category",9,"Category2","Two-Year")</f>
        <v>0</v>
      </c>
      <c r="C402" s="130">
        <f t="shared" si="70"/>
        <v>0</v>
      </c>
      <c r="D402" s="62">
        <f>+GETPIVOTDATA(" Old Asc. avg",'Averages Pivot Table'!$A$3,"State","DE","Category",9,"Category2","Two-Year")</f>
        <v>0</v>
      </c>
      <c r="E402" s="130">
        <f t="shared" si="70"/>
        <v>0</v>
      </c>
      <c r="F402" s="62">
        <f>+GETPIVOTDATA(" Old Ast. avg",'Averages Pivot Table'!$A$3,"State","DE","Category",9,"Category2","Two-Year")</f>
        <v>0</v>
      </c>
      <c r="G402" s="130">
        <f t="shared" si="65"/>
        <v>0</v>
      </c>
      <c r="H402" s="62">
        <f>+GETPIVOTDATA(" Old Inst. avg",'Averages Pivot Table'!$A$3,"State","DE","Category",9,"Category2","Two-Year")</f>
        <v>0</v>
      </c>
      <c r="I402" s="201">
        <f t="shared" si="66"/>
        <v>0</v>
      </c>
      <c r="J402" s="62">
        <f>+GETPIVOTDATA(" Old Undesg. avg",'Averages Pivot Table'!$A$3,"State","DE","Category",9,"Category2","Two-Year")</f>
        <v>0</v>
      </c>
      <c r="K402" s="130">
        <f t="shared" si="67"/>
        <v>0</v>
      </c>
      <c r="L402" s="62">
        <f>+GETPIVOTDATA(" Old Single Rnk avg",'Averages Pivot Table'!$A$3,"State","DE","Category",9,"Category2","Two-Year")</f>
        <v>62869.172308474575</v>
      </c>
      <c r="M402" s="201">
        <f t="shared" si="68"/>
        <v>1</v>
      </c>
      <c r="N402" s="62">
        <f>+GETPIVOTDATA(" Old All Ranks avg",'Averages Pivot Table'!$A$3,"State","DE","Category",9,"Category2","Two-Year")</f>
        <v>62869.172308474575</v>
      </c>
      <c r="O402" s="201">
        <f t="shared" si="69"/>
        <v>1</v>
      </c>
    </row>
    <row r="403" spans="1:15" ht="12.95" customHeight="1">
      <c r="A403" s="12" t="s">
        <v>441</v>
      </c>
      <c r="B403" s="62">
        <f>+GETPIVOTDATA(" Old Prof avg",'Averages Pivot Table'!$A$3,"State","FL","Category",9,"Category2","Two-Year")</f>
        <v>0</v>
      </c>
      <c r="C403" s="130">
        <f t="shared" si="70"/>
        <v>0</v>
      </c>
      <c r="D403" s="62">
        <f>+GETPIVOTDATA(" Old Asc. avg",'Averages Pivot Table'!$A$3,"State","FL","Category",9,"Category2","Two-Year")</f>
        <v>0</v>
      </c>
      <c r="E403" s="130">
        <f t="shared" si="70"/>
        <v>0</v>
      </c>
      <c r="F403" s="62">
        <f>+GETPIVOTDATA(" Old Ast. avg",'Averages Pivot Table'!$A$3,"State","FL","Category",9,"Category2","Two-Year")</f>
        <v>0</v>
      </c>
      <c r="G403" s="130">
        <f t="shared" si="65"/>
        <v>0</v>
      </c>
      <c r="H403" s="62">
        <f>+GETPIVOTDATA(" Old Inst. avg",'Averages Pivot Table'!$A$3,"State","FL","Category",9,"Category2","Two-Year")</f>
        <v>0</v>
      </c>
      <c r="I403" s="201">
        <f t="shared" si="66"/>
        <v>0</v>
      </c>
      <c r="J403" s="62">
        <f>+GETPIVOTDATA(" Old Undesg. avg",'Averages Pivot Table'!$A$3,"State","FL","Category",9,"Category2","Two-Year")</f>
        <v>0</v>
      </c>
      <c r="K403" s="130">
        <f t="shared" si="67"/>
        <v>0</v>
      </c>
      <c r="L403" s="62">
        <f>+GETPIVOTDATA(" Old Single Rnk avg",'Averages Pivot Table'!$A$3,"State","FL","Category",9,"Category2","Two-Year")</f>
        <v>46253.260047281321</v>
      </c>
      <c r="M403" s="201">
        <f t="shared" si="68"/>
        <v>8</v>
      </c>
      <c r="N403" s="62">
        <f>+GETPIVOTDATA(" Old All Ranks avg",'Averages Pivot Table'!$A$3,"State","FL","Category",9,"Category2","Two-Year")</f>
        <v>46253.260047281321</v>
      </c>
      <c r="O403" s="201">
        <f t="shared" si="69"/>
        <v>12</v>
      </c>
    </row>
    <row r="404" spans="1:15" ht="12.95" customHeight="1">
      <c r="A404" s="12"/>
      <c r="B404" s="62"/>
      <c r="C404" s="130">
        <f t="shared" si="70"/>
        <v>0</v>
      </c>
      <c r="D404" s="62"/>
      <c r="E404" s="130">
        <f t="shared" si="70"/>
        <v>0</v>
      </c>
      <c r="F404" s="62"/>
      <c r="G404" s="130">
        <f t="shared" si="65"/>
        <v>0</v>
      </c>
      <c r="H404" s="62"/>
      <c r="I404" s="201">
        <f t="shared" si="66"/>
        <v>0</v>
      </c>
      <c r="J404" s="62"/>
      <c r="K404" s="130">
        <f t="shared" si="67"/>
        <v>0</v>
      </c>
      <c r="L404" s="62"/>
      <c r="M404" s="201">
        <f t="shared" si="68"/>
        <v>0</v>
      </c>
      <c r="N404" s="62"/>
      <c r="O404" s="201">
        <f t="shared" si="69"/>
        <v>0</v>
      </c>
    </row>
    <row r="405" spans="1:15" ht="12.95" customHeight="1">
      <c r="A405" s="12" t="s">
        <v>442</v>
      </c>
      <c r="B405" s="62">
        <f>+GETPIVOTDATA(" Old Prof avg",'Averages Pivot Table'!$A$3,"State","GA","Category",9,"Category2","Two-Year")</f>
        <v>60534.196318518523</v>
      </c>
      <c r="C405" s="130">
        <f t="shared" si="70"/>
        <v>3</v>
      </c>
      <c r="D405" s="62">
        <f>+GETPIVOTDATA(" Old Asc. avg",'Averages Pivot Table'!$A$3,"State","GA","Category",9,"Category2","Two-Year")</f>
        <v>51637.044510958905</v>
      </c>
      <c r="E405" s="130">
        <f t="shared" si="70"/>
        <v>4</v>
      </c>
      <c r="F405" s="62">
        <f>+GETPIVOTDATA(" Old Ast. avg",'Averages Pivot Table'!$A$3,"State","GA","Category",9,"Category2","Two-Year")</f>
        <v>45388.898852173916</v>
      </c>
      <c r="G405" s="130">
        <f t="shared" si="65"/>
        <v>4</v>
      </c>
      <c r="H405" s="62">
        <f>+GETPIVOTDATA(" Old Inst. avg",'Averages Pivot Table'!$A$3,"State","GA","Category",9,"Category2","Two-Year")</f>
        <v>40975.250496551722</v>
      </c>
      <c r="I405" s="201">
        <f t="shared" si="66"/>
        <v>2</v>
      </c>
      <c r="J405" s="62">
        <f>+GETPIVOTDATA(" Old Undesg. avg",'Averages Pivot Table'!$A$3,"State","GA","Category",9,"Category2","Two-Year")</f>
        <v>42012.777699999999</v>
      </c>
      <c r="K405" s="130">
        <f t="shared" si="67"/>
        <v>3</v>
      </c>
      <c r="L405" s="62">
        <f>+GETPIVOTDATA(" Old Single Rnk avg",'Averages Pivot Table'!$A$3,"State","GA","Category",9,"Category2","Two-Year")</f>
        <v>0</v>
      </c>
      <c r="M405" s="201">
        <f t="shared" si="68"/>
        <v>0</v>
      </c>
      <c r="N405" s="62">
        <f>+GETPIVOTDATA(" Old All Ranks avg",'Averages Pivot Table'!$A$3,"State","GA","Category",9,"Category2","Two-Year")</f>
        <v>47119.135242014388</v>
      </c>
      <c r="O405" s="201">
        <f t="shared" si="69"/>
        <v>8</v>
      </c>
    </row>
    <row r="406" spans="1:15" ht="12.95" customHeight="1">
      <c r="A406" s="12" t="s">
        <v>443</v>
      </c>
      <c r="B406" s="62">
        <f>+GETPIVOTDATA(" Old Prof avg",'Averages Pivot Table'!$A$3,"State","KY","Category",9,"Category2","Two-Year")</f>
        <v>58557.388679551819</v>
      </c>
      <c r="C406" s="130">
        <f t="shared" si="70"/>
        <v>4</v>
      </c>
      <c r="D406" s="62">
        <f>+GETPIVOTDATA(" Old Asc. avg",'Averages Pivot Table'!$A$3,"State","KY","Category",9,"Category2","Two-Year")</f>
        <v>47126.719240924089</v>
      </c>
      <c r="E406" s="130">
        <f t="shared" si="70"/>
        <v>7</v>
      </c>
      <c r="F406" s="62">
        <f>+GETPIVOTDATA(" Old Ast. avg",'Averages Pivot Table'!$A$3,"State","KY","Category",9,"Category2","Two-Year")</f>
        <v>41209.789642465752</v>
      </c>
      <c r="G406" s="130">
        <f t="shared" si="65"/>
        <v>7</v>
      </c>
      <c r="H406" s="62">
        <f>+GETPIVOTDATA(" Old Inst. avg",'Averages Pivot Table'!$A$3,"State","KY","Category",9,"Category2","Two-Year")</f>
        <v>36533.110205208337</v>
      </c>
      <c r="I406" s="201">
        <f t="shared" si="66"/>
        <v>7</v>
      </c>
      <c r="J406" s="62">
        <f>+GETPIVOTDATA(" Old Undesg. avg",'Averages Pivot Table'!$A$3,"State","KY","Category",9,"Category2","Two-Year")</f>
        <v>0</v>
      </c>
      <c r="K406" s="130">
        <f t="shared" si="67"/>
        <v>0</v>
      </c>
      <c r="L406" s="62">
        <f>+GETPIVOTDATA(" Old Single Rnk avg",'Averages Pivot Table'!$A$3,"State","KY","Category",9,"Category2","Two-Year")</f>
        <v>0</v>
      </c>
      <c r="M406" s="201">
        <f t="shared" si="68"/>
        <v>0</v>
      </c>
      <c r="N406" s="62">
        <f>+GETPIVOTDATA(" Old All Ranks avg",'Averages Pivot Table'!$A$3,"State","KY","Category",9,"Category2","Two-Year")</f>
        <v>48311.994124048098</v>
      </c>
      <c r="O406" s="201">
        <f t="shared" si="69"/>
        <v>6</v>
      </c>
    </row>
    <row r="407" spans="1:15" ht="12.95" customHeight="1">
      <c r="A407" s="12" t="s">
        <v>444</v>
      </c>
      <c r="B407" s="62">
        <f>+GETPIVOTDATA(" Old Prof avg",'Averages Pivot Table'!$A$3,"State","LA","Category",9,"Category2","Two-Year")</f>
        <v>57372.367025000007</v>
      </c>
      <c r="C407" s="130">
        <f t="shared" si="70"/>
        <v>5</v>
      </c>
      <c r="D407" s="62">
        <f>+GETPIVOTDATA(" Old Asc. avg",'Averages Pivot Table'!$A$3,"State","LA","Category",9,"Category2","Two-Year")</f>
        <v>51794.11448444445</v>
      </c>
      <c r="E407" s="130">
        <f t="shared" si="70"/>
        <v>3</v>
      </c>
      <c r="F407" s="62">
        <f>+GETPIVOTDATA(" Old Ast. avg",'Averages Pivot Table'!$A$3,"State","LA","Category",9,"Category2","Two-Year")</f>
        <v>44619.205700000006</v>
      </c>
      <c r="G407" s="130">
        <f t="shared" si="65"/>
        <v>5</v>
      </c>
      <c r="H407" s="62">
        <f>+GETPIVOTDATA(" Old Inst. avg",'Averages Pivot Table'!$A$3,"State","LA","Category",9,"Category2","Two-Year")</f>
        <v>38298.051279629632</v>
      </c>
      <c r="I407" s="201">
        <f t="shared" si="66"/>
        <v>5</v>
      </c>
      <c r="J407" s="62">
        <f>+GETPIVOTDATA(" Old Undesg. avg",'Averages Pivot Table'!$A$3,"State","LA","Category",9,"Category2","Two-Year")</f>
        <v>0</v>
      </c>
      <c r="K407" s="130">
        <f t="shared" si="67"/>
        <v>0</v>
      </c>
      <c r="L407" s="62">
        <f>+GETPIVOTDATA(" Old Single Rnk avg",'Averages Pivot Table'!$A$3,"State","LA","Category",9,"Category2","Two-Year")</f>
        <v>0</v>
      </c>
      <c r="M407" s="201">
        <f t="shared" si="68"/>
        <v>0</v>
      </c>
      <c r="N407" s="62">
        <f>+GETPIVOTDATA(" Old All Ranks avg",'Averages Pivot Table'!$A$3,"State","LA","Category",9,"Category2","Two-Year")</f>
        <v>44371.565560368668</v>
      </c>
      <c r="O407" s="201">
        <f t="shared" si="69"/>
        <v>14</v>
      </c>
    </row>
    <row r="408" spans="1:15" ht="12.95" customHeight="1">
      <c r="A408" s="12" t="s">
        <v>445</v>
      </c>
      <c r="B408" s="62">
        <f>+GETPIVOTDATA(" Old Prof avg",'Averages Pivot Table'!$A$3,"State","MD","Category",9,"Category2","Two-Year")</f>
        <v>77866.660438611929</v>
      </c>
      <c r="C408" s="130">
        <f t="shared" si="70"/>
        <v>1</v>
      </c>
      <c r="D408" s="62">
        <f>+GETPIVOTDATA(" Old Asc. avg",'Averages Pivot Table'!$A$3,"State","MD","Category",9,"Category2","Two-Year")</f>
        <v>62645.89064668303</v>
      </c>
      <c r="E408" s="130">
        <f t="shared" si="70"/>
        <v>1</v>
      </c>
      <c r="F408" s="62">
        <f>+GETPIVOTDATA(" Old Ast. avg",'Averages Pivot Table'!$A$3,"State","MD","Category",9,"Category2","Two-Year")</f>
        <v>54578.17568291926</v>
      </c>
      <c r="G408" s="130">
        <f t="shared" si="65"/>
        <v>1</v>
      </c>
      <c r="H408" s="62">
        <f>+GETPIVOTDATA(" Old Inst. avg",'Averages Pivot Table'!$A$3,"State","MD","Category",9,"Category2","Two-Year")</f>
        <v>46111.739542857147</v>
      </c>
      <c r="I408" s="201">
        <f t="shared" si="66"/>
        <v>1</v>
      </c>
      <c r="J408" s="62">
        <f>+GETPIVOTDATA(" Old Undesg. avg",'Averages Pivot Table'!$A$3,"State","MD","Category",9,"Category2","Two-Year")</f>
        <v>47263.199999999997</v>
      </c>
      <c r="K408" s="130">
        <f t="shared" si="67"/>
        <v>1</v>
      </c>
      <c r="L408" s="62">
        <f>+GETPIVOTDATA(" Old Single Rnk avg",'Averages Pivot Table'!$A$3,"State","MD","Category",9,"Category2","Two-Year")</f>
        <v>0</v>
      </c>
      <c r="M408" s="201">
        <f t="shared" si="68"/>
        <v>0</v>
      </c>
      <c r="N408" s="62">
        <f>+GETPIVOTDATA(" Old All Ranks avg",'Averages Pivot Table'!$A$3,"State","MD","Category",9,"Category2","Two-Year")</f>
        <v>62574.229972057416</v>
      </c>
      <c r="O408" s="201">
        <f t="shared" si="69"/>
        <v>2</v>
      </c>
    </row>
    <row r="409" spans="1:15" ht="12.95" customHeight="1">
      <c r="A409" s="12"/>
      <c r="B409" s="62"/>
      <c r="C409" s="130">
        <f t="shared" si="70"/>
        <v>0</v>
      </c>
      <c r="D409" s="62"/>
      <c r="E409" s="130">
        <f t="shared" si="70"/>
        <v>0</v>
      </c>
      <c r="F409" s="62"/>
      <c r="G409" s="130">
        <f t="shared" si="65"/>
        <v>0</v>
      </c>
      <c r="H409" s="62"/>
      <c r="I409" s="201">
        <f t="shared" si="66"/>
        <v>0</v>
      </c>
      <c r="J409" s="62"/>
      <c r="K409" s="130">
        <f t="shared" si="67"/>
        <v>0</v>
      </c>
      <c r="L409" s="62"/>
      <c r="M409" s="201">
        <f t="shared" si="68"/>
        <v>0</v>
      </c>
      <c r="N409" s="62"/>
      <c r="O409" s="201">
        <f t="shared" si="69"/>
        <v>0</v>
      </c>
    </row>
    <row r="410" spans="1:15" ht="12.95" customHeight="1">
      <c r="A410" s="12" t="s">
        <v>446</v>
      </c>
      <c r="B410" s="62">
        <f>+GETPIVOTDATA(" Old Prof avg",'Averages Pivot Table'!$A$3,"State","MS","Category",9,"Category2","Two-Year")</f>
        <v>0</v>
      </c>
      <c r="C410" s="130">
        <f t="shared" si="70"/>
        <v>0</v>
      </c>
      <c r="D410" s="62">
        <f>+GETPIVOTDATA(" Old Asc. avg",'Averages Pivot Table'!$A$3,"State","MS","Category",9,"Category2","Two-Year")</f>
        <v>0</v>
      </c>
      <c r="E410" s="130">
        <f t="shared" si="70"/>
        <v>0</v>
      </c>
      <c r="F410" s="62">
        <f>+GETPIVOTDATA(" Old Ast. avg",'Averages Pivot Table'!$A$3,"State","MS","Category",9,"Category2","Two-Year")</f>
        <v>0</v>
      </c>
      <c r="G410" s="130">
        <f t="shared" si="65"/>
        <v>0</v>
      </c>
      <c r="H410" s="62">
        <f>+GETPIVOTDATA(" Old Inst. avg",'Averages Pivot Table'!$A$3,"State","MS","Category",9,"Category2","Two-Year")</f>
        <v>0</v>
      </c>
      <c r="I410" s="201">
        <f t="shared" si="66"/>
        <v>0</v>
      </c>
      <c r="J410" s="62">
        <f>+GETPIVOTDATA(" Old Undesg. avg",'Averages Pivot Table'!$A$3,"State","MS","Category",9,"Category2","Two-Year")</f>
        <v>0</v>
      </c>
      <c r="K410" s="130">
        <f t="shared" si="67"/>
        <v>0</v>
      </c>
      <c r="L410" s="62">
        <f>+GETPIVOTDATA(" Old Single Rnk avg",'Averages Pivot Table'!$A$3,"State","MS","Category",9,"Category2","Two-Year")</f>
        <v>50283.487044301211</v>
      </c>
      <c r="M410" s="201">
        <f t="shared" si="68"/>
        <v>3</v>
      </c>
      <c r="N410" s="62">
        <f>+GETPIVOTDATA(" Old All Ranks avg",'Averages Pivot Table'!$A$3,"State","MS","Category",9,"Category2","Two-Year")</f>
        <v>50283.487044301211</v>
      </c>
      <c r="O410" s="201">
        <f t="shared" si="69"/>
        <v>4</v>
      </c>
    </row>
    <row r="411" spans="1:15" ht="12.95" customHeight="1">
      <c r="A411" s="12" t="s">
        <v>447</v>
      </c>
      <c r="B411" s="62">
        <f>+GETPIVOTDATA(" Old Prof avg",'Averages Pivot Table'!$A$3,"State","NC","Category",9,"Category2","Two-Year")</f>
        <v>0</v>
      </c>
      <c r="C411" s="130">
        <f t="shared" si="70"/>
        <v>0</v>
      </c>
      <c r="D411" s="62">
        <f>+GETPIVOTDATA(" Old Asc. avg",'Averages Pivot Table'!$A$3,"State","NC","Category",9,"Category2","Two-Year")</f>
        <v>0</v>
      </c>
      <c r="E411" s="130">
        <f t="shared" si="70"/>
        <v>0</v>
      </c>
      <c r="F411" s="62">
        <f>+GETPIVOTDATA(" Old Ast. avg",'Averages Pivot Table'!$A$3,"State","NC","Category",9,"Category2","Two-Year")</f>
        <v>0</v>
      </c>
      <c r="G411" s="130">
        <f t="shared" si="65"/>
        <v>0</v>
      </c>
      <c r="H411" s="62">
        <f>+GETPIVOTDATA(" Old Inst. avg",'Averages Pivot Table'!$A$3,"State","NC","Category",9,"Category2","Two-Year")</f>
        <v>0</v>
      </c>
      <c r="I411" s="201">
        <f t="shared" si="66"/>
        <v>0</v>
      </c>
      <c r="J411" s="62">
        <f>+GETPIVOTDATA(" Old Undesg. avg",'Averages Pivot Table'!$A$3,"State","NC","Category",9,"Category2","Two-Year")</f>
        <v>0</v>
      </c>
      <c r="K411" s="130">
        <f t="shared" si="67"/>
        <v>0</v>
      </c>
      <c r="L411" s="62">
        <f>+GETPIVOTDATA(" Old Single Rnk avg",'Averages Pivot Table'!$A$3,"State","NC","Category",9,"Category2","Two-Year")</f>
        <v>47077.458747135221</v>
      </c>
      <c r="M411" s="201">
        <f t="shared" si="68"/>
        <v>7</v>
      </c>
      <c r="N411" s="62">
        <f>+GETPIVOTDATA(" Old All Ranks avg",'Averages Pivot Table'!$A$3,"State","NC","Category",9,"Category2","Two-Year")</f>
        <v>47077.458747135221</v>
      </c>
      <c r="O411" s="201">
        <f t="shared" si="69"/>
        <v>9</v>
      </c>
    </row>
    <row r="412" spans="1:15" ht="12.95" customHeight="1">
      <c r="A412" s="12" t="s">
        <v>448</v>
      </c>
      <c r="B412" s="62">
        <f>+GETPIVOTDATA(" Old Prof avg",'Averages Pivot Table'!$A$3,"State","OK","Category",9,"Category2","Two-Year")</f>
        <v>0</v>
      </c>
      <c r="C412" s="130">
        <f t="shared" si="70"/>
        <v>0</v>
      </c>
      <c r="D412" s="62">
        <f>+GETPIVOTDATA(" Old Asc. avg",'Averages Pivot Table'!$A$3,"State","OK","Category",9,"Category2","Two-Year")</f>
        <v>0</v>
      </c>
      <c r="E412" s="130">
        <f t="shared" si="70"/>
        <v>0</v>
      </c>
      <c r="F412" s="62">
        <f>+GETPIVOTDATA(" Old Ast. avg",'Averages Pivot Table'!$A$3,"State","OK","Category",9,"Category2","Two-Year")</f>
        <v>0</v>
      </c>
      <c r="G412" s="130">
        <f t="shared" si="65"/>
        <v>0</v>
      </c>
      <c r="H412" s="62">
        <f>+GETPIVOTDATA(" Old Inst. avg",'Averages Pivot Table'!$A$3,"State","OK","Category",9,"Category2","Two-Year")</f>
        <v>0</v>
      </c>
      <c r="I412" s="201">
        <f t="shared" si="66"/>
        <v>0</v>
      </c>
      <c r="J412" s="62">
        <f>+GETPIVOTDATA(" Old Undesg. avg",'Averages Pivot Table'!$A$3,"State","OK","Category",9,"Category2","Two-Year")</f>
        <v>0</v>
      </c>
      <c r="K412" s="130">
        <f t="shared" si="67"/>
        <v>0</v>
      </c>
      <c r="L412" s="62">
        <f>+GETPIVOTDATA(" Old Single Rnk avg",'Averages Pivot Table'!$A$3,"State","OK","Category",9,"Category2","Two-Year")</f>
        <v>47479.820051999995</v>
      </c>
      <c r="M412" s="201">
        <f t="shared" si="68"/>
        <v>6</v>
      </c>
      <c r="N412" s="62">
        <f>+GETPIVOTDATA(" Old All Ranks avg",'Averages Pivot Table'!$A$3,"State","OK","Category",9,"Category2","Two-Year")</f>
        <v>47479.820051999995</v>
      </c>
      <c r="O412" s="201">
        <f t="shared" si="69"/>
        <v>7</v>
      </c>
    </row>
    <row r="413" spans="1:15" ht="12.95" customHeight="1">
      <c r="A413" s="12" t="s">
        <v>449</v>
      </c>
      <c r="B413" s="62">
        <f>+GETPIVOTDATA(" Old Prof avg",'Averages Pivot Table'!$A$3,"State","SC","Category",9,"Category2","Two-Year")</f>
        <v>0</v>
      </c>
      <c r="C413" s="130">
        <f t="shared" si="70"/>
        <v>0</v>
      </c>
      <c r="D413" s="62">
        <f>+GETPIVOTDATA(" Old Asc. avg",'Averages Pivot Table'!$A$3,"State","SC","Category",9,"Category2","Two-Year")</f>
        <v>0</v>
      </c>
      <c r="E413" s="130">
        <f t="shared" si="70"/>
        <v>0</v>
      </c>
      <c r="F413" s="62">
        <f>+GETPIVOTDATA(" Old Ast. avg",'Averages Pivot Table'!$A$3,"State","SC","Category",9,"Category2","Two-Year")</f>
        <v>0</v>
      </c>
      <c r="G413" s="130">
        <f t="shared" si="65"/>
        <v>0</v>
      </c>
      <c r="H413" s="62">
        <f>+GETPIVOTDATA(" Old Inst. avg",'Averages Pivot Table'!$A$3,"State","SC","Category",9,"Category2","Two-Year")</f>
        <v>0</v>
      </c>
      <c r="I413" s="201">
        <f t="shared" si="66"/>
        <v>0</v>
      </c>
      <c r="J413" s="62">
        <f>+GETPIVOTDATA(" Old Undesg. avg",'Averages Pivot Table'!$A$3,"State","SC","Category",9,"Category2","Two-Year")</f>
        <v>46189.096008629989</v>
      </c>
      <c r="K413" s="130">
        <f t="shared" si="67"/>
        <v>2</v>
      </c>
      <c r="L413" s="62">
        <f>+GETPIVOTDATA(" Old Single Rnk avg",'Averages Pivot Table'!$A$3,"State","SC","Category",9,"Category2","Two-Year")</f>
        <v>0</v>
      </c>
      <c r="M413" s="201">
        <f t="shared" si="68"/>
        <v>0</v>
      </c>
      <c r="N413" s="62">
        <f>+GETPIVOTDATA(" Old All Ranks avg",'Averages Pivot Table'!$A$3,"State","SC","Category",9,"Category2","Two-Year")</f>
        <v>46189.096008629989</v>
      </c>
      <c r="O413" s="201">
        <f t="shared" si="69"/>
        <v>13</v>
      </c>
    </row>
    <row r="414" spans="1:15" ht="12.95" customHeight="1">
      <c r="A414" s="12"/>
      <c r="B414" s="62"/>
      <c r="C414" s="130">
        <f t="shared" si="70"/>
        <v>0</v>
      </c>
      <c r="D414" s="62"/>
      <c r="E414" s="130">
        <f t="shared" si="70"/>
        <v>0</v>
      </c>
      <c r="F414" s="62"/>
      <c r="G414" s="130">
        <f t="shared" si="65"/>
        <v>0</v>
      </c>
      <c r="H414" s="62"/>
      <c r="I414" s="201">
        <f t="shared" si="66"/>
        <v>0</v>
      </c>
      <c r="J414" s="62"/>
      <c r="K414" s="130">
        <f t="shared" si="67"/>
        <v>0</v>
      </c>
      <c r="L414" s="62"/>
      <c r="M414" s="201">
        <f t="shared" si="68"/>
        <v>0</v>
      </c>
      <c r="N414" s="62"/>
      <c r="O414" s="201">
        <f t="shared" si="69"/>
        <v>0</v>
      </c>
    </row>
    <row r="415" spans="1:15" ht="12.95" customHeight="1">
      <c r="A415" s="12" t="s">
        <v>450</v>
      </c>
      <c r="B415" s="129">
        <f>+GETPIVOTDATA(" Old Prof avg",'Averages Pivot Table'!$A$3,"State","TN","Category",9,"Category2","Two-Year")</f>
        <v>61234.850619999997</v>
      </c>
      <c r="C415" s="130">
        <f t="shared" si="70"/>
        <v>2</v>
      </c>
      <c r="D415" s="129">
        <f>+GETPIVOTDATA(" Old Asc. avg",'Averages Pivot Table'!$A$3,"State","TN","Category",9,"Category2","Two-Year")</f>
        <v>50043.832157870376</v>
      </c>
      <c r="E415" s="130">
        <f t="shared" si="70"/>
        <v>5</v>
      </c>
      <c r="F415" s="129">
        <f>+GETPIVOTDATA(" Old Ast. avg",'Averages Pivot Table'!$A$3,"State","TN","Category",9,"Category2","Two-Year")</f>
        <v>41994.926645299151</v>
      </c>
      <c r="G415" s="130">
        <f t="shared" si="65"/>
        <v>6</v>
      </c>
      <c r="H415" s="129">
        <f>+GETPIVOTDATA(" Old Inst. avg",'Averages Pivot Table'!$A$3,"State","TN","Category",9,"Category2","Two-Year")</f>
        <v>37717.063253012049</v>
      </c>
      <c r="I415" s="201">
        <f t="shared" si="66"/>
        <v>6</v>
      </c>
      <c r="J415" s="129">
        <f>+GETPIVOTDATA(" Old Undesg. avg",'Averages Pivot Table'!$A$3,"State","TN","Category",9,"Category2","Two-Year")</f>
        <v>38697.25</v>
      </c>
      <c r="K415" s="130">
        <f t="shared" si="67"/>
        <v>4</v>
      </c>
      <c r="L415" s="129">
        <f>+GETPIVOTDATA(" Old Single Rnk avg",'Averages Pivot Table'!$A$3,"State","TN","Category",9,"Category2","Two-Year")</f>
        <v>0</v>
      </c>
      <c r="M415" s="201">
        <f t="shared" si="68"/>
        <v>0</v>
      </c>
      <c r="N415" s="62">
        <f>+GETPIVOTDATA(" Old All Ranks avg",'Averages Pivot Table'!$A$3,"State","TN","Category",9,"Category2","Two-Year")</f>
        <v>46382.817925558797</v>
      </c>
      <c r="O415" s="201">
        <f t="shared" si="69"/>
        <v>11</v>
      </c>
    </row>
    <row r="416" spans="1:15" ht="12.95" customHeight="1">
      <c r="A416" s="12" t="s">
        <v>451</v>
      </c>
      <c r="B416" s="129">
        <f>+GETPIVOTDATA(" Old Prof avg",'Averages Pivot Table'!$A$3,"State","TX","Category",9,"Category2","Two-Year")</f>
        <v>53282.206240975611</v>
      </c>
      <c r="C416" s="130">
        <f t="shared" si="70"/>
        <v>7</v>
      </c>
      <c r="D416" s="129">
        <f>+GETPIVOTDATA(" Old Asc. avg",'Averages Pivot Table'!$A$3,"State","TX","Category",9,"Category2","Two-Year")</f>
        <v>49609.52184275863</v>
      </c>
      <c r="E416" s="130">
        <f t="shared" si="70"/>
        <v>6</v>
      </c>
      <c r="F416" s="129">
        <f>+GETPIVOTDATA(" Old Ast. avg",'Averages Pivot Table'!$A$3,"State","TX","Category",9,"Category2","Two-Year")</f>
        <v>46338.136864122142</v>
      </c>
      <c r="G416" s="130">
        <f t="shared" si="65"/>
        <v>2</v>
      </c>
      <c r="H416" s="129">
        <f>+GETPIVOTDATA(" Old Inst. avg",'Averages Pivot Table'!$A$3,"State","TX","Category",9,"Category2","Two-Year")</f>
        <v>40041.867829199997</v>
      </c>
      <c r="I416" s="201">
        <f t="shared" si="66"/>
        <v>3</v>
      </c>
      <c r="J416" s="129">
        <f>+GETPIVOTDATA(" Old Undesg. avg",'Averages Pivot Table'!$A$3,"State","TX","Category",9,"Category2","Two-Year")</f>
        <v>21858.349366666665</v>
      </c>
      <c r="K416" s="130">
        <f t="shared" si="67"/>
        <v>5</v>
      </c>
      <c r="L416" s="129">
        <f>+GETPIVOTDATA(" Old Single Rnk avg",'Averages Pivot Table'!$A$3,"State","TX","Category",9,"Category2","Two-Year")</f>
        <v>50101.879825218741</v>
      </c>
      <c r="M416" s="201">
        <f t="shared" si="68"/>
        <v>4</v>
      </c>
      <c r="N416" s="62">
        <f>+GETPIVOTDATA(" Old All Ranks avg",'Averages Pivot Table'!$A$3,"State","TX","Category",9,"Category2","Two-Year")</f>
        <v>48357.189551877134</v>
      </c>
      <c r="O416" s="201">
        <f t="shared" si="69"/>
        <v>5</v>
      </c>
    </row>
    <row r="417" spans="1:19" ht="12.95" customHeight="1">
      <c r="A417" s="12" t="s">
        <v>452</v>
      </c>
      <c r="B417" s="129">
        <f>+GETPIVOTDATA(" Old Prof avg",'Averages Pivot Table'!$A$3,"State","VA","Category",9,"Category2","Two-Year")</f>
        <v>0</v>
      </c>
      <c r="C417" s="130">
        <f t="shared" si="70"/>
        <v>0</v>
      </c>
      <c r="D417" s="129">
        <f>+GETPIVOTDATA(" Old Asc. avg",'Averages Pivot Table'!$A$3,"State","VA","Category",9,"Category2","Two-Year")</f>
        <v>0</v>
      </c>
      <c r="E417" s="130">
        <f t="shared" si="70"/>
        <v>0</v>
      </c>
      <c r="F417" s="129">
        <f>+GETPIVOTDATA(" Old Ast. avg",'Averages Pivot Table'!$A$3,"State","VA","Category",9,"Category2","Two-Year")</f>
        <v>0</v>
      </c>
      <c r="G417" s="130">
        <f t="shared" si="65"/>
        <v>0</v>
      </c>
      <c r="H417" s="129">
        <f>+GETPIVOTDATA(" Old Inst. avg",'Averages Pivot Table'!$A$3,"State","VA","Category",9,"Category2","Two-Year")</f>
        <v>0</v>
      </c>
      <c r="I417" s="201">
        <f t="shared" si="66"/>
        <v>0</v>
      </c>
      <c r="J417" s="129">
        <f>+GETPIVOTDATA(" Old Undesg. avg",'Averages Pivot Table'!$A$3,"State","VA","Category",9,"Category2","Two-Year")</f>
        <v>0</v>
      </c>
      <c r="K417" s="130">
        <f t="shared" si="67"/>
        <v>0</v>
      </c>
      <c r="L417" s="129">
        <f>+GETPIVOTDATA(" Old Single Rnk avg",'Averages Pivot Table'!$A$3,"State","VA","Category",9,"Category2","Two-Year")</f>
        <v>0</v>
      </c>
      <c r="M417" s="201">
        <f t="shared" si="68"/>
        <v>0</v>
      </c>
      <c r="N417" s="62">
        <f>+GETPIVOTDATA(" Old All Ranks avg",'Averages Pivot Table'!$A$3,"State","VA","Category",9,"Category2","Two-Year")</f>
        <v>0</v>
      </c>
      <c r="O417" s="201">
        <f t="shared" si="69"/>
        <v>0</v>
      </c>
    </row>
    <row r="418" spans="1:19" ht="12.95" customHeight="1">
      <c r="A418" s="11" t="s">
        <v>453</v>
      </c>
      <c r="B418" s="64">
        <f>+GETPIVOTDATA(" Old Prof avg",'Averages Pivot Table'!$A$3,"State","WV","Category",9,"Category2","Two-Year")</f>
        <v>0</v>
      </c>
      <c r="C418" s="65">
        <f t="shared" si="70"/>
        <v>0</v>
      </c>
      <c r="D418" s="64">
        <f>+GETPIVOTDATA(" Old Asc. avg",'Averages Pivot Table'!$A$3,"State","WV","Category",9,"Category2","Two-Year")</f>
        <v>0</v>
      </c>
      <c r="E418" s="65">
        <f t="shared" si="70"/>
        <v>0</v>
      </c>
      <c r="F418" s="64">
        <f>+GETPIVOTDATA(" Old Ast. avg",'Averages Pivot Table'!$A$3,"State","WV","Category",9,"Category2","Two-Year")</f>
        <v>0</v>
      </c>
      <c r="G418" s="65">
        <f t="shared" si="65"/>
        <v>0</v>
      </c>
      <c r="H418" s="64">
        <f>+GETPIVOTDATA(" Old Inst. avg",'Averages Pivot Table'!$A$3,"State","WV","Category",9,"Category2","Two-Year")</f>
        <v>0</v>
      </c>
      <c r="I418" s="202">
        <f t="shared" si="66"/>
        <v>0</v>
      </c>
      <c r="J418" s="64">
        <f>+GETPIVOTDATA(" Old Undesg. avg",'Averages Pivot Table'!$A$3,"State","WV","Category",9,"Category2","Two-Year")</f>
        <v>0</v>
      </c>
      <c r="K418" s="65">
        <f t="shared" si="67"/>
        <v>0</v>
      </c>
      <c r="L418" s="64">
        <f>+GETPIVOTDATA(" Old Single Rnk avg",'Averages Pivot Table'!$A$3,"State","WV","Category",9,"Category2","Two-Year")</f>
        <v>0</v>
      </c>
      <c r="M418" s="202">
        <f t="shared" si="68"/>
        <v>0</v>
      </c>
      <c r="N418" s="64">
        <f>+GETPIVOTDATA(" Old All Ranks avg",'Averages Pivot Table'!$A$3,"State","WV","Category",9,"Category2","Two-Year")</f>
        <v>0</v>
      </c>
      <c r="O418" s="202">
        <f t="shared" si="69"/>
        <v>0</v>
      </c>
    </row>
    <row r="419" spans="1:19" ht="30" customHeight="1">
      <c r="A419" s="634" t="s">
        <v>323</v>
      </c>
      <c r="B419" s="634"/>
      <c r="C419" s="634"/>
      <c r="D419" s="634"/>
      <c r="E419" s="634"/>
      <c r="F419" s="634"/>
      <c r="G419" s="634"/>
      <c r="H419" s="634"/>
      <c r="I419" s="634"/>
      <c r="J419" s="634"/>
      <c r="K419" s="634"/>
      <c r="L419" s="634"/>
      <c r="M419" s="634"/>
      <c r="N419" s="634"/>
      <c r="O419" s="634"/>
    </row>
    <row r="420" spans="1:19">
      <c r="O420" s="244" t="s">
        <v>1166</v>
      </c>
    </row>
    <row r="421" spans="1:19" ht="18">
      <c r="A421" s="618" t="s">
        <v>790</v>
      </c>
      <c r="B421" s="618"/>
      <c r="C421" s="618"/>
      <c r="D421" s="618"/>
      <c r="E421" s="618"/>
      <c r="F421" s="618"/>
      <c r="G421" s="618"/>
      <c r="H421" s="618"/>
      <c r="I421" s="618"/>
      <c r="J421" s="618"/>
      <c r="K421" s="618"/>
      <c r="L421" s="618"/>
      <c r="M421" s="618"/>
      <c r="N421" s="618"/>
      <c r="O421" s="618"/>
    </row>
    <row r="422" spans="1:19">
      <c r="A422" s="23"/>
      <c r="B422" s="5"/>
      <c r="C422" s="5"/>
      <c r="D422" s="5"/>
      <c r="E422" s="5"/>
      <c r="F422" s="5"/>
      <c r="G422" s="5"/>
      <c r="H422" s="5"/>
      <c r="I422" s="159"/>
      <c r="J422" s="5"/>
      <c r="K422" s="5"/>
      <c r="L422" s="5"/>
      <c r="M422" s="159"/>
      <c r="N422" s="5"/>
      <c r="O422" s="159"/>
    </row>
    <row r="423" spans="1:19">
      <c r="A423" s="619" t="s">
        <v>454</v>
      </c>
      <c r="B423" s="619"/>
      <c r="C423" s="619"/>
      <c r="D423" s="619"/>
      <c r="E423" s="619"/>
      <c r="F423" s="619"/>
      <c r="G423" s="619"/>
      <c r="H423" s="619"/>
      <c r="I423" s="619"/>
      <c r="J423" s="619"/>
      <c r="K423" s="619"/>
      <c r="L423" s="619"/>
      <c r="M423" s="619"/>
      <c r="N423" s="619"/>
      <c r="O423" s="619"/>
    </row>
    <row r="424" spans="1:19">
      <c r="A424" s="619" t="s">
        <v>769</v>
      </c>
      <c r="B424" s="619"/>
      <c r="C424" s="619"/>
      <c r="D424" s="619"/>
      <c r="E424" s="619"/>
      <c r="F424" s="619"/>
      <c r="G424" s="619"/>
      <c r="H424" s="619"/>
      <c r="I424" s="619"/>
      <c r="J424" s="619"/>
      <c r="K424" s="619"/>
      <c r="L424" s="619"/>
      <c r="M424" s="619"/>
      <c r="N424" s="619"/>
      <c r="O424" s="619"/>
    </row>
    <row r="425" spans="1:19">
      <c r="A425" s="12"/>
      <c r="B425" s="12"/>
      <c r="C425" s="12"/>
      <c r="D425" s="12"/>
      <c r="E425" s="12"/>
      <c r="F425" s="12"/>
      <c r="G425" s="12"/>
      <c r="H425" s="12"/>
      <c r="I425" s="215"/>
      <c r="J425" s="12"/>
      <c r="K425" s="12"/>
      <c r="L425" s="12"/>
      <c r="M425" s="215"/>
      <c r="N425" s="12"/>
      <c r="O425" s="215"/>
    </row>
    <row r="426" spans="1:19" ht="33" customHeight="1">
      <c r="A426" s="15"/>
      <c r="B426" s="21" t="s">
        <v>332</v>
      </c>
      <c r="C426" s="22"/>
      <c r="D426" s="141" t="s">
        <v>333</v>
      </c>
      <c r="E426" s="142"/>
      <c r="F426" s="141" t="s">
        <v>334</v>
      </c>
      <c r="G426" s="142"/>
      <c r="H426" s="21" t="s">
        <v>335</v>
      </c>
      <c r="I426" s="225"/>
      <c r="J426" s="141" t="s">
        <v>461</v>
      </c>
      <c r="K426" s="142"/>
      <c r="L426" s="22" t="s">
        <v>314</v>
      </c>
      <c r="M426" s="225"/>
      <c r="N426" s="22" t="s">
        <v>316</v>
      </c>
      <c r="O426" s="225"/>
    </row>
    <row r="427" spans="1:19">
      <c r="A427" s="16"/>
      <c r="B427" s="19" t="s">
        <v>336</v>
      </c>
      <c r="C427" s="18" t="s">
        <v>427</v>
      </c>
      <c r="D427" s="19" t="s">
        <v>336</v>
      </c>
      <c r="E427" s="18" t="s">
        <v>427</v>
      </c>
      <c r="F427" s="19" t="s">
        <v>336</v>
      </c>
      <c r="G427" s="18" t="s">
        <v>427</v>
      </c>
      <c r="H427" s="19" t="s">
        <v>336</v>
      </c>
      <c r="I427" s="226" t="s">
        <v>427</v>
      </c>
      <c r="J427" s="19" t="s">
        <v>336</v>
      </c>
      <c r="K427" s="18" t="s">
        <v>427</v>
      </c>
      <c r="L427" s="19" t="s">
        <v>336</v>
      </c>
      <c r="M427" s="226" t="s">
        <v>427</v>
      </c>
      <c r="N427" s="19" t="s">
        <v>336</v>
      </c>
      <c r="O427" s="226" t="s">
        <v>427</v>
      </c>
    </row>
    <row r="428" spans="1:19" s="156" customFormat="1" ht="18" customHeight="1">
      <c r="A428" s="168" t="s">
        <v>456</v>
      </c>
      <c r="B428" s="172">
        <f>+GETPIVOTDATA(" Old Prof avg",'Averages Pivot Table'!$A$3,"Category",10,"Category2","Two-Year")</f>
        <v>61274.082353797472</v>
      </c>
      <c r="C428" s="172"/>
      <c r="D428" s="172">
        <f>+GETPIVOTDATA(" Old Asc. avg",'Averages Pivot Table'!$A$3,"Category",10,"Category2","Two-Year")</f>
        <v>52006.769481230767</v>
      </c>
      <c r="E428" s="172"/>
      <c r="F428" s="172">
        <f>+GETPIVOTDATA(" Old Ast. avg",'Averages Pivot Table'!$A$3,"Category",10,"Category2","Two-Year")</f>
        <v>44445.823351869156</v>
      </c>
      <c r="G428" s="172"/>
      <c r="H428" s="172">
        <f>+GETPIVOTDATA(" Old Inst. avg",'Averages Pivot Table'!$A$3,"Category",10,"Category2","Two-Year")</f>
        <v>39636.796635019455</v>
      </c>
      <c r="I428" s="229"/>
      <c r="J428" s="172">
        <f>+GETPIVOTDATA(" Old Undesg. avg",'Averages Pivot Table'!$A$3,"Category",10,"Category2","Two-Year")</f>
        <v>41310.810089940831</v>
      </c>
      <c r="K428" s="172"/>
      <c r="L428" s="172">
        <f>+GETPIVOTDATA(" Old Single Rnk avg",'Averages Pivot Table'!$A$3,"Category",10,"Category2","Two-Year")</f>
        <v>45671.444712303419</v>
      </c>
      <c r="M428" s="229"/>
      <c r="N428" s="172">
        <f>+GETPIVOTDATA(" Old All Ranks avg",'Averages Pivot Table'!$A$3,"Category",10,"Category2","Two-Year")</f>
        <v>45876.164282673271</v>
      </c>
      <c r="O428" s="216"/>
      <c r="Q428" s="193"/>
      <c r="R428" s="193"/>
      <c r="S428" s="193"/>
    </row>
    <row r="429" spans="1:19" ht="12.95" customHeight="1">
      <c r="A429" s="12"/>
      <c r="B429" s="9"/>
      <c r="C429" s="17"/>
      <c r="D429" s="9"/>
      <c r="E429" s="17"/>
      <c r="F429" s="9"/>
      <c r="G429" s="17"/>
      <c r="H429" s="9"/>
      <c r="I429" s="233"/>
      <c r="J429" s="9"/>
      <c r="K429" s="17"/>
      <c r="L429" s="9"/>
      <c r="M429" s="233"/>
      <c r="N429" s="9"/>
      <c r="O429" s="217"/>
    </row>
    <row r="430" spans="1:19" ht="12.95" customHeight="1">
      <c r="A430" s="12" t="s">
        <v>439</v>
      </c>
      <c r="B430" s="62">
        <f>+GETPIVOTDATA(" Old Prof avg",'Averages Pivot Table'!$A$3,"State","AL","Category",10,"Category2","Two-Year")</f>
        <v>0</v>
      </c>
      <c r="C430" s="130">
        <f>IF(B430&gt;0,(RANK(B430,B$430:B$448)),0)</f>
        <v>0</v>
      </c>
      <c r="D430" s="62">
        <f>+GETPIVOTDATA(" Old Asc. avg",'Averages Pivot Table'!$A$3,"State","AL","Category",10,"Category2","Two-Year")</f>
        <v>0</v>
      </c>
      <c r="E430" s="130">
        <f>IF(D430&gt;0,(RANK(D430,D$430:D$448)),0)</f>
        <v>0</v>
      </c>
      <c r="F430" s="62">
        <f>+GETPIVOTDATA(" Old Ast. avg",'Averages Pivot Table'!$A$3,"State","AL","Category",10,"Category2","Two-Year")</f>
        <v>0</v>
      </c>
      <c r="G430" s="130">
        <f t="shared" ref="G430:G448" si="71">IF(F430&gt;0,(RANK(F430,F$430:F$448)),0)</f>
        <v>0</v>
      </c>
      <c r="H430" s="62">
        <f>+GETPIVOTDATA(" Old Inst. avg",'Averages Pivot Table'!$A$3,"State","AL","Category",10,"Category2","Two-Year")</f>
        <v>0</v>
      </c>
      <c r="I430" s="201">
        <f t="shared" ref="I430:I448" si="72">IF(H430&gt;0,(RANK(H430,H$430:H$448)),0)</f>
        <v>0</v>
      </c>
      <c r="J430" s="62">
        <f>+GETPIVOTDATA(" Old Undesg. avg",'Averages Pivot Table'!$A$3,"State","AL","Category",10,"Category2","Two-Year")</f>
        <v>0</v>
      </c>
      <c r="K430" s="130">
        <f t="shared" ref="K430:K448" si="73">IF(J430&gt;0,(RANK(J430,J$430:J$448)),0)</f>
        <v>0</v>
      </c>
      <c r="L430" s="62">
        <f>+GETPIVOTDATA(" Old Single Rnk avg",'Averages Pivot Table'!$A$3,"State","AL","Category",10,"Category2","Two-Year")</f>
        <v>52613.547017010314</v>
      </c>
      <c r="M430" s="201">
        <f t="shared" ref="M430:M448" si="74">IF(L430&gt;0,(RANK(L430,L$430:L$448)),0)</f>
        <v>2</v>
      </c>
      <c r="N430" s="62">
        <f>+GETPIVOTDATA(" Old All Ranks avg",'Averages Pivot Table'!$A$3,"State","AL","Category",10,"Category2","Two-Year")</f>
        <v>52613.547017010314</v>
      </c>
      <c r="O430" s="201">
        <f t="shared" ref="O430:O448" si="75">IF(N430&gt;0,(RANK(N430,N$430:N$448)),0)</f>
        <v>4</v>
      </c>
    </row>
    <row r="431" spans="1:19" ht="12.95" customHeight="1">
      <c r="A431" s="12" t="s">
        <v>440</v>
      </c>
      <c r="B431" s="62">
        <f>+GETPIVOTDATA(" Old Prof avg",'Averages Pivot Table'!$A$3,"State","AR","Category",10,"Category2","Two-Year")</f>
        <v>0</v>
      </c>
      <c r="C431" s="130">
        <f t="shared" ref="C431:E448" si="76">IF(B431&gt;0,(RANK(B431,B$430:B$448)),0)</f>
        <v>0</v>
      </c>
      <c r="D431" s="62">
        <f>+GETPIVOTDATA(" Old Asc. avg",'Averages Pivot Table'!$A$3,"State","AR","Category",10,"Category2","Two-Year")</f>
        <v>0</v>
      </c>
      <c r="E431" s="130">
        <f t="shared" si="76"/>
        <v>0</v>
      </c>
      <c r="F431" s="62">
        <f>+GETPIVOTDATA(" Old Ast. avg",'Averages Pivot Table'!$A$3,"State","AR","Category",10,"Category2","Two-Year")</f>
        <v>42650.515368749999</v>
      </c>
      <c r="G431" s="130">
        <f t="shared" si="71"/>
        <v>8</v>
      </c>
      <c r="H431" s="62">
        <f>+GETPIVOTDATA(" Old Inst. avg",'Averages Pivot Table'!$A$3,"State","AR","Category",10,"Category2","Two-Year")</f>
        <v>37213.228931578946</v>
      </c>
      <c r="I431" s="201">
        <f t="shared" si="72"/>
        <v>9</v>
      </c>
      <c r="J431" s="62">
        <f>+GETPIVOTDATA(" Old Undesg. avg",'Averages Pivot Table'!$A$3,"State","AR","Category",10,"Category2","Two-Year")</f>
        <v>0</v>
      </c>
      <c r="K431" s="130">
        <f t="shared" si="73"/>
        <v>0</v>
      </c>
      <c r="L431" s="62">
        <f>+GETPIVOTDATA(" Old Single Rnk avg",'Averages Pivot Table'!$A$3,"State","AR","Category",10,"Category2","Two-Year")</f>
        <v>42315.862752741516</v>
      </c>
      <c r="M431" s="201">
        <f t="shared" si="74"/>
        <v>8</v>
      </c>
      <c r="N431" s="62">
        <f>+GETPIVOTDATA(" Old All Ranks avg",'Averages Pivot Table'!$A$3,"State","AR","Category",10,"Category2","Two-Year")</f>
        <v>41884.408191304348</v>
      </c>
      <c r="O431" s="201">
        <f t="shared" si="75"/>
        <v>16</v>
      </c>
    </row>
    <row r="432" spans="1:19" ht="12.95" customHeight="1">
      <c r="A432" s="12" t="s">
        <v>455</v>
      </c>
      <c r="B432" s="62">
        <f>+GETPIVOTDATA(" Old Prof avg",'Averages Pivot Table'!$A$3,"State","DE","Category",10,"Category2","Two-Year")</f>
        <v>0</v>
      </c>
      <c r="C432" s="130">
        <f t="shared" si="76"/>
        <v>0</v>
      </c>
      <c r="D432" s="62">
        <f>+GETPIVOTDATA(" Old Asc. avg",'Averages Pivot Table'!$A$3,"State","DE","Category",10,"Category2","Two-Year")</f>
        <v>0</v>
      </c>
      <c r="E432" s="130">
        <f t="shared" si="76"/>
        <v>0</v>
      </c>
      <c r="F432" s="62">
        <f>+GETPIVOTDATA(" Old Ast. avg",'Averages Pivot Table'!$A$3,"State","DE","Category",10,"Category2","Two-Year")</f>
        <v>0</v>
      </c>
      <c r="G432" s="130">
        <f t="shared" si="71"/>
        <v>0</v>
      </c>
      <c r="H432" s="62">
        <f>+GETPIVOTDATA(" Old Inst. avg",'Averages Pivot Table'!$A$3,"State","DE","Category",10,"Category2","Two-Year")</f>
        <v>0</v>
      </c>
      <c r="I432" s="201">
        <f t="shared" si="72"/>
        <v>0</v>
      </c>
      <c r="J432" s="62">
        <f>+GETPIVOTDATA(" Old Undesg. avg",'Averages Pivot Table'!$A$3,"State","DE","Category",10,"Category2","Two-Year")</f>
        <v>0</v>
      </c>
      <c r="K432" s="130">
        <f t="shared" si="73"/>
        <v>0</v>
      </c>
      <c r="L432" s="62">
        <f>+GETPIVOTDATA(" Old Single Rnk avg",'Averages Pivot Table'!$A$3,"State","DE","Category",10,"Category2","Two-Year")</f>
        <v>62452.983214814813</v>
      </c>
      <c r="M432" s="201">
        <f t="shared" si="74"/>
        <v>1</v>
      </c>
      <c r="N432" s="62">
        <f>+GETPIVOTDATA(" Old All Ranks avg",'Averages Pivot Table'!$A$3,"State","DE","Category",10,"Category2","Two-Year")</f>
        <v>62452.983214814813</v>
      </c>
      <c r="O432" s="201">
        <f t="shared" si="75"/>
        <v>1</v>
      </c>
    </row>
    <row r="433" spans="1:15" ht="12.95" customHeight="1">
      <c r="A433" s="12" t="s">
        <v>441</v>
      </c>
      <c r="B433" s="62">
        <f>+GETPIVOTDATA(" Old Prof avg",'Averages Pivot Table'!$A$3,"State","FL","Category",10,"Category2","Two-Year")</f>
        <v>0</v>
      </c>
      <c r="C433" s="130">
        <f t="shared" si="76"/>
        <v>0</v>
      </c>
      <c r="D433" s="62">
        <f>+GETPIVOTDATA(" Old Asc. avg",'Averages Pivot Table'!$A$3,"State","FL","Category",10,"Category2","Two-Year")</f>
        <v>0</v>
      </c>
      <c r="E433" s="130">
        <f t="shared" si="76"/>
        <v>0</v>
      </c>
      <c r="F433" s="62">
        <f>+GETPIVOTDATA(" Old Ast. avg",'Averages Pivot Table'!$A$3,"State","FL","Category",10,"Category2","Two-Year")</f>
        <v>0</v>
      </c>
      <c r="G433" s="130">
        <f t="shared" si="71"/>
        <v>0</v>
      </c>
      <c r="H433" s="62">
        <f>+GETPIVOTDATA(" Old Inst. avg",'Averages Pivot Table'!$A$3,"State","FL","Category",10,"Category2","Two-Year")</f>
        <v>0</v>
      </c>
      <c r="I433" s="201">
        <f t="shared" si="72"/>
        <v>0</v>
      </c>
      <c r="J433" s="62">
        <f>+GETPIVOTDATA(" Old Undesg. avg",'Averages Pivot Table'!$A$3,"State","FL","Category",10,"Category2","Two-Year")</f>
        <v>0</v>
      </c>
      <c r="K433" s="130">
        <f t="shared" si="73"/>
        <v>0</v>
      </c>
      <c r="L433" s="62">
        <f>+GETPIVOTDATA(" Old Single Rnk avg",'Averages Pivot Table'!$A$3,"State","FL","Category",10,"Category2","Two-Year")</f>
        <v>47029.428571428572</v>
      </c>
      <c r="M433" s="201">
        <f t="shared" si="74"/>
        <v>4</v>
      </c>
      <c r="N433" s="62">
        <f>+GETPIVOTDATA(" Old All Ranks avg",'Averages Pivot Table'!$A$3,"State","FL","Category",10,"Category2","Two-Year")</f>
        <v>47029.428571428572</v>
      </c>
      <c r="O433" s="201">
        <f t="shared" si="75"/>
        <v>7</v>
      </c>
    </row>
    <row r="434" spans="1:15" ht="12.95" customHeight="1">
      <c r="A434" s="12"/>
      <c r="B434" s="62"/>
      <c r="C434" s="130">
        <f t="shared" si="76"/>
        <v>0</v>
      </c>
      <c r="D434" s="62"/>
      <c r="E434" s="130">
        <f t="shared" si="76"/>
        <v>0</v>
      </c>
      <c r="F434" s="62"/>
      <c r="G434" s="130">
        <f t="shared" si="71"/>
        <v>0</v>
      </c>
      <c r="H434" s="62"/>
      <c r="I434" s="201">
        <f t="shared" si="72"/>
        <v>0</v>
      </c>
      <c r="J434" s="62"/>
      <c r="K434" s="130">
        <f t="shared" si="73"/>
        <v>0</v>
      </c>
      <c r="L434" s="62"/>
      <c r="M434" s="201">
        <f t="shared" si="74"/>
        <v>0</v>
      </c>
      <c r="N434" s="62"/>
      <c r="O434" s="201">
        <f t="shared" si="75"/>
        <v>0</v>
      </c>
    </row>
    <row r="435" spans="1:15" ht="12.95" customHeight="1">
      <c r="A435" s="12" t="s">
        <v>442</v>
      </c>
      <c r="B435" s="62">
        <f>+GETPIVOTDATA(" Old Prof avg",'Averages Pivot Table'!$A$3,"State","GA","Category",10,"Category2","Two-Year")</f>
        <v>62437.280906666667</v>
      </c>
      <c r="C435" s="130">
        <f t="shared" si="76"/>
        <v>4</v>
      </c>
      <c r="D435" s="62">
        <f>+GETPIVOTDATA(" Old Asc. avg",'Averages Pivot Table'!$A$3,"State","GA","Category",10,"Category2","Two-Year")</f>
        <v>52482.431170731703</v>
      </c>
      <c r="E435" s="130">
        <f t="shared" si="76"/>
        <v>5</v>
      </c>
      <c r="F435" s="62">
        <f>+GETPIVOTDATA(" Old Ast. avg",'Averages Pivot Table'!$A$3,"State","GA","Category",10,"Category2","Two-Year")</f>
        <v>44467.721311475412</v>
      </c>
      <c r="G435" s="130">
        <f t="shared" si="71"/>
        <v>4</v>
      </c>
      <c r="H435" s="62">
        <f>+GETPIVOTDATA(" Old Inst. avg",'Averages Pivot Table'!$A$3,"State","GA","Category",10,"Category2","Two-Year")</f>
        <v>38704.3125</v>
      </c>
      <c r="I435" s="201">
        <f t="shared" si="72"/>
        <v>5</v>
      </c>
      <c r="J435" s="62">
        <f>+GETPIVOTDATA(" Old Undesg. avg",'Averages Pivot Table'!$A$3,"State","GA","Category",10,"Category2","Two-Year")</f>
        <v>35500</v>
      </c>
      <c r="K435" s="130">
        <f t="shared" si="73"/>
        <v>4</v>
      </c>
      <c r="L435" s="62">
        <f>+GETPIVOTDATA(" Old Single Rnk avg",'Averages Pivot Table'!$A$3,"State","GA","Category",10,"Category2","Two-Year")</f>
        <v>0</v>
      </c>
      <c r="M435" s="201">
        <f t="shared" si="74"/>
        <v>0</v>
      </c>
      <c r="N435" s="62">
        <f>+GETPIVOTDATA(" Old All Ranks avg",'Averages Pivot Table'!$A$3,"State","GA","Category",10,"Category2","Two-Year")</f>
        <v>46285.490368862273</v>
      </c>
      <c r="O435" s="201">
        <f t="shared" si="75"/>
        <v>10</v>
      </c>
    </row>
    <row r="436" spans="1:15" ht="12.95" customHeight="1">
      <c r="A436" s="12" t="s">
        <v>443</v>
      </c>
      <c r="B436" s="62">
        <f>+GETPIVOTDATA(" Old Prof avg",'Averages Pivot Table'!$A$3,"State","KY","Category",10,"Category2","Two-Year")</f>
        <v>58217.247531313129</v>
      </c>
      <c r="C436" s="130">
        <f t="shared" si="76"/>
        <v>7</v>
      </c>
      <c r="D436" s="62">
        <f>+GETPIVOTDATA(" Old Asc. avg",'Averages Pivot Table'!$A$3,"State","KY","Category",10,"Category2","Two-Year")</f>
        <v>47252.940548387101</v>
      </c>
      <c r="E436" s="130">
        <f t="shared" si="76"/>
        <v>9</v>
      </c>
      <c r="F436" s="62">
        <f>+GETPIVOTDATA(" Old Ast. avg",'Averages Pivot Table'!$A$3,"State","KY","Category",10,"Category2","Two-Year")</f>
        <v>40487.825757142855</v>
      </c>
      <c r="G436" s="130">
        <f t="shared" si="71"/>
        <v>9</v>
      </c>
      <c r="H436" s="62">
        <f>+GETPIVOTDATA(" Old Inst. avg",'Averages Pivot Table'!$A$3,"State","KY","Category",10,"Category2","Two-Year")</f>
        <v>37504.712305882356</v>
      </c>
      <c r="I436" s="201">
        <f t="shared" si="72"/>
        <v>7</v>
      </c>
      <c r="J436" s="62">
        <f>+GETPIVOTDATA(" Old Undesg. avg",'Averages Pivot Table'!$A$3,"State","KY","Category",10,"Category2","Two-Year")</f>
        <v>0</v>
      </c>
      <c r="K436" s="130">
        <f t="shared" si="73"/>
        <v>0</v>
      </c>
      <c r="L436" s="62">
        <f>+GETPIVOTDATA(" Old Single Rnk avg",'Averages Pivot Table'!$A$3,"State","KY","Category",10,"Category2","Two-Year")</f>
        <v>0</v>
      </c>
      <c r="M436" s="201">
        <f t="shared" si="74"/>
        <v>0</v>
      </c>
      <c r="N436" s="62">
        <f>+GETPIVOTDATA(" Old All Ranks avg",'Averages Pivot Table'!$A$3,"State","KY","Category",10,"Category2","Two-Year")</f>
        <v>49784.794435874435</v>
      </c>
      <c r="O436" s="201">
        <f t="shared" si="75"/>
        <v>5</v>
      </c>
    </row>
    <row r="437" spans="1:15" ht="12.95" customHeight="1">
      <c r="A437" s="12" t="s">
        <v>444</v>
      </c>
      <c r="B437" s="62">
        <f>+GETPIVOTDATA(" Old Prof avg",'Averages Pivot Table'!$A$3,"State","LA","Category",10,"Category2","Two-Year")</f>
        <v>59920.800000000003</v>
      </c>
      <c r="C437" s="130">
        <f t="shared" si="76"/>
        <v>6</v>
      </c>
      <c r="D437" s="62">
        <f>+GETPIVOTDATA(" Old Asc. avg",'Averages Pivot Table'!$A$3,"State","LA","Category",10,"Category2","Two-Year")</f>
        <v>48274.834268571431</v>
      </c>
      <c r="E437" s="130">
        <f t="shared" si="76"/>
        <v>8</v>
      </c>
      <c r="F437" s="62">
        <f>+GETPIVOTDATA(" Old Ast. avg",'Averages Pivot Table'!$A$3,"State","LA","Category",10,"Category2","Two-Year")</f>
        <v>44373.300621818184</v>
      </c>
      <c r="G437" s="130">
        <f t="shared" si="71"/>
        <v>5</v>
      </c>
      <c r="H437" s="62">
        <f>+GETPIVOTDATA(" Old Inst. avg",'Averages Pivot Table'!$A$3,"State","LA","Category",10,"Category2","Two-Year")</f>
        <v>37241.332292682928</v>
      </c>
      <c r="I437" s="201">
        <f t="shared" si="72"/>
        <v>8</v>
      </c>
      <c r="J437" s="62">
        <f>+GETPIVOTDATA(" Old Undesg. avg",'Averages Pivot Table'!$A$3,"State","LA","Category",10,"Category2","Two-Year")</f>
        <v>37888.3874</v>
      </c>
      <c r="K437" s="130">
        <f t="shared" si="73"/>
        <v>3</v>
      </c>
      <c r="L437" s="62">
        <f>+GETPIVOTDATA(" Old Single Rnk avg",'Averages Pivot Table'!$A$3,"State","LA","Category",10,"Category2","Two-Year")</f>
        <v>0</v>
      </c>
      <c r="M437" s="201">
        <f t="shared" si="74"/>
        <v>0</v>
      </c>
      <c r="N437" s="62">
        <f>+GETPIVOTDATA(" Old All Ranks avg",'Averages Pivot Table'!$A$3,"State","LA","Category",10,"Category2","Two-Year")</f>
        <v>42206.717465555557</v>
      </c>
      <c r="O437" s="201">
        <f t="shared" si="75"/>
        <v>15</v>
      </c>
    </row>
    <row r="438" spans="1:15" ht="12.95" customHeight="1">
      <c r="A438" s="12" t="s">
        <v>445</v>
      </c>
      <c r="B438" s="62">
        <f>+GETPIVOTDATA(" Old Prof avg",'Averages Pivot Table'!$A$3,"State","MD","Category",10,"Category2","Two-Year")</f>
        <v>70057.712658536591</v>
      </c>
      <c r="C438" s="130">
        <f t="shared" si="76"/>
        <v>1</v>
      </c>
      <c r="D438" s="62">
        <f>+GETPIVOTDATA(" Old Asc. avg",'Averages Pivot Table'!$A$3,"State","MD","Category",10,"Category2","Two-Year")</f>
        <v>64348.749894444445</v>
      </c>
      <c r="E438" s="130">
        <f t="shared" si="76"/>
        <v>1</v>
      </c>
      <c r="F438" s="62">
        <f>+GETPIVOTDATA(" Old Ast. avg",'Averages Pivot Table'!$A$3,"State","MD","Category",10,"Category2","Two-Year")</f>
        <v>52558.510882352944</v>
      </c>
      <c r="G438" s="130">
        <f t="shared" si="71"/>
        <v>1</v>
      </c>
      <c r="H438" s="62">
        <f>+GETPIVOTDATA(" Old Inst. avg",'Averages Pivot Table'!$A$3,"State","MD","Category",10,"Category2","Two-Year")</f>
        <v>50805.076633333338</v>
      </c>
      <c r="I438" s="201">
        <f t="shared" si="72"/>
        <v>1</v>
      </c>
      <c r="J438" s="62">
        <f>+GETPIVOTDATA(" Old Undesg. avg",'Averages Pivot Table'!$A$3,"State","MD","Category",10,"Category2","Two-Year")</f>
        <v>0</v>
      </c>
      <c r="K438" s="130">
        <f t="shared" si="73"/>
        <v>0</v>
      </c>
      <c r="L438" s="62">
        <f>+GETPIVOTDATA(" Old Single Rnk avg",'Averages Pivot Table'!$A$3,"State","MD","Category",10,"Category2","Two-Year")</f>
        <v>0</v>
      </c>
      <c r="M438" s="201">
        <f t="shared" si="74"/>
        <v>0</v>
      </c>
      <c r="N438" s="62">
        <f>+GETPIVOTDATA(" Old All Ranks avg",'Averages Pivot Table'!$A$3,"State","MD","Category",10,"Category2","Two-Year")</f>
        <v>61671.313047154472</v>
      </c>
      <c r="O438" s="201">
        <f t="shared" si="75"/>
        <v>2</v>
      </c>
    </row>
    <row r="439" spans="1:15" ht="12.95" customHeight="1">
      <c r="A439" s="12"/>
      <c r="B439" s="62"/>
      <c r="C439" s="130">
        <f t="shared" si="76"/>
        <v>0</v>
      </c>
      <c r="D439" s="62"/>
      <c r="E439" s="130">
        <f t="shared" si="76"/>
        <v>0</v>
      </c>
      <c r="F439" s="62"/>
      <c r="G439" s="130">
        <f t="shared" si="71"/>
        <v>0</v>
      </c>
      <c r="H439" s="62"/>
      <c r="I439" s="201">
        <f t="shared" si="72"/>
        <v>0</v>
      </c>
      <c r="J439" s="62"/>
      <c r="K439" s="130">
        <f t="shared" si="73"/>
        <v>0</v>
      </c>
      <c r="L439" s="62"/>
      <c r="M439" s="201">
        <f t="shared" si="74"/>
        <v>0</v>
      </c>
      <c r="N439" s="62"/>
      <c r="O439" s="201">
        <f t="shared" si="75"/>
        <v>0</v>
      </c>
    </row>
    <row r="440" spans="1:15" ht="12.95" customHeight="1">
      <c r="A440" s="12" t="s">
        <v>446</v>
      </c>
      <c r="B440" s="62">
        <f>+GETPIVOTDATA(" Old Prof avg",'Averages Pivot Table'!$A$3,"State","MS","Category",10,"Category2","Two-Year")</f>
        <v>0</v>
      </c>
      <c r="C440" s="130">
        <f t="shared" si="76"/>
        <v>0</v>
      </c>
      <c r="D440" s="62">
        <f>+GETPIVOTDATA(" Old Asc. avg",'Averages Pivot Table'!$A$3,"State","MS","Category",10,"Category2","Two-Year")</f>
        <v>0</v>
      </c>
      <c r="E440" s="130">
        <f t="shared" si="76"/>
        <v>0</v>
      </c>
      <c r="F440" s="62">
        <f>+GETPIVOTDATA(" Old Ast. avg",'Averages Pivot Table'!$A$3,"State","MS","Category",10,"Category2","Two-Year")</f>
        <v>0</v>
      </c>
      <c r="G440" s="130">
        <f t="shared" si="71"/>
        <v>0</v>
      </c>
      <c r="H440" s="62">
        <f>+GETPIVOTDATA(" Old Inst. avg",'Averages Pivot Table'!$A$3,"State","MS","Category",10,"Category2","Two-Year")</f>
        <v>0</v>
      </c>
      <c r="I440" s="201">
        <f t="shared" si="72"/>
        <v>0</v>
      </c>
      <c r="J440" s="62">
        <f>+GETPIVOTDATA(" Old Undesg. avg",'Averages Pivot Table'!$A$3,"State","MS","Category",10,"Category2","Two-Year")</f>
        <v>0</v>
      </c>
      <c r="K440" s="130">
        <f t="shared" si="73"/>
        <v>0</v>
      </c>
      <c r="L440" s="62">
        <f>+GETPIVOTDATA(" Old Single Rnk avg",'Averages Pivot Table'!$A$3,"State","MS","Category",10,"Category2","Two-Year")</f>
        <v>47282.641919178088</v>
      </c>
      <c r="M440" s="201">
        <f t="shared" si="74"/>
        <v>3</v>
      </c>
      <c r="N440" s="62">
        <f>+GETPIVOTDATA(" Old All Ranks avg",'Averages Pivot Table'!$A$3,"State","MS","Category",10,"Category2","Two-Year")</f>
        <v>47282.641919178088</v>
      </c>
      <c r="O440" s="201">
        <f t="shared" si="75"/>
        <v>6</v>
      </c>
    </row>
    <row r="441" spans="1:15" ht="12.95" customHeight="1">
      <c r="A441" s="12" t="s">
        <v>447</v>
      </c>
      <c r="B441" s="62">
        <f>+GETPIVOTDATA(" Old Prof avg",'Averages Pivot Table'!$A$3,"State","NC","Category",10,"Category2","Two-Year")</f>
        <v>0</v>
      </c>
      <c r="C441" s="130">
        <f t="shared" si="76"/>
        <v>0</v>
      </c>
      <c r="D441" s="62">
        <f>+GETPIVOTDATA(" Old Asc. avg",'Averages Pivot Table'!$A$3,"State","NC","Category",10,"Category2","Two-Year")</f>
        <v>0</v>
      </c>
      <c r="E441" s="130">
        <f t="shared" si="76"/>
        <v>0</v>
      </c>
      <c r="F441" s="62">
        <f>+GETPIVOTDATA(" Old Ast. avg",'Averages Pivot Table'!$A$3,"State","NC","Category",10,"Category2","Two-Year")</f>
        <v>0</v>
      </c>
      <c r="G441" s="130">
        <f t="shared" si="71"/>
        <v>0</v>
      </c>
      <c r="H441" s="62">
        <f>+GETPIVOTDATA(" Old Inst. avg",'Averages Pivot Table'!$A$3,"State","NC","Category",10,"Category2","Two-Year")</f>
        <v>0</v>
      </c>
      <c r="I441" s="201">
        <f t="shared" si="72"/>
        <v>0</v>
      </c>
      <c r="J441" s="62">
        <f>+GETPIVOTDATA(" Old Undesg. avg",'Averages Pivot Table'!$A$3,"State","NC","Category",10,"Category2","Two-Year")</f>
        <v>0</v>
      </c>
      <c r="K441" s="130">
        <f t="shared" si="73"/>
        <v>0</v>
      </c>
      <c r="L441" s="62">
        <f>+GETPIVOTDATA(" Old Single Rnk avg",'Averages Pivot Table'!$A$3,"State","NC","Category",10,"Category2","Two-Year")</f>
        <v>45310.913663663661</v>
      </c>
      <c r="M441" s="201">
        <f t="shared" si="74"/>
        <v>5</v>
      </c>
      <c r="N441" s="62">
        <f>+GETPIVOTDATA(" Old All Ranks avg",'Averages Pivot Table'!$A$3,"State","NC","Category",10,"Category2","Two-Year")</f>
        <v>45310.913663663661</v>
      </c>
      <c r="O441" s="201">
        <f t="shared" si="75"/>
        <v>11</v>
      </c>
    </row>
    <row r="442" spans="1:15" ht="12.95" customHeight="1">
      <c r="A442" s="12" t="s">
        <v>448</v>
      </c>
      <c r="B442" s="62">
        <f>+GETPIVOTDATA(" Old Prof avg",'Averages Pivot Table'!$A$3,"State","OK","Category",10,"Category2","Two-Year")</f>
        <v>0</v>
      </c>
      <c r="C442" s="130">
        <f t="shared" si="76"/>
        <v>0</v>
      </c>
      <c r="D442" s="62">
        <f>+GETPIVOTDATA(" Old Asc. avg",'Averages Pivot Table'!$A$3,"State","OK","Category",10,"Category2","Two-Year")</f>
        <v>0</v>
      </c>
      <c r="E442" s="130">
        <f t="shared" si="76"/>
        <v>0</v>
      </c>
      <c r="F442" s="62">
        <f>+GETPIVOTDATA(" Old Ast. avg",'Averages Pivot Table'!$A$3,"State","OK","Category",10,"Category2","Two-Year")</f>
        <v>0</v>
      </c>
      <c r="G442" s="130">
        <f t="shared" si="71"/>
        <v>0</v>
      </c>
      <c r="H442" s="62">
        <f>+GETPIVOTDATA(" Old Inst. avg",'Averages Pivot Table'!$A$3,"State","OK","Category",10,"Category2","Two-Year")</f>
        <v>0</v>
      </c>
      <c r="I442" s="201">
        <f t="shared" si="72"/>
        <v>0</v>
      </c>
      <c r="J442" s="62">
        <f>+GETPIVOTDATA(" Old Undesg. avg",'Averages Pivot Table'!$A$3,"State","OK","Category",10,"Category2","Two-Year")</f>
        <v>0</v>
      </c>
      <c r="K442" s="130">
        <f t="shared" si="73"/>
        <v>0</v>
      </c>
      <c r="L442" s="62">
        <f>+GETPIVOTDATA(" Old Single Rnk avg",'Averages Pivot Table'!$A$3,"State","OK","Category",10,"Category2","Two-Year")</f>
        <v>42741.687390476189</v>
      </c>
      <c r="M442" s="201">
        <f t="shared" si="74"/>
        <v>7</v>
      </c>
      <c r="N442" s="62">
        <f>+GETPIVOTDATA(" Old All Ranks avg",'Averages Pivot Table'!$A$3,"State","OK","Category",10,"Category2","Two-Year")</f>
        <v>42741.687390476189</v>
      </c>
      <c r="O442" s="201">
        <f t="shared" si="75"/>
        <v>14</v>
      </c>
    </row>
    <row r="443" spans="1:15" ht="12.95" customHeight="1">
      <c r="A443" s="12" t="s">
        <v>449</v>
      </c>
      <c r="B443" s="62">
        <f>+GETPIVOTDATA(" Old Prof avg",'Averages Pivot Table'!$A$3,"State","SC","Category",10,"Category2","Two-Year")</f>
        <v>66543.251250000001</v>
      </c>
      <c r="C443" s="130">
        <f t="shared" si="76"/>
        <v>3</v>
      </c>
      <c r="D443" s="62">
        <f>+GETPIVOTDATA(" Old Asc. avg",'Averages Pivot Table'!$A$3,"State","SC","Category",10,"Category2","Two-Year")</f>
        <v>55278.905991304338</v>
      </c>
      <c r="E443" s="130">
        <f t="shared" si="76"/>
        <v>2</v>
      </c>
      <c r="F443" s="62">
        <f>+GETPIVOTDATA(" Old Ast. avg",'Averages Pivot Table'!$A$3,"State","SC","Category",10,"Category2","Two-Year")</f>
        <v>46343.558823529413</v>
      </c>
      <c r="G443" s="130">
        <f t="shared" si="71"/>
        <v>3</v>
      </c>
      <c r="H443" s="62">
        <f>+GETPIVOTDATA(" Old Inst. avg",'Averages Pivot Table'!$A$3,"State","SC","Category",10,"Category2","Two-Year")</f>
        <v>40736.154893617022</v>
      </c>
      <c r="I443" s="201">
        <f t="shared" si="72"/>
        <v>4</v>
      </c>
      <c r="J443" s="62">
        <f>+GETPIVOTDATA(" Old Undesg. avg",'Averages Pivot Table'!$A$3,"State","SC","Category",10,"Category2","Two-Year")</f>
        <v>41872.794379999999</v>
      </c>
      <c r="K443" s="130">
        <f t="shared" si="73"/>
        <v>1</v>
      </c>
      <c r="L443" s="62">
        <f>+GETPIVOTDATA(" Old Single Rnk avg",'Averages Pivot Table'!$A$3,"State","SC","Category",10,"Category2","Two-Year")</f>
        <v>0</v>
      </c>
      <c r="M443" s="201">
        <f t="shared" si="74"/>
        <v>0</v>
      </c>
      <c r="N443" s="62">
        <f>+GETPIVOTDATA(" Old All Ranks avg",'Averages Pivot Table'!$A$3,"State","SC","Category",10,"Category2","Two-Year")</f>
        <v>45079.401628799998</v>
      </c>
      <c r="O443" s="201">
        <f t="shared" si="75"/>
        <v>12</v>
      </c>
    </row>
    <row r="444" spans="1:15" ht="12.95" customHeight="1">
      <c r="A444" s="12"/>
      <c r="B444" s="62"/>
      <c r="C444" s="130">
        <f t="shared" si="76"/>
        <v>0</v>
      </c>
      <c r="D444" s="62"/>
      <c r="E444" s="130">
        <f t="shared" si="76"/>
        <v>0</v>
      </c>
      <c r="F444" s="62"/>
      <c r="G444" s="130">
        <f t="shared" si="71"/>
        <v>0</v>
      </c>
      <c r="H444" s="62"/>
      <c r="I444" s="201">
        <f t="shared" si="72"/>
        <v>0</v>
      </c>
      <c r="J444" s="62"/>
      <c r="K444" s="130">
        <f t="shared" si="73"/>
        <v>0</v>
      </c>
      <c r="L444" s="62"/>
      <c r="M444" s="201">
        <f t="shared" si="74"/>
        <v>0</v>
      </c>
      <c r="N444" s="62"/>
      <c r="O444" s="201">
        <f t="shared" si="75"/>
        <v>0</v>
      </c>
    </row>
    <row r="445" spans="1:15" ht="12.95" customHeight="1">
      <c r="A445" s="12" t="s">
        <v>450</v>
      </c>
      <c r="B445" s="129">
        <f>+GETPIVOTDATA(" Old Prof avg",'Averages Pivot Table'!$A$3,"State","TN","Category",10,"Category2","Two-Year")</f>
        <v>57060.776879999998</v>
      </c>
      <c r="C445" s="130">
        <f t="shared" si="76"/>
        <v>8</v>
      </c>
      <c r="D445" s="129">
        <f>+GETPIVOTDATA(" Old Asc. avg",'Averages Pivot Table'!$A$3,"State","TN","Category",10,"Category2","Two-Year")</f>
        <v>48306.841561904766</v>
      </c>
      <c r="E445" s="130">
        <f t="shared" si="76"/>
        <v>7</v>
      </c>
      <c r="F445" s="129">
        <f>+GETPIVOTDATA(" Old Ast. avg",'Averages Pivot Table'!$A$3,"State","TN","Category",10,"Category2","Two-Year")</f>
        <v>40021.571428571428</v>
      </c>
      <c r="G445" s="130">
        <f t="shared" si="71"/>
        <v>10</v>
      </c>
      <c r="H445" s="129">
        <f>+GETPIVOTDATA(" Old Inst. avg",'Averages Pivot Table'!$A$3,"State","TN","Category",10,"Category2","Two-Year")</f>
        <v>41954.8125</v>
      </c>
      <c r="I445" s="201">
        <f t="shared" si="72"/>
        <v>2</v>
      </c>
      <c r="J445" s="129">
        <f>+GETPIVOTDATA(" Old Undesg. avg",'Averages Pivot Table'!$A$3,"State","TN","Category",10,"Category2","Two-Year")</f>
        <v>0</v>
      </c>
      <c r="K445" s="130">
        <f t="shared" si="73"/>
        <v>0</v>
      </c>
      <c r="L445" s="129">
        <f>+GETPIVOTDATA(" Old Single Rnk avg",'Averages Pivot Table'!$A$3,"State","TN","Category",10,"Category2","Two-Year")</f>
        <v>0</v>
      </c>
      <c r="M445" s="201">
        <f t="shared" si="74"/>
        <v>0</v>
      </c>
      <c r="N445" s="62">
        <f>+GETPIVOTDATA(" Old All Ranks avg",'Averages Pivot Table'!$A$3,"State","TN","Category",10,"Category2","Two-Year")</f>
        <v>46971.84151111111</v>
      </c>
      <c r="O445" s="201">
        <f t="shared" si="75"/>
        <v>8</v>
      </c>
    </row>
    <row r="446" spans="1:15" ht="12.95" customHeight="1">
      <c r="A446" s="12" t="s">
        <v>451</v>
      </c>
      <c r="B446" s="129">
        <f>+GETPIVOTDATA(" Old Prof avg",'Averages Pivot Table'!$A$3,"State","TX","Category",10,"Category2","Two-Year")</f>
        <v>56632.704890476183</v>
      </c>
      <c r="C446" s="130">
        <f t="shared" si="76"/>
        <v>9</v>
      </c>
      <c r="D446" s="129">
        <f>+GETPIVOTDATA(" Old Asc. avg",'Averages Pivot Table'!$A$3,"State","TX","Category",10,"Category2","Two-Year")</f>
        <v>49146.738647058824</v>
      </c>
      <c r="E446" s="130">
        <f t="shared" si="76"/>
        <v>6</v>
      </c>
      <c r="F446" s="129">
        <f>+GETPIVOTDATA(" Old Ast. avg",'Averages Pivot Table'!$A$3,"State","TX","Category",10,"Category2","Two-Year")</f>
        <v>43135.393301587297</v>
      </c>
      <c r="G446" s="130">
        <f t="shared" si="71"/>
        <v>7</v>
      </c>
      <c r="H446" s="129">
        <f>+GETPIVOTDATA(" Old Inst. avg",'Averages Pivot Table'!$A$3,"State","TX","Category",10,"Category2","Two-Year")</f>
        <v>40977.687639999996</v>
      </c>
      <c r="I446" s="201">
        <f t="shared" si="72"/>
        <v>3</v>
      </c>
      <c r="J446" s="129">
        <f>+GETPIVOTDATA(" Old Undesg. avg",'Averages Pivot Table'!$A$3,"State","TX","Category",10,"Category2","Two-Year")</f>
        <v>27219.686999999998</v>
      </c>
      <c r="K446" s="130">
        <f t="shared" si="73"/>
        <v>5</v>
      </c>
      <c r="L446" s="129">
        <f>+GETPIVOTDATA(" Old Single Rnk avg",'Averages Pivot Table'!$A$3,"State","TX","Category",10,"Category2","Two-Year")</f>
        <v>43763.047539805833</v>
      </c>
      <c r="M446" s="201">
        <f t="shared" si="74"/>
        <v>6</v>
      </c>
      <c r="N446" s="62">
        <f>+GETPIVOTDATA(" Old All Ranks avg",'Averages Pivot Table'!$A$3,"State","TX","Category",10,"Category2","Two-Year")</f>
        <v>43316.123463971882</v>
      </c>
      <c r="O446" s="201">
        <f t="shared" si="75"/>
        <v>13</v>
      </c>
    </row>
    <row r="447" spans="1:15" ht="12.95" customHeight="1">
      <c r="A447" s="12" t="s">
        <v>452</v>
      </c>
      <c r="B447" s="129">
        <f>+GETPIVOTDATA(" Old Prof avg",'Averages Pivot Table'!$A$3,"State","VA","Category",10,"Category2","Two-Year")</f>
        <v>67735</v>
      </c>
      <c r="C447" s="130">
        <f t="shared" si="76"/>
        <v>2</v>
      </c>
      <c r="D447" s="129">
        <f>+GETPIVOTDATA(" Old Asc. avg",'Averages Pivot Table'!$A$3,"State","VA","Category",10,"Category2","Two-Year")</f>
        <v>52755</v>
      </c>
      <c r="E447" s="130">
        <f t="shared" si="76"/>
        <v>4</v>
      </c>
      <c r="F447" s="129">
        <f>+GETPIVOTDATA(" Old Ast. avg",'Averages Pivot Table'!$A$3,"State","VA","Category",10,"Category2","Two-Year")</f>
        <v>46917</v>
      </c>
      <c r="G447" s="130">
        <f t="shared" si="71"/>
        <v>2</v>
      </c>
      <c r="H447" s="129">
        <f>+GETPIVOTDATA(" Old Inst. avg",'Averages Pivot Table'!$A$3,"State","VA","Category",10,"Category2","Two-Year")</f>
        <v>0</v>
      </c>
      <c r="I447" s="201">
        <f t="shared" si="72"/>
        <v>0</v>
      </c>
      <c r="J447" s="129">
        <f>+GETPIVOTDATA(" Old Undesg. avg",'Averages Pivot Table'!$A$3,"State","VA","Category",10,"Category2","Two-Year")</f>
        <v>0</v>
      </c>
      <c r="K447" s="130">
        <f t="shared" si="73"/>
        <v>0</v>
      </c>
      <c r="L447" s="129">
        <f>+GETPIVOTDATA(" Old Single Rnk avg",'Averages Pivot Table'!$A$3,"State","VA","Category",10,"Category2","Two-Year")</f>
        <v>0</v>
      </c>
      <c r="M447" s="201">
        <f t="shared" si="74"/>
        <v>0</v>
      </c>
      <c r="N447" s="62">
        <f>+GETPIVOTDATA(" Old All Ranks avg",'Averages Pivot Table'!$A$3,"State","VA","Category",10,"Category2","Two-Year")</f>
        <v>55425.181818181816</v>
      </c>
      <c r="O447" s="201">
        <f t="shared" si="75"/>
        <v>3</v>
      </c>
    </row>
    <row r="448" spans="1:15" ht="12.95" customHeight="1">
      <c r="A448" s="11" t="s">
        <v>453</v>
      </c>
      <c r="B448" s="64">
        <f>+GETPIVOTDATA(" Old Prof avg",'Averages Pivot Table'!$A$3,"State","WV","Category",10,"Category2","Two-Year")</f>
        <v>61608.666979746835</v>
      </c>
      <c r="C448" s="65">
        <f t="shared" si="76"/>
        <v>5</v>
      </c>
      <c r="D448" s="64">
        <f>+GETPIVOTDATA(" Old Asc. avg",'Averages Pivot Table'!$A$3,"State","WV","Category",10,"Category2","Two-Year")</f>
        <v>52870.81174035088</v>
      </c>
      <c r="E448" s="65">
        <f t="shared" si="76"/>
        <v>3</v>
      </c>
      <c r="F448" s="64">
        <f>+GETPIVOTDATA(" Old Ast. avg",'Averages Pivot Table'!$A$3,"State","WV","Category",10,"Category2","Two-Year")</f>
        <v>43731.953767924526</v>
      </c>
      <c r="G448" s="65">
        <f t="shared" si="71"/>
        <v>6</v>
      </c>
      <c r="H448" s="64">
        <f>+GETPIVOTDATA(" Old Inst. avg",'Averages Pivot Table'!$A$3,"State","WV","Category",10,"Category2","Two-Year")</f>
        <v>38410.096624427482</v>
      </c>
      <c r="I448" s="202">
        <f t="shared" si="72"/>
        <v>6</v>
      </c>
      <c r="J448" s="64">
        <f>+GETPIVOTDATA(" Old Undesg. avg",'Averages Pivot Table'!$A$3,"State","WV","Category",10,"Category2","Two-Year")</f>
        <v>40592.471862500002</v>
      </c>
      <c r="K448" s="65">
        <f t="shared" si="73"/>
        <v>2</v>
      </c>
      <c r="L448" s="64">
        <f>+GETPIVOTDATA(" Old Single Rnk avg",'Averages Pivot Table'!$A$3,"State","WV","Category",10,"Category2","Two-Year")</f>
        <v>0</v>
      </c>
      <c r="M448" s="202">
        <f t="shared" si="74"/>
        <v>0</v>
      </c>
      <c r="N448" s="64">
        <f>+GETPIVOTDATA(" Old All Ranks avg",'Averages Pivot Table'!$A$3,"State","WV","Category",10,"Category2","Two-Year")</f>
        <v>46535.77732691358</v>
      </c>
      <c r="O448" s="202">
        <f t="shared" si="75"/>
        <v>9</v>
      </c>
    </row>
    <row r="449" spans="1:19" ht="30" customHeight="1">
      <c r="A449" s="634" t="s">
        <v>323</v>
      </c>
      <c r="B449" s="634"/>
      <c r="C449" s="634"/>
      <c r="D449" s="634"/>
      <c r="E449" s="634"/>
      <c r="F449" s="634"/>
      <c r="G449" s="634"/>
      <c r="H449" s="634"/>
      <c r="I449" s="634"/>
      <c r="J449" s="634"/>
      <c r="K449" s="634"/>
      <c r="L449" s="634"/>
      <c r="M449" s="634"/>
      <c r="N449" s="634"/>
      <c r="O449" s="634"/>
    </row>
    <row r="450" spans="1:19">
      <c r="O450" s="244" t="s">
        <v>1166</v>
      </c>
    </row>
    <row r="451" spans="1:19" ht="18">
      <c r="A451" s="618" t="s">
        <v>791</v>
      </c>
      <c r="B451" s="618"/>
      <c r="C451" s="618"/>
      <c r="D451" s="618"/>
      <c r="E451" s="618"/>
      <c r="F451" s="618"/>
      <c r="G451" s="618"/>
      <c r="H451" s="618"/>
      <c r="I451" s="618"/>
      <c r="J451" s="618"/>
      <c r="K451" s="618"/>
      <c r="L451" s="618"/>
      <c r="M451" s="618"/>
      <c r="N451" s="618"/>
      <c r="O451" s="618"/>
    </row>
    <row r="452" spans="1:19">
      <c r="A452" s="23"/>
      <c r="B452" s="5"/>
      <c r="C452" s="5"/>
      <c r="D452" s="5"/>
      <c r="E452" s="5"/>
      <c r="F452" s="5"/>
      <c r="G452" s="5"/>
      <c r="H452" s="5"/>
      <c r="I452" s="159"/>
      <c r="J452" s="5"/>
      <c r="K452" s="5"/>
      <c r="L452" s="5"/>
      <c r="M452" s="159"/>
      <c r="N452" s="5"/>
      <c r="O452" s="159"/>
    </row>
    <row r="453" spans="1:19">
      <c r="A453" s="619" t="s">
        <v>454</v>
      </c>
      <c r="B453" s="619"/>
      <c r="C453" s="619"/>
      <c r="D453" s="619"/>
      <c r="E453" s="619"/>
      <c r="F453" s="619"/>
      <c r="G453" s="619"/>
      <c r="H453" s="619"/>
      <c r="I453" s="619"/>
      <c r="J453" s="619"/>
      <c r="K453" s="619"/>
      <c r="L453" s="619"/>
      <c r="M453" s="619"/>
      <c r="N453" s="619"/>
      <c r="O453" s="619"/>
    </row>
    <row r="454" spans="1:19">
      <c r="A454" s="619" t="s">
        <v>770</v>
      </c>
      <c r="B454" s="619"/>
      <c r="C454" s="619"/>
      <c r="D454" s="619"/>
      <c r="E454" s="619"/>
      <c r="F454" s="619"/>
      <c r="G454" s="619"/>
      <c r="H454" s="619"/>
      <c r="I454" s="619"/>
      <c r="J454" s="619"/>
      <c r="K454" s="619"/>
      <c r="L454" s="619"/>
      <c r="M454" s="619"/>
      <c r="N454" s="619"/>
      <c r="O454" s="619"/>
    </row>
    <row r="455" spans="1:19">
      <c r="A455" s="12"/>
      <c r="B455" s="12"/>
      <c r="C455" s="12"/>
      <c r="D455" s="12"/>
      <c r="E455" s="12"/>
      <c r="F455" s="12"/>
      <c r="G455" s="12"/>
      <c r="H455" s="12"/>
      <c r="I455" s="215"/>
      <c r="J455" s="12"/>
      <c r="K455" s="12"/>
      <c r="L455" s="12"/>
      <c r="M455" s="215"/>
      <c r="N455" s="12"/>
      <c r="O455" s="215"/>
    </row>
    <row r="456" spans="1:19" ht="30.75" customHeight="1">
      <c r="A456" s="15"/>
      <c r="B456" s="21" t="s">
        <v>332</v>
      </c>
      <c r="C456" s="22"/>
      <c r="D456" s="141" t="s">
        <v>333</v>
      </c>
      <c r="E456" s="142"/>
      <c r="F456" s="141" t="s">
        <v>334</v>
      </c>
      <c r="G456" s="142"/>
      <c r="H456" s="21" t="s">
        <v>335</v>
      </c>
      <c r="I456" s="225"/>
      <c r="J456" s="141" t="s">
        <v>461</v>
      </c>
      <c r="K456" s="142"/>
      <c r="L456" s="22" t="s">
        <v>314</v>
      </c>
      <c r="M456" s="225"/>
      <c r="N456" s="22" t="s">
        <v>316</v>
      </c>
      <c r="O456" s="225"/>
    </row>
    <row r="457" spans="1:19">
      <c r="A457" s="16"/>
      <c r="B457" s="19" t="s">
        <v>336</v>
      </c>
      <c r="C457" s="18" t="s">
        <v>427</v>
      </c>
      <c r="D457" s="19" t="s">
        <v>336</v>
      </c>
      <c r="E457" s="18" t="s">
        <v>427</v>
      </c>
      <c r="F457" s="19" t="s">
        <v>336</v>
      </c>
      <c r="G457" s="18" t="s">
        <v>427</v>
      </c>
      <c r="H457" s="19" t="s">
        <v>336</v>
      </c>
      <c r="I457" s="226" t="s">
        <v>427</v>
      </c>
      <c r="J457" s="19" t="s">
        <v>336</v>
      </c>
      <c r="K457" s="18" t="s">
        <v>427</v>
      </c>
      <c r="L457" s="19" t="s">
        <v>336</v>
      </c>
      <c r="M457" s="226" t="s">
        <v>427</v>
      </c>
      <c r="N457" s="19" t="s">
        <v>336</v>
      </c>
      <c r="O457" s="226" t="s">
        <v>427</v>
      </c>
    </row>
    <row r="458" spans="1:19" s="156" customFormat="1" ht="18" customHeight="1">
      <c r="A458" s="168" t="s">
        <v>456</v>
      </c>
      <c r="B458" s="608" t="s">
        <v>1163</v>
      </c>
      <c r="C458" s="172"/>
      <c r="D458" s="608" t="s">
        <v>1163</v>
      </c>
      <c r="E458" s="172"/>
      <c r="F458" s="608" t="s">
        <v>1163</v>
      </c>
      <c r="G458" s="172"/>
      <c r="H458" s="608" t="s">
        <v>1163</v>
      </c>
      <c r="I458" s="172"/>
      <c r="J458" s="608" t="s">
        <v>1163</v>
      </c>
      <c r="K458" s="172"/>
      <c r="L458" s="608" t="s">
        <v>1163</v>
      </c>
      <c r="M458" s="172"/>
      <c r="N458" s="608" t="s">
        <v>1163</v>
      </c>
      <c r="O458" s="216"/>
      <c r="Q458" s="193"/>
      <c r="R458" s="193"/>
      <c r="S458" s="193"/>
    </row>
    <row r="459" spans="1:19" ht="12.95" customHeight="1">
      <c r="A459" s="12"/>
      <c r="B459" s="139"/>
      <c r="C459" s="17"/>
      <c r="D459" s="139"/>
      <c r="E459" s="17"/>
      <c r="F459" s="139"/>
      <c r="G459" s="17"/>
      <c r="H459" s="139"/>
      <c r="I459" s="17"/>
      <c r="J459" s="139"/>
      <c r="K459" s="17"/>
      <c r="L459" s="139"/>
      <c r="M459" s="17"/>
      <c r="N459" s="139"/>
      <c r="O459" s="217"/>
    </row>
    <row r="460" spans="1:19" ht="12.95" customHeight="1">
      <c r="A460" s="12" t="s">
        <v>439</v>
      </c>
      <c r="B460" s="169" t="s">
        <v>1163</v>
      </c>
      <c r="C460" s="130"/>
      <c r="D460" s="169" t="s">
        <v>1163</v>
      </c>
      <c r="E460" s="130"/>
      <c r="F460" s="169" t="s">
        <v>1163</v>
      </c>
      <c r="G460" s="130"/>
      <c r="H460" s="169" t="s">
        <v>1163</v>
      </c>
      <c r="I460" s="130"/>
      <c r="J460" s="169" t="s">
        <v>1163</v>
      </c>
      <c r="K460" s="130"/>
      <c r="L460" s="169" t="s">
        <v>1163</v>
      </c>
      <c r="M460" s="130"/>
      <c r="N460" s="169" t="s">
        <v>1163</v>
      </c>
      <c r="O460" s="201"/>
    </row>
    <row r="461" spans="1:19" ht="12.95" customHeight="1">
      <c r="A461" s="12" t="s">
        <v>440</v>
      </c>
      <c r="B461" s="169" t="s">
        <v>1163</v>
      </c>
      <c r="C461" s="130"/>
      <c r="D461" s="169" t="s">
        <v>1163</v>
      </c>
      <c r="E461" s="130"/>
      <c r="F461" s="169" t="s">
        <v>1163</v>
      </c>
      <c r="G461" s="130"/>
      <c r="H461" s="169" t="s">
        <v>1163</v>
      </c>
      <c r="I461" s="130"/>
      <c r="J461" s="169" t="s">
        <v>1163</v>
      </c>
      <c r="K461" s="130"/>
      <c r="L461" s="169" t="s">
        <v>1163</v>
      </c>
      <c r="M461" s="130"/>
      <c r="N461" s="169" t="s">
        <v>1163</v>
      </c>
      <c r="O461" s="201"/>
    </row>
    <row r="462" spans="1:19" ht="12.95" customHeight="1">
      <c r="A462" s="12" t="s">
        <v>455</v>
      </c>
      <c r="B462" s="169" t="s">
        <v>1163</v>
      </c>
      <c r="C462" s="130"/>
      <c r="D462" s="169" t="s">
        <v>1163</v>
      </c>
      <c r="E462" s="130"/>
      <c r="F462" s="169" t="s">
        <v>1163</v>
      </c>
      <c r="G462" s="130"/>
      <c r="H462" s="169" t="s">
        <v>1163</v>
      </c>
      <c r="I462" s="130"/>
      <c r="J462" s="169" t="s">
        <v>1163</v>
      </c>
      <c r="K462" s="130"/>
      <c r="L462" s="169" t="s">
        <v>1163</v>
      </c>
      <c r="M462" s="130"/>
      <c r="N462" s="169" t="s">
        <v>1163</v>
      </c>
      <c r="O462" s="201"/>
    </row>
    <row r="463" spans="1:19" ht="12.95" customHeight="1">
      <c r="A463" s="12" t="s">
        <v>441</v>
      </c>
      <c r="B463" s="169" t="s">
        <v>1163</v>
      </c>
      <c r="C463" s="130"/>
      <c r="D463" s="169" t="s">
        <v>1163</v>
      </c>
      <c r="E463" s="130"/>
      <c r="F463" s="169" t="s">
        <v>1163</v>
      </c>
      <c r="G463" s="130"/>
      <c r="H463" s="169" t="s">
        <v>1163</v>
      </c>
      <c r="I463" s="130"/>
      <c r="J463" s="169" t="s">
        <v>1163</v>
      </c>
      <c r="K463" s="130"/>
      <c r="L463" s="169" t="s">
        <v>1163</v>
      </c>
      <c r="M463" s="130"/>
      <c r="N463" s="169" t="s">
        <v>1163</v>
      </c>
      <c r="O463" s="201"/>
    </row>
    <row r="464" spans="1:19" ht="12.95" customHeight="1">
      <c r="A464" s="12"/>
      <c r="B464" s="129"/>
      <c r="C464" s="130"/>
      <c r="D464" s="129"/>
      <c r="E464" s="130"/>
      <c r="F464" s="129"/>
      <c r="G464" s="130"/>
      <c r="H464" s="129"/>
      <c r="I464" s="130"/>
      <c r="J464" s="129"/>
      <c r="K464" s="130"/>
      <c r="L464" s="129"/>
      <c r="M464" s="130"/>
      <c r="N464" s="129"/>
      <c r="O464" s="201"/>
    </row>
    <row r="465" spans="1:15" ht="12.95" customHeight="1">
      <c r="A465" s="12" t="s">
        <v>442</v>
      </c>
      <c r="B465" s="169" t="s">
        <v>1163</v>
      </c>
      <c r="C465" s="130"/>
      <c r="D465" s="169" t="s">
        <v>1163</v>
      </c>
      <c r="E465" s="130"/>
      <c r="F465" s="169" t="s">
        <v>1163</v>
      </c>
      <c r="G465" s="130"/>
      <c r="H465" s="169" t="s">
        <v>1163</v>
      </c>
      <c r="I465" s="130"/>
      <c r="J465" s="169" t="s">
        <v>1163</v>
      </c>
      <c r="K465" s="130"/>
      <c r="L465" s="169" t="s">
        <v>1163</v>
      </c>
      <c r="M465" s="130"/>
      <c r="N465" s="169" t="s">
        <v>1163</v>
      </c>
      <c r="O465" s="201"/>
    </row>
    <row r="466" spans="1:15" ht="12.95" customHeight="1">
      <c r="A466" s="12" t="s">
        <v>443</v>
      </c>
      <c r="B466" s="169" t="s">
        <v>1163</v>
      </c>
      <c r="C466" s="130"/>
      <c r="D466" s="169" t="s">
        <v>1163</v>
      </c>
      <c r="E466" s="130"/>
      <c r="F466" s="169" t="s">
        <v>1163</v>
      </c>
      <c r="G466" s="130"/>
      <c r="H466" s="169" t="s">
        <v>1163</v>
      </c>
      <c r="I466" s="130"/>
      <c r="J466" s="169" t="s">
        <v>1163</v>
      </c>
      <c r="K466" s="130"/>
      <c r="L466" s="169" t="s">
        <v>1163</v>
      </c>
      <c r="M466" s="130"/>
      <c r="N466" s="169" t="s">
        <v>1163</v>
      </c>
      <c r="O466" s="201"/>
    </row>
    <row r="467" spans="1:15" ht="12.95" customHeight="1">
      <c r="A467" s="12" t="s">
        <v>444</v>
      </c>
      <c r="B467" s="169" t="s">
        <v>1163</v>
      </c>
      <c r="C467" s="130"/>
      <c r="D467" s="169" t="s">
        <v>1163</v>
      </c>
      <c r="E467" s="130"/>
      <c r="F467" s="169" t="s">
        <v>1163</v>
      </c>
      <c r="G467" s="130"/>
      <c r="H467" s="169" t="s">
        <v>1163</v>
      </c>
      <c r="I467" s="130"/>
      <c r="J467" s="169" t="s">
        <v>1163</v>
      </c>
      <c r="K467" s="130"/>
      <c r="L467" s="169" t="s">
        <v>1163</v>
      </c>
      <c r="M467" s="130"/>
      <c r="N467" s="169" t="s">
        <v>1163</v>
      </c>
      <c r="O467" s="201"/>
    </row>
    <row r="468" spans="1:15" ht="12.95" customHeight="1">
      <c r="A468" s="12" t="s">
        <v>445</v>
      </c>
      <c r="B468" s="169" t="s">
        <v>1163</v>
      </c>
      <c r="C468" s="130"/>
      <c r="D468" s="169" t="s">
        <v>1163</v>
      </c>
      <c r="E468" s="130"/>
      <c r="F468" s="169" t="s">
        <v>1163</v>
      </c>
      <c r="G468" s="130"/>
      <c r="H468" s="169" t="s">
        <v>1163</v>
      </c>
      <c r="I468" s="130"/>
      <c r="J468" s="169" t="s">
        <v>1163</v>
      </c>
      <c r="K468" s="130"/>
      <c r="L468" s="169" t="s">
        <v>1163</v>
      </c>
      <c r="M468" s="130"/>
      <c r="N468" s="169" t="s">
        <v>1163</v>
      </c>
      <c r="O468" s="201"/>
    </row>
    <row r="469" spans="1:15" ht="12.95" customHeight="1">
      <c r="A469" s="12"/>
      <c r="B469" s="129"/>
      <c r="C469" s="130"/>
      <c r="D469" s="129"/>
      <c r="E469" s="130"/>
      <c r="F469" s="129"/>
      <c r="G469" s="130"/>
      <c r="H469" s="129"/>
      <c r="I469" s="130"/>
      <c r="J469" s="129"/>
      <c r="K469" s="130"/>
      <c r="L469" s="129"/>
      <c r="M469" s="130"/>
      <c r="N469" s="129"/>
      <c r="O469" s="201"/>
    </row>
    <row r="470" spans="1:15" ht="12.95" customHeight="1">
      <c r="A470" s="12" t="s">
        <v>446</v>
      </c>
      <c r="B470" s="169" t="s">
        <v>1163</v>
      </c>
      <c r="C470" s="130"/>
      <c r="D470" s="169" t="s">
        <v>1163</v>
      </c>
      <c r="E470" s="130"/>
      <c r="F470" s="169" t="s">
        <v>1163</v>
      </c>
      <c r="G470" s="130"/>
      <c r="H470" s="169" t="s">
        <v>1163</v>
      </c>
      <c r="I470" s="130"/>
      <c r="J470" s="169" t="s">
        <v>1163</v>
      </c>
      <c r="K470" s="130"/>
      <c r="L470" s="169" t="s">
        <v>1163</v>
      </c>
      <c r="M470" s="130"/>
      <c r="N470" s="169" t="s">
        <v>1163</v>
      </c>
      <c r="O470" s="201"/>
    </row>
    <row r="471" spans="1:15" ht="12.95" customHeight="1">
      <c r="A471" s="12" t="s">
        <v>447</v>
      </c>
      <c r="B471" s="169" t="s">
        <v>1163</v>
      </c>
      <c r="C471" s="130"/>
      <c r="D471" s="169" t="s">
        <v>1163</v>
      </c>
      <c r="E471" s="130"/>
      <c r="F471" s="169" t="s">
        <v>1163</v>
      </c>
      <c r="G471" s="130"/>
      <c r="H471" s="169" t="s">
        <v>1163</v>
      </c>
      <c r="I471" s="130"/>
      <c r="J471" s="169" t="s">
        <v>1163</v>
      </c>
      <c r="K471" s="130"/>
      <c r="L471" s="169" t="s">
        <v>1163</v>
      </c>
      <c r="M471" s="130"/>
      <c r="N471" s="169" t="s">
        <v>1163</v>
      </c>
      <c r="O471" s="201"/>
    </row>
    <row r="472" spans="1:15" ht="12.95" customHeight="1">
      <c r="A472" s="12" t="s">
        <v>448</v>
      </c>
      <c r="B472" s="169" t="s">
        <v>1163</v>
      </c>
      <c r="C472" s="130"/>
      <c r="D472" s="169" t="s">
        <v>1163</v>
      </c>
      <c r="E472" s="130"/>
      <c r="F472" s="169" t="s">
        <v>1163</v>
      </c>
      <c r="G472" s="130"/>
      <c r="H472" s="169" t="s">
        <v>1163</v>
      </c>
      <c r="I472" s="130"/>
      <c r="J472" s="169" t="s">
        <v>1163</v>
      </c>
      <c r="K472" s="130"/>
      <c r="L472" s="169" t="s">
        <v>1163</v>
      </c>
      <c r="M472" s="130"/>
      <c r="N472" s="169" t="s">
        <v>1163</v>
      </c>
      <c r="O472" s="201"/>
    </row>
    <row r="473" spans="1:15" ht="12.95" customHeight="1">
      <c r="A473" s="12" t="s">
        <v>449</v>
      </c>
      <c r="B473" s="169" t="s">
        <v>1163</v>
      </c>
      <c r="C473" s="130"/>
      <c r="D473" s="169" t="s">
        <v>1163</v>
      </c>
      <c r="E473" s="130"/>
      <c r="F473" s="169" t="s">
        <v>1163</v>
      </c>
      <c r="G473" s="130"/>
      <c r="H473" s="169" t="s">
        <v>1163</v>
      </c>
      <c r="I473" s="130"/>
      <c r="J473" s="169" t="s">
        <v>1163</v>
      </c>
      <c r="K473" s="130"/>
      <c r="L473" s="169" t="s">
        <v>1163</v>
      </c>
      <c r="M473" s="130"/>
      <c r="N473" s="169" t="s">
        <v>1163</v>
      </c>
      <c r="O473" s="201"/>
    </row>
    <row r="474" spans="1:15" ht="12.95" customHeight="1">
      <c r="A474" s="12"/>
      <c r="B474" s="129"/>
      <c r="C474" s="130"/>
      <c r="D474" s="129"/>
      <c r="E474" s="130"/>
      <c r="F474" s="129"/>
      <c r="G474" s="130"/>
      <c r="H474" s="129"/>
      <c r="I474" s="130"/>
      <c r="J474" s="129"/>
      <c r="K474" s="130"/>
      <c r="L474" s="129"/>
      <c r="M474" s="130"/>
      <c r="N474" s="129"/>
      <c r="O474" s="201"/>
    </row>
    <row r="475" spans="1:15" ht="12.95" customHeight="1">
      <c r="A475" s="12" t="s">
        <v>450</v>
      </c>
      <c r="B475" s="169" t="s">
        <v>1163</v>
      </c>
      <c r="C475" s="130"/>
      <c r="D475" s="169" t="s">
        <v>1163</v>
      </c>
      <c r="E475" s="130"/>
      <c r="F475" s="169" t="s">
        <v>1163</v>
      </c>
      <c r="G475" s="130"/>
      <c r="H475" s="169" t="s">
        <v>1163</v>
      </c>
      <c r="I475" s="130"/>
      <c r="J475" s="169" t="s">
        <v>1163</v>
      </c>
      <c r="K475" s="130"/>
      <c r="L475" s="169" t="s">
        <v>1163</v>
      </c>
      <c r="M475" s="130"/>
      <c r="N475" s="169" t="s">
        <v>1163</v>
      </c>
      <c r="O475" s="201"/>
    </row>
    <row r="476" spans="1:15" ht="12.95" customHeight="1">
      <c r="A476" s="12" t="s">
        <v>451</v>
      </c>
      <c r="B476" s="169" t="s">
        <v>1163</v>
      </c>
      <c r="C476" s="130"/>
      <c r="D476" s="169" t="s">
        <v>1163</v>
      </c>
      <c r="E476" s="130"/>
      <c r="F476" s="169" t="s">
        <v>1163</v>
      </c>
      <c r="G476" s="130"/>
      <c r="H476" s="169" t="s">
        <v>1163</v>
      </c>
      <c r="I476" s="130"/>
      <c r="J476" s="169" t="s">
        <v>1163</v>
      </c>
      <c r="K476" s="130"/>
      <c r="L476" s="169" t="s">
        <v>1163</v>
      </c>
      <c r="M476" s="130"/>
      <c r="N476" s="169" t="s">
        <v>1163</v>
      </c>
      <c r="O476" s="201"/>
    </row>
    <row r="477" spans="1:15" ht="12.95" customHeight="1">
      <c r="A477" s="12" t="s">
        <v>452</v>
      </c>
      <c r="B477" s="169" t="s">
        <v>1163</v>
      </c>
      <c r="C477" s="130"/>
      <c r="D477" s="169" t="s">
        <v>1163</v>
      </c>
      <c r="E477" s="130"/>
      <c r="F477" s="169" t="s">
        <v>1163</v>
      </c>
      <c r="G477" s="130"/>
      <c r="H477" s="169" t="s">
        <v>1163</v>
      </c>
      <c r="I477" s="130"/>
      <c r="J477" s="169" t="s">
        <v>1163</v>
      </c>
      <c r="K477" s="130"/>
      <c r="L477" s="169" t="s">
        <v>1163</v>
      </c>
      <c r="M477" s="130"/>
      <c r="N477" s="169" t="s">
        <v>1163</v>
      </c>
      <c r="O477" s="201"/>
    </row>
    <row r="478" spans="1:15" ht="12.95" customHeight="1">
      <c r="A478" s="11" t="s">
        <v>453</v>
      </c>
      <c r="B478" s="609" t="s">
        <v>1163</v>
      </c>
      <c r="C478" s="65"/>
      <c r="D478" s="609" t="s">
        <v>1163</v>
      </c>
      <c r="E478" s="65"/>
      <c r="F478" s="609" t="s">
        <v>1163</v>
      </c>
      <c r="G478" s="65"/>
      <c r="H478" s="609" t="s">
        <v>1163</v>
      </c>
      <c r="I478" s="65"/>
      <c r="J478" s="609" t="s">
        <v>1163</v>
      </c>
      <c r="K478" s="65"/>
      <c r="L478" s="609" t="s">
        <v>1163</v>
      </c>
      <c r="M478" s="65"/>
      <c r="N478" s="609" t="s">
        <v>1163</v>
      </c>
      <c r="O478" s="202"/>
    </row>
    <row r="479" spans="1:15" ht="30" customHeight="1">
      <c r="A479" s="634" t="s">
        <v>323</v>
      </c>
      <c r="B479" s="634"/>
      <c r="C479" s="634"/>
      <c r="D479" s="634"/>
      <c r="E479" s="634"/>
      <c r="F479" s="634"/>
      <c r="G479" s="634"/>
      <c r="H479" s="634"/>
      <c r="I479" s="634"/>
      <c r="J479" s="634"/>
      <c r="K479" s="634"/>
      <c r="L479" s="634"/>
      <c r="M479" s="634"/>
      <c r="N479" s="634"/>
      <c r="O479" s="634"/>
    </row>
    <row r="480" spans="1:15">
      <c r="O480" s="244" t="s">
        <v>1166</v>
      </c>
    </row>
    <row r="481" spans="1:19" ht="18">
      <c r="A481" s="618" t="s">
        <v>792</v>
      </c>
      <c r="B481" s="618"/>
      <c r="C481" s="618"/>
      <c r="D481" s="618"/>
      <c r="E481" s="618"/>
      <c r="F481" s="618"/>
      <c r="G481" s="618"/>
      <c r="H481" s="618"/>
      <c r="I481" s="618"/>
      <c r="J481" s="618"/>
      <c r="K481" s="618"/>
      <c r="L481" s="618"/>
      <c r="M481" s="618"/>
      <c r="N481" s="618"/>
      <c r="O481" s="618"/>
    </row>
    <row r="482" spans="1:19">
      <c r="A482" s="23"/>
      <c r="B482" s="5"/>
      <c r="C482" s="5"/>
      <c r="D482" s="5"/>
      <c r="E482" s="5"/>
      <c r="F482" s="5"/>
      <c r="G482" s="5"/>
      <c r="H482" s="5"/>
      <c r="I482" s="159"/>
      <c r="J482" s="5"/>
      <c r="K482" s="5"/>
      <c r="L482" s="5"/>
      <c r="M482" s="159"/>
      <c r="N482" s="5"/>
      <c r="O482" s="159"/>
    </row>
    <row r="483" spans="1:19">
      <c r="A483" s="619" t="s">
        <v>454</v>
      </c>
      <c r="B483" s="619"/>
      <c r="C483" s="619"/>
      <c r="D483" s="619"/>
      <c r="E483" s="619"/>
      <c r="F483" s="619"/>
      <c r="G483" s="619"/>
      <c r="H483" s="619"/>
      <c r="I483" s="619"/>
      <c r="J483" s="619"/>
      <c r="K483" s="619"/>
      <c r="L483" s="619"/>
      <c r="M483" s="619"/>
      <c r="N483" s="619"/>
      <c r="O483" s="619"/>
    </row>
    <row r="484" spans="1:19">
      <c r="A484" s="619" t="s">
        <v>758</v>
      </c>
      <c r="B484" s="619"/>
      <c r="C484" s="619"/>
      <c r="D484" s="619"/>
      <c r="E484" s="619"/>
      <c r="F484" s="619"/>
      <c r="G484" s="619"/>
      <c r="H484" s="619"/>
      <c r="I484" s="619"/>
      <c r="J484" s="619"/>
      <c r="K484" s="619"/>
      <c r="L484" s="619"/>
      <c r="M484" s="619"/>
      <c r="N484" s="619"/>
      <c r="O484" s="619"/>
    </row>
    <row r="485" spans="1:19">
      <c r="A485" s="12"/>
      <c r="B485" s="5"/>
      <c r="C485" s="5"/>
      <c r="D485" s="5"/>
      <c r="E485" s="5"/>
      <c r="F485" s="5"/>
      <c r="G485" s="5"/>
      <c r="H485" s="5"/>
      <c r="I485" s="159"/>
      <c r="J485" s="5"/>
      <c r="K485" s="5"/>
      <c r="L485" s="5"/>
      <c r="M485" s="159"/>
      <c r="N485" s="5"/>
      <c r="O485" s="159"/>
    </row>
    <row r="486" spans="1:19" ht="31.5" customHeight="1">
      <c r="A486" s="15"/>
      <c r="B486" s="21" t="s">
        <v>332</v>
      </c>
      <c r="C486" s="22"/>
      <c r="D486" s="141" t="s">
        <v>333</v>
      </c>
      <c r="E486" s="142"/>
      <c r="F486" s="141" t="s">
        <v>334</v>
      </c>
      <c r="G486" s="142"/>
      <c r="H486" s="21" t="s">
        <v>335</v>
      </c>
      <c r="I486" s="225"/>
      <c r="J486" s="141" t="s">
        <v>461</v>
      </c>
      <c r="K486" s="142"/>
      <c r="L486" s="22" t="s">
        <v>314</v>
      </c>
      <c r="M486" s="225"/>
      <c r="N486" s="22" t="s">
        <v>316</v>
      </c>
      <c r="O486" s="225"/>
    </row>
    <row r="487" spans="1:19">
      <c r="A487" s="25"/>
      <c r="B487" s="19" t="s">
        <v>336</v>
      </c>
      <c r="C487" s="18" t="s">
        <v>427</v>
      </c>
      <c r="D487" s="19" t="s">
        <v>336</v>
      </c>
      <c r="E487" s="18" t="s">
        <v>427</v>
      </c>
      <c r="F487" s="19" t="s">
        <v>336</v>
      </c>
      <c r="G487" s="18" t="s">
        <v>427</v>
      </c>
      <c r="H487" s="19" t="s">
        <v>336</v>
      </c>
      <c r="I487" s="226" t="s">
        <v>427</v>
      </c>
      <c r="J487" s="19" t="s">
        <v>336</v>
      </c>
      <c r="K487" s="18" t="s">
        <v>427</v>
      </c>
      <c r="L487" s="19" t="s">
        <v>336</v>
      </c>
      <c r="M487" s="226" t="s">
        <v>427</v>
      </c>
      <c r="N487" s="19" t="s">
        <v>336</v>
      </c>
      <c r="O487" s="226" t="s">
        <v>427</v>
      </c>
    </row>
    <row r="488" spans="1:19" s="156" customFormat="1" ht="18" customHeight="1">
      <c r="A488" s="168" t="s">
        <v>456</v>
      </c>
      <c r="B488" s="172">
        <f>+GETPIVOTDATA(" Old Prof avg",'Averages Pivot Table'!$A$3,"Category2","Technical Institutes")</f>
        <v>62655.574644444445</v>
      </c>
      <c r="C488" s="172"/>
      <c r="D488" s="172">
        <f>+GETPIVOTDATA(" Old Asc. avg",'Averages Pivot Table'!$A$3,"Category2","Technical Institutes")</f>
        <v>50449.382593939394</v>
      </c>
      <c r="E488" s="172"/>
      <c r="F488" s="172">
        <f>+GETPIVOTDATA(" Old Ast. avg",'Averages Pivot Table'!$A$3,"Category2","Technical Institutes")</f>
        <v>43874.66367894737</v>
      </c>
      <c r="G488" s="172"/>
      <c r="H488" s="172">
        <f>+GETPIVOTDATA(" Old Inst. avg",'Averages Pivot Table'!$A$3,"Category2","Technical Institutes")</f>
        <v>39747.316439306356</v>
      </c>
      <c r="I488" s="229"/>
      <c r="J488" s="172">
        <f>+GETPIVOTDATA(" Old Undesg. avg",'Averages Pivot Table'!$A$3,"Category2","Technical Institutes")</f>
        <v>25000</v>
      </c>
      <c r="K488" s="172"/>
      <c r="L488" s="172">
        <f>+GETPIVOTDATA(" Old Single Rnk avg",'Averages Pivot Table'!$A$3,"Category2","Technical Institutes")</f>
        <v>44773.965281483164</v>
      </c>
      <c r="M488" s="229"/>
      <c r="N488" s="172">
        <f>+GETPIVOTDATA(" Old All Ranks avg",'Averages Pivot Table'!$A$3,"Category2","Technical Institutes")</f>
        <v>44650.237449161286</v>
      </c>
      <c r="O488" s="216"/>
      <c r="Q488" s="193"/>
      <c r="R488" s="193"/>
      <c r="S488" s="193"/>
    </row>
    <row r="489" spans="1:19" ht="12.95" customHeight="1">
      <c r="A489" s="12"/>
      <c r="B489" s="9"/>
      <c r="C489" s="17"/>
      <c r="D489" s="9"/>
      <c r="E489" s="17"/>
      <c r="F489" s="9"/>
      <c r="G489" s="17"/>
      <c r="H489" s="9"/>
      <c r="I489" s="233"/>
      <c r="J489" s="9"/>
      <c r="K489" s="17"/>
      <c r="L489" s="9"/>
      <c r="M489" s="233"/>
      <c r="N489" s="9"/>
      <c r="O489" s="217"/>
    </row>
    <row r="490" spans="1:19" ht="12.95" customHeight="1">
      <c r="A490" s="12" t="s">
        <v>439</v>
      </c>
      <c r="B490" s="62">
        <f>+GETPIVOTDATA(" Old Prof avg",'Averages Pivot Table'!$A$3,"State","AL","Category2","Technical Institutes")</f>
        <v>0</v>
      </c>
      <c r="C490" s="130">
        <f>IF(B490&gt;0,(RANK(B490,B$490:B$508)),0)</f>
        <v>0</v>
      </c>
      <c r="D490" s="62">
        <f>+GETPIVOTDATA(" Old Asc. avg",'Averages Pivot Table'!$A$3,"State","AL","Category2","Technical Institutes")</f>
        <v>0</v>
      </c>
      <c r="E490" s="130">
        <f>IF(D490&gt;0,(RANK(D490,D$490:D$508)),0)</f>
        <v>0</v>
      </c>
      <c r="F490" s="62">
        <f>+GETPIVOTDATA(" Old Ast. avg",'Averages Pivot Table'!$A$3,"State","AL","Category2","Technical Institutes")</f>
        <v>0</v>
      </c>
      <c r="G490" s="130">
        <f t="shared" ref="G490:G508" si="77">IF(F490&gt;0,(RANK(F490,F$490:F$508)),0)</f>
        <v>0</v>
      </c>
      <c r="H490" s="62">
        <f>+GETPIVOTDATA(" Old Inst. avg",'Averages Pivot Table'!$A$3,"State","AL","Category2","Technical Institutes")</f>
        <v>0</v>
      </c>
      <c r="I490" s="201">
        <f t="shared" ref="I490:I508" si="78">IF(H490&gt;0,(RANK(H490,H$490:H$508)),0)</f>
        <v>0</v>
      </c>
      <c r="J490" s="62">
        <f>+GETPIVOTDATA(" Old Undesg. avg",'Averages Pivot Table'!$A$3,"State","AL","Category2","Technical Institutes")</f>
        <v>0</v>
      </c>
      <c r="K490" s="130">
        <f t="shared" ref="K490:K508" si="79">IF(J490&gt;0,(RANK(J490,J$490:J$508)),0)</f>
        <v>0</v>
      </c>
      <c r="L490" s="62">
        <f>+GETPIVOTDATA(" Old Single Rnk avg",'Averages Pivot Table'!$A$3,"State","AL","Category2","Technical Institutes")</f>
        <v>53687.952004907973</v>
      </c>
      <c r="M490" s="201">
        <f t="shared" ref="M490:M508" si="80">IF(L490&gt;0,(RANK(L490,L$490:L$508)),0)</f>
        <v>1</v>
      </c>
      <c r="N490" s="62">
        <f>+GETPIVOTDATA(" Old All Ranks avg",'Averages Pivot Table'!$A$3,"State","AL","Category2","Technical Institutes")</f>
        <v>53687.952004907973</v>
      </c>
      <c r="O490" s="201">
        <f t="shared" ref="O490:O508" si="81">IF(N490&gt;0,(RANK(N490,N$490:N$508)),0)</f>
        <v>1</v>
      </c>
    </row>
    <row r="491" spans="1:19" ht="12.95" customHeight="1">
      <c r="A491" s="12" t="s">
        <v>440</v>
      </c>
      <c r="B491" s="62">
        <f>+GETPIVOTDATA(" Old Prof avg",'Averages Pivot Table'!$A$3,"State","AR","Category2","Technical Institutes")</f>
        <v>0</v>
      </c>
      <c r="C491" s="130">
        <f t="shared" ref="C491:E508" si="82">IF(B491&gt;0,(RANK(B491,B$490:B$508)),0)</f>
        <v>0</v>
      </c>
      <c r="D491" s="62">
        <f>+GETPIVOTDATA(" Old Asc. avg",'Averages Pivot Table'!$A$3,"State","AR","Category2","Technical Institutes")</f>
        <v>0</v>
      </c>
      <c r="E491" s="130">
        <f t="shared" si="82"/>
        <v>0</v>
      </c>
      <c r="F491" s="62">
        <f>+GETPIVOTDATA(" Old Ast. avg",'Averages Pivot Table'!$A$3,"State","AR","Category2","Technical Institutes")</f>
        <v>0</v>
      </c>
      <c r="G491" s="130">
        <f t="shared" si="77"/>
        <v>0</v>
      </c>
      <c r="H491" s="62">
        <f>+GETPIVOTDATA(" Old Inst. avg",'Averages Pivot Table'!$A$3,"State","AR","Category2","Technical Institutes")</f>
        <v>0</v>
      </c>
      <c r="I491" s="201">
        <f t="shared" si="78"/>
        <v>0</v>
      </c>
      <c r="J491" s="62">
        <f>+GETPIVOTDATA(" Old Undesg. avg",'Averages Pivot Table'!$A$3,"State","AR","Category2","Technical Institutes")</f>
        <v>0</v>
      </c>
      <c r="K491" s="130">
        <f t="shared" si="79"/>
        <v>0</v>
      </c>
      <c r="L491" s="62">
        <f>+GETPIVOTDATA(" Old Single Rnk avg",'Averages Pivot Table'!$A$3,"State","AR","Category2","Technical Institutes")</f>
        <v>0</v>
      </c>
      <c r="M491" s="201">
        <f t="shared" si="80"/>
        <v>0</v>
      </c>
      <c r="N491" s="62">
        <f>+GETPIVOTDATA(" Old All Ranks avg",'Averages Pivot Table'!$A$3,"State","AR","Category2","Technical Institutes")</f>
        <v>0</v>
      </c>
      <c r="O491" s="201">
        <f t="shared" si="81"/>
        <v>0</v>
      </c>
    </row>
    <row r="492" spans="1:19" ht="12.95" customHeight="1">
      <c r="A492" s="12" t="s">
        <v>455</v>
      </c>
      <c r="B492" s="62">
        <f>+GETPIVOTDATA(" Old Prof avg",'Averages Pivot Table'!$A$3,"State","DE","Category2","Technical Institutes")</f>
        <v>0</v>
      </c>
      <c r="C492" s="130">
        <f t="shared" si="82"/>
        <v>0</v>
      </c>
      <c r="D492" s="62">
        <f>+GETPIVOTDATA(" Old Asc. avg",'Averages Pivot Table'!$A$3,"State","DE","Category2","Technical Institutes")</f>
        <v>0</v>
      </c>
      <c r="E492" s="130">
        <f t="shared" si="82"/>
        <v>0</v>
      </c>
      <c r="F492" s="62">
        <f>+GETPIVOTDATA(" Old Ast. avg",'Averages Pivot Table'!$A$3,"State","DE","Category2","Technical Institutes")</f>
        <v>0</v>
      </c>
      <c r="G492" s="130">
        <f t="shared" si="77"/>
        <v>0</v>
      </c>
      <c r="H492" s="62">
        <f>+GETPIVOTDATA(" Old Inst. avg",'Averages Pivot Table'!$A$3,"State","DE","Category2","Technical Institutes")</f>
        <v>0</v>
      </c>
      <c r="I492" s="201">
        <f t="shared" si="78"/>
        <v>0</v>
      </c>
      <c r="J492" s="62">
        <f>+GETPIVOTDATA(" Old Undesg. avg",'Averages Pivot Table'!$A$3,"State","DE","Category2","Technical Institutes")</f>
        <v>0</v>
      </c>
      <c r="K492" s="130">
        <f t="shared" si="79"/>
        <v>0</v>
      </c>
      <c r="L492" s="62">
        <f>+GETPIVOTDATA(" Old Single Rnk avg",'Averages Pivot Table'!$A$3,"State","DE","Category2","Technical Institutes")</f>
        <v>0</v>
      </c>
      <c r="M492" s="201">
        <f t="shared" si="80"/>
        <v>0</v>
      </c>
      <c r="N492" s="62">
        <f>+GETPIVOTDATA(" Old All Ranks avg",'Averages Pivot Table'!$A$3,"State","DE","Category2","Technical Institutes")</f>
        <v>0</v>
      </c>
      <c r="O492" s="201">
        <f t="shared" si="81"/>
        <v>0</v>
      </c>
    </row>
    <row r="493" spans="1:19" ht="12.95" customHeight="1">
      <c r="A493" s="12" t="s">
        <v>441</v>
      </c>
      <c r="B493" s="62">
        <f>+GETPIVOTDATA(" Old Prof avg",'Averages Pivot Table'!$A$3,"State","FL","Category2","Technical Institutes")</f>
        <v>0</v>
      </c>
      <c r="C493" s="130">
        <f t="shared" si="82"/>
        <v>0</v>
      </c>
      <c r="D493" s="62">
        <f>+GETPIVOTDATA(" Old Asc. avg",'Averages Pivot Table'!$A$3,"State","FL","Category2","Technical Institutes")</f>
        <v>0</v>
      </c>
      <c r="E493" s="130">
        <f t="shared" si="82"/>
        <v>0</v>
      </c>
      <c r="F493" s="62">
        <f>+GETPIVOTDATA(" Old Ast. avg",'Averages Pivot Table'!$A$3,"State","FL","Category2","Technical Institutes")</f>
        <v>0</v>
      </c>
      <c r="G493" s="130">
        <f t="shared" si="77"/>
        <v>0</v>
      </c>
      <c r="H493" s="62">
        <f>+GETPIVOTDATA(" Old Inst. avg",'Averages Pivot Table'!$A$3,"State","FL","Category2","Technical Institutes")</f>
        <v>0</v>
      </c>
      <c r="I493" s="201">
        <f t="shared" si="78"/>
        <v>0</v>
      </c>
      <c r="J493" s="62">
        <f>+GETPIVOTDATA(" Old Undesg. avg",'Averages Pivot Table'!$A$3,"State","FL","Category2","Technical Institutes")</f>
        <v>0</v>
      </c>
      <c r="K493" s="130">
        <f t="shared" si="79"/>
        <v>0</v>
      </c>
      <c r="L493" s="62">
        <f>+GETPIVOTDATA(" Old Single Rnk avg",'Averages Pivot Table'!$A$3,"State","FL","Category2","Technical Institutes")</f>
        <v>0</v>
      </c>
      <c r="M493" s="201">
        <f t="shared" si="80"/>
        <v>0</v>
      </c>
      <c r="N493" s="62">
        <f>+GETPIVOTDATA(" Old All Ranks avg",'Averages Pivot Table'!$A$3,"State","FL","Category2","Technical Institutes")</f>
        <v>0</v>
      </c>
      <c r="O493" s="201">
        <f t="shared" si="81"/>
        <v>0</v>
      </c>
    </row>
    <row r="494" spans="1:19" ht="12.95" customHeight="1">
      <c r="A494" s="12"/>
      <c r="B494" s="62"/>
      <c r="C494" s="130">
        <f t="shared" si="82"/>
        <v>0</v>
      </c>
      <c r="D494" s="62"/>
      <c r="E494" s="130">
        <f t="shared" si="82"/>
        <v>0</v>
      </c>
      <c r="F494" s="62"/>
      <c r="G494" s="130">
        <f t="shared" si="77"/>
        <v>0</v>
      </c>
      <c r="H494" s="62"/>
      <c r="I494" s="201">
        <f t="shared" si="78"/>
        <v>0</v>
      </c>
      <c r="J494" s="62"/>
      <c r="K494" s="130">
        <f t="shared" si="79"/>
        <v>0</v>
      </c>
      <c r="L494" s="62"/>
      <c r="M494" s="201">
        <f t="shared" si="80"/>
        <v>0</v>
      </c>
      <c r="N494" s="62"/>
      <c r="O494" s="201">
        <f t="shared" si="81"/>
        <v>0</v>
      </c>
    </row>
    <row r="495" spans="1:19" ht="12.95" customHeight="1">
      <c r="A495" s="12" t="s">
        <v>442</v>
      </c>
      <c r="B495" s="62">
        <f>+GETPIVOTDATA(" Old Prof avg",'Averages Pivot Table'!$A$3,"State","GA","Category2","Technical Institutes")</f>
        <v>0</v>
      </c>
      <c r="C495" s="130">
        <f t="shared" si="82"/>
        <v>0</v>
      </c>
      <c r="D495" s="62">
        <f>+GETPIVOTDATA(" Old Asc. avg",'Averages Pivot Table'!$A$3,"State","GA","Category2","Technical Institutes")</f>
        <v>0</v>
      </c>
      <c r="E495" s="130">
        <f t="shared" si="82"/>
        <v>0</v>
      </c>
      <c r="F495" s="62">
        <f>+GETPIVOTDATA(" Old Ast. avg",'Averages Pivot Table'!$A$3,"State","GA","Category2","Technical Institutes")</f>
        <v>0</v>
      </c>
      <c r="G495" s="130">
        <f t="shared" si="77"/>
        <v>0</v>
      </c>
      <c r="H495" s="62">
        <f>+GETPIVOTDATA(" Old Inst. avg",'Averages Pivot Table'!$A$3,"State","GA","Category2","Technical Institutes")</f>
        <v>0</v>
      </c>
      <c r="I495" s="201">
        <f t="shared" si="78"/>
        <v>0</v>
      </c>
      <c r="J495" s="62">
        <f>+GETPIVOTDATA(" Old Undesg. avg",'Averages Pivot Table'!$A$3,"State","GA","Category2","Technical Institutes")</f>
        <v>0</v>
      </c>
      <c r="K495" s="130">
        <f t="shared" si="79"/>
        <v>0</v>
      </c>
      <c r="L495" s="62">
        <f>+GETPIVOTDATA(" Old Single Rnk avg",'Averages Pivot Table'!$A$3,"State","GA","Category2","Technical Institutes")</f>
        <v>44879.06612536747</v>
      </c>
      <c r="M495" s="201">
        <f t="shared" si="80"/>
        <v>3</v>
      </c>
      <c r="N495" s="62">
        <f>+GETPIVOTDATA(" Old All Ranks avg",'Averages Pivot Table'!$A$3,"State","GA","Category2","Technical Institutes")</f>
        <v>44879.06612536747</v>
      </c>
      <c r="O495" s="201">
        <f t="shared" si="81"/>
        <v>3</v>
      </c>
    </row>
    <row r="496" spans="1:19" ht="12.95" customHeight="1">
      <c r="A496" s="12" t="s">
        <v>443</v>
      </c>
      <c r="B496" s="62">
        <f>+GETPIVOTDATA(" Old Prof avg",'Averages Pivot Table'!$A$3,"State","KY","Category2","Technical Institutes")</f>
        <v>62655.574644444445</v>
      </c>
      <c r="C496" s="130">
        <f t="shared" si="82"/>
        <v>1</v>
      </c>
      <c r="D496" s="62">
        <f>+GETPIVOTDATA(" Old Asc. avg",'Averages Pivot Table'!$A$3,"State","KY","Category2","Technical Institutes")</f>
        <v>50449.382593939394</v>
      </c>
      <c r="E496" s="130">
        <f t="shared" si="82"/>
        <v>1</v>
      </c>
      <c r="F496" s="62">
        <f>+GETPIVOTDATA(" Old Ast. avg",'Averages Pivot Table'!$A$3,"State","KY","Category2","Technical Institutes")</f>
        <v>43874.66367894737</v>
      </c>
      <c r="G496" s="130">
        <f t="shared" si="77"/>
        <v>1</v>
      </c>
      <c r="H496" s="62">
        <f>+GETPIVOTDATA(" Old Inst. avg",'Averages Pivot Table'!$A$3,"State","KY","Category2","Technical Institutes")</f>
        <v>38988.415929230767</v>
      </c>
      <c r="I496" s="201">
        <f t="shared" si="78"/>
        <v>2</v>
      </c>
      <c r="J496" s="62">
        <f>+GETPIVOTDATA(" Old Undesg. avg",'Averages Pivot Table'!$A$3,"State","KY","Category2","Technical Institutes")</f>
        <v>0</v>
      </c>
      <c r="K496" s="130">
        <f t="shared" si="79"/>
        <v>0</v>
      </c>
      <c r="L496" s="62">
        <f>+GETPIVOTDATA(" Old Single Rnk avg",'Averages Pivot Table'!$A$3,"State","KY","Category2","Technical Institutes")</f>
        <v>0</v>
      </c>
      <c r="M496" s="201">
        <f t="shared" si="80"/>
        <v>0</v>
      </c>
      <c r="N496" s="62">
        <f>+GETPIVOTDATA(" Old All Ranks avg",'Averages Pivot Table'!$A$3,"State","KY","Category2","Technical Institutes")</f>
        <v>44346.303811034486</v>
      </c>
      <c r="O496" s="201">
        <f t="shared" si="81"/>
        <v>4</v>
      </c>
    </row>
    <row r="497" spans="1:15" ht="12.95" customHeight="1">
      <c r="A497" s="12" t="s">
        <v>444</v>
      </c>
      <c r="B497" s="62">
        <f>+GETPIVOTDATA(" Old Prof avg",'Averages Pivot Table'!$A$3,"State","LA","Category2","Technical Institutes")</f>
        <v>0</v>
      </c>
      <c r="C497" s="130">
        <f t="shared" si="82"/>
        <v>0</v>
      </c>
      <c r="D497" s="62">
        <f>+GETPIVOTDATA(" Old Asc. avg",'Averages Pivot Table'!$A$3,"State","LA","Category2","Technical Institutes")</f>
        <v>0</v>
      </c>
      <c r="E497" s="130">
        <f t="shared" si="82"/>
        <v>0</v>
      </c>
      <c r="F497" s="62">
        <f>+GETPIVOTDATA(" Old Ast. avg",'Averages Pivot Table'!$A$3,"State","LA","Category2","Technical Institutes")</f>
        <v>0</v>
      </c>
      <c r="G497" s="130">
        <f t="shared" si="77"/>
        <v>0</v>
      </c>
      <c r="H497" s="62">
        <f>+GETPIVOTDATA(" Old Inst. avg",'Averages Pivot Table'!$A$3,"State","LA","Category2","Technical Institutes")</f>
        <v>40204.062116666661</v>
      </c>
      <c r="I497" s="201">
        <f t="shared" si="78"/>
        <v>1</v>
      </c>
      <c r="J497" s="62">
        <f>+GETPIVOTDATA(" Old Undesg. avg",'Averages Pivot Table'!$A$3,"State","LA","Category2","Technical Institutes")</f>
        <v>25000</v>
      </c>
      <c r="K497" s="130">
        <f t="shared" si="79"/>
        <v>1</v>
      </c>
      <c r="L497" s="62">
        <f>+GETPIVOTDATA(" Old Single Rnk avg",'Averages Pivot Table'!$A$3,"State","LA","Category2","Technical Institutes")</f>
        <v>40121.755793600001</v>
      </c>
      <c r="M497" s="201">
        <f t="shared" si="80"/>
        <v>4</v>
      </c>
      <c r="N497" s="62">
        <f>+GETPIVOTDATA(" Old All Ranks avg",'Averages Pivot Table'!$A$3,"State","LA","Category2","Technical Institutes")</f>
        <v>40111.521519540227</v>
      </c>
      <c r="O497" s="201">
        <f t="shared" si="81"/>
        <v>5</v>
      </c>
    </row>
    <row r="498" spans="1:15" ht="12.95" customHeight="1">
      <c r="A498" s="12" t="s">
        <v>445</v>
      </c>
      <c r="B498" s="62">
        <f>+GETPIVOTDATA(" Old Prof avg",'Averages Pivot Table'!$A$3,"State","MD","Category2","Technical Institutes")</f>
        <v>0</v>
      </c>
      <c r="C498" s="130">
        <f t="shared" si="82"/>
        <v>0</v>
      </c>
      <c r="D498" s="62">
        <f>+GETPIVOTDATA(" Old Asc. avg",'Averages Pivot Table'!$A$3,"State","MD","Category2","Technical Institutes")</f>
        <v>0</v>
      </c>
      <c r="E498" s="130">
        <f t="shared" si="82"/>
        <v>0</v>
      </c>
      <c r="F498" s="62">
        <f>+GETPIVOTDATA(" Old Ast. avg",'Averages Pivot Table'!$A$3,"State","MD","Category2","Technical Institutes")</f>
        <v>0</v>
      </c>
      <c r="G498" s="130">
        <f t="shared" si="77"/>
        <v>0</v>
      </c>
      <c r="H498" s="62">
        <f>+GETPIVOTDATA(" Old Inst. avg",'Averages Pivot Table'!$A$3,"State","MD","Category2","Technical Institutes")</f>
        <v>0</v>
      </c>
      <c r="I498" s="201">
        <f t="shared" si="78"/>
        <v>0</v>
      </c>
      <c r="J498" s="62">
        <f>+GETPIVOTDATA(" Old Undesg. avg",'Averages Pivot Table'!$A$3,"State","MD","Category2","Technical Institutes")</f>
        <v>0</v>
      </c>
      <c r="K498" s="130">
        <f t="shared" si="79"/>
        <v>0</v>
      </c>
      <c r="L498" s="62">
        <f>+GETPIVOTDATA(" Old Single Rnk avg",'Averages Pivot Table'!$A$3,"State","MD","Category2","Technical Institutes")</f>
        <v>0</v>
      </c>
      <c r="M498" s="201">
        <f t="shared" si="80"/>
        <v>0</v>
      </c>
      <c r="N498" s="62">
        <f>+GETPIVOTDATA(" Old All Ranks avg",'Averages Pivot Table'!$A$3,"State","MD","Category2","Technical Institutes")</f>
        <v>0</v>
      </c>
      <c r="O498" s="201">
        <f t="shared" si="81"/>
        <v>0</v>
      </c>
    </row>
    <row r="499" spans="1:15" ht="12.95" customHeight="1">
      <c r="A499" s="12"/>
      <c r="B499" s="62"/>
      <c r="C499" s="130">
        <f t="shared" si="82"/>
        <v>0</v>
      </c>
      <c r="D499" s="62"/>
      <c r="E499" s="130">
        <f t="shared" si="82"/>
        <v>0</v>
      </c>
      <c r="F499" s="62"/>
      <c r="G499" s="130">
        <f t="shared" si="77"/>
        <v>0</v>
      </c>
      <c r="H499" s="62"/>
      <c r="I499" s="201">
        <f t="shared" si="78"/>
        <v>0</v>
      </c>
      <c r="J499" s="62"/>
      <c r="K499" s="130">
        <f t="shared" si="79"/>
        <v>0</v>
      </c>
      <c r="L499" s="62"/>
      <c r="M499" s="201">
        <f t="shared" si="80"/>
        <v>0</v>
      </c>
      <c r="N499" s="62"/>
      <c r="O499" s="201">
        <f t="shared" si="81"/>
        <v>0</v>
      </c>
    </row>
    <row r="500" spans="1:15" ht="12.95" customHeight="1">
      <c r="A500" s="12" t="s">
        <v>446</v>
      </c>
      <c r="B500" s="62">
        <f>+GETPIVOTDATA(" Old Prof avg",'Averages Pivot Table'!$A$3,"State","MS","Category2","Technical Institutes")</f>
        <v>0</v>
      </c>
      <c r="C500" s="130">
        <f t="shared" si="82"/>
        <v>0</v>
      </c>
      <c r="D500" s="62">
        <f>+GETPIVOTDATA(" Old Asc. avg",'Averages Pivot Table'!$A$3,"State","MS","Category2","Technical Institutes")</f>
        <v>0</v>
      </c>
      <c r="E500" s="130">
        <f t="shared" si="82"/>
        <v>0</v>
      </c>
      <c r="F500" s="62">
        <f>+GETPIVOTDATA(" Old Ast. avg",'Averages Pivot Table'!$A$3,"State","MS","Category2","Technical Institutes")</f>
        <v>0</v>
      </c>
      <c r="G500" s="130">
        <f t="shared" si="77"/>
        <v>0</v>
      </c>
      <c r="H500" s="62">
        <f>+GETPIVOTDATA(" Old Inst. avg",'Averages Pivot Table'!$A$3,"State","MS","Category2","Technical Institutes")</f>
        <v>0</v>
      </c>
      <c r="I500" s="201">
        <f t="shared" si="78"/>
        <v>0</v>
      </c>
      <c r="J500" s="62">
        <f>+GETPIVOTDATA(" Old Undesg. avg",'Averages Pivot Table'!$A$3,"State","MS","Category2","Technical Institutes")</f>
        <v>0</v>
      </c>
      <c r="K500" s="130">
        <f t="shared" si="79"/>
        <v>0</v>
      </c>
      <c r="L500" s="62">
        <f>+GETPIVOTDATA(" Old Single Rnk avg",'Averages Pivot Table'!$A$3,"State","MS","Category2","Technical Institutes")</f>
        <v>0</v>
      </c>
      <c r="M500" s="201">
        <f t="shared" si="80"/>
        <v>0</v>
      </c>
      <c r="N500" s="62">
        <f>+GETPIVOTDATA(" Old All Ranks avg",'Averages Pivot Table'!$A$3,"State","MS","Category2","Technical Institutes")</f>
        <v>0</v>
      </c>
      <c r="O500" s="201">
        <f t="shared" si="81"/>
        <v>0</v>
      </c>
    </row>
    <row r="501" spans="1:15" ht="12.95" customHeight="1">
      <c r="A501" s="12" t="s">
        <v>447</v>
      </c>
      <c r="B501" s="62">
        <f>+GETPIVOTDATA(" Old Prof avg",'Averages Pivot Table'!$A$3,"State","NC","Category2","Technical Institutes")</f>
        <v>0</v>
      </c>
      <c r="C501" s="130">
        <f t="shared" si="82"/>
        <v>0</v>
      </c>
      <c r="D501" s="62">
        <f>+GETPIVOTDATA(" Old Asc. avg",'Averages Pivot Table'!$A$3,"State","NC","Category2","Technical Institutes")</f>
        <v>0</v>
      </c>
      <c r="E501" s="130">
        <f t="shared" si="82"/>
        <v>0</v>
      </c>
      <c r="F501" s="62">
        <f>+GETPIVOTDATA(" Old Ast. avg",'Averages Pivot Table'!$A$3,"State","NC","Category2","Technical Institutes")</f>
        <v>0</v>
      </c>
      <c r="G501" s="130">
        <f t="shared" si="77"/>
        <v>0</v>
      </c>
      <c r="H501" s="62">
        <f>+GETPIVOTDATA(" Old Inst. avg",'Averages Pivot Table'!$A$3,"State","NC","Category2","Technical Institutes")</f>
        <v>0</v>
      </c>
      <c r="I501" s="201">
        <f t="shared" si="78"/>
        <v>0</v>
      </c>
      <c r="J501" s="62">
        <f>+GETPIVOTDATA(" Old Undesg. avg",'Averages Pivot Table'!$A$3,"State","NC","Category2","Technical Institutes")</f>
        <v>0</v>
      </c>
      <c r="K501" s="130">
        <f t="shared" si="79"/>
        <v>0</v>
      </c>
      <c r="L501" s="62">
        <f>+GETPIVOTDATA(" Old Single Rnk avg",'Averages Pivot Table'!$A$3,"State","NC","Category2","Technical Institutes")</f>
        <v>0</v>
      </c>
      <c r="M501" s="201">
        <f t="shared" si="80"/>
        <v>0</v>
      </c>
      <c r="N501" s="62">
        <f>+GETPIVOTDATA(" Old All Ranks avg",'Averages Pivot Table'!$A$3,"State","NC","Category2","Technical Institutes")</f>
        <v>0</v>
      </c>
      <c r="O501" s="201">
        <f t="shared" si="81"/>
        <v>0</v>
      </c>
    </row>
    <row r="502" spans="1:15" ht="12.95" customHeight="1">
      <c r="A502" s="12" t="s">
        <v>448</v>
      </c>
      <c r="B502" s="62">
        <f>+GETPIVOTDATA(" Old Prof avg",'Averages Pivot Table'!$A$3,"State","OK","Category2","Technical Institutes")</f>
        <v>0</v>
      </c>
      <c r="C502" s="130">
        <f t="shared" si="82"/>
        <v>0</v>
      </c>
      <c r="D502" s="62">
        <f>+GETPIVOTDATA(" Old Asc. avg",'Averages Pivot Table'!$A$3,"State","OK","Category2","Technical Institutes")</f>
        <v>0</v>
      </c>
      <c r="E502" s="130">
        <f t="shared" si="82"/>
        <v>0</v>
      </c>
      <c r="F502" s="62">
        <f>+GETPIVOTDATA(" Old Ast. avg",'Averages Pivot Table'!$A$3,"State","OK","Category2","Technical Institutes")</f>
        <v>0</v>
      </c>
      <c r="G502" s="130">
        <f t="shared" si="77"/>
        <v>0</v>
      </c>
      <c r="H502" s="62">
        <f>+GETPIVOTDATA(" Old Inst. avg",'Averages Pivot Table'!$A$3,"State","OK","Category2","Technical Institutes")</f>
        <v>0</v>
      </c>
      <c r="I502" s="201">
        <f t="shared" si="78"/>
        <v>0</v>
      </c>
      <c r="J502" s="62">
        <f>+GETPIVOTDATA(" Old Undesg. avg",'Averages Pivot Table'!$A$3,"State","OK","Category2","Technical Institutes")</f>
        <v>0</v>
      </c>
      <c r="K502" s="130">
        <f t="shared" si="79"/>
        <v>0</v>
      </c>
      <c r="L502" s="62">
        <f>+GETPIVOTDATA(" Old Single Rnk avg",'Averages Pivot Table'!$A$3,"State","OK","Category2","Technical Institutes")</f>
        <v>48726.991984505796</v>
      </c>
      <c r="M502" s="201">
        <f t="shared" si="80"/>
        <v>2</v>
      </c>
      <c r="N502" s="62">
        <f>+GETPIVOTDATA(" Old All Ranks avg",'Averages Pivot Table'!$A$3,"State","OK","Category2","Technical Institutes")</f>
        <v>48726.991984505796</v>
      </c>
      <c r="O502" s="201">
        <f t="shared" si="81"/>
        <v>2</v>
      </c>
    </row>
    <row r="503" spans="1:15" ht="12.95" customHeight="1">
      <c r="A503" s="12" t="s">
        <v>449</v>
      </c>
      <c r="B503" s="62">
        <f>+GETPIVOTDATA(" Old Prof avg",'Averages Pivot Table'!$A$3,"State","SC","Category2","Technical Institutes")</f>
        <v>0</v>
      </c>
      <c r="C503" s="130">
        <f t="shared" si="82"/>
        <v>0</v>
      </c>
      <c r="D503" s="62">
        <f>+GETPIVOTDATA(" Old Asc. avg",'Averages Pivot Table'!$A$3,"State","SC","Category2","Technical Institutes")</f>
        <v>0</v>
      </c>
      <c r="E503" s="130">
        <f t="shared" si="82"/>
        <v>0</v>
      </c>
      <c r="F503" s="62">
        <f>+GETPIVOTDATA(" Old Ast. avg",'Averages Pivot Table'!$A$3,"State","SC","Category2","Technical Institutes")</f>
        <v>0</v>
      </c>
      <c r="G503" s="130">
        <f t="shared" si="77"/>
        <v>0</v>
      </c>
      <c r="H503" s="62">
        <f>+GETPIVOTDATA(" Old Inst. avg",'Averages Pivot Table'!$A$3,"State","SC","Category2","Technical Institutes")</f>
        <v>0</v>
      </c>
      <c r="I503" s="201">
        <f t="shared" si="78"/>
        <v>0</v>
      </c>
      <c r="J503" s="62">
        <f>+GETPIVOTDATA(" Old Undesg. avg",'Averages Pivot Table'!$A$3,"State","SC","Category2","Technical Institutes")</f>
        <v>0</v>
      </c>
      <c r="K503" s="130">
        <f t="shared" si="79"/>
        <v>0</v>
      </c>
      <c r="L503" s="62">
        <f>+GETPIVOTDATA(" Old Single Rnk avg",'Averages Pivot Table'!$A$3,"State","SC","Category2","Technical Institutes")</f>
        <v>0</v>
      </c>
      <c r="M503" s="201">
        <f t="shared" si="80"/>
        <v>0</v>
      </c>
      <c r="N503" s="62">
        <f>+GETPIVOTDATA(" Old All Ranks avg",'Averages Pivot Table'!$A$3,"State","SC","Category2","Technical Institutes")</f>
        <v>0</v>
      </c>
      <c r="O503" s="201">
        <f t="shared" si="81"/>
        <v>0</v>
      </c>
    </row>
    <row r="504" spans="1:15" ht="12.95" customHeight="1">
      <c r="A504" s="12"/>
      <c r="B504" s="62"/>
      <c r="C504" s="130">
        <f t="shared" si="82"/>
        <v>0</v>
      </c>
      <c r="D504" s="62"/>
      <c r="E504" s="130">
        <f t="shared" si="82"/>
        <v>0</v>
      </c>
      <c r="F504" s="62"/>
      <c r="G504" s="130">
        <f t="shared" si="77"/>
        <v>0</v>
      </c>
      <c r="H504" s="62"/>
      <c r="I504" s="201">
        <f t="shared" si="78"/>
        <v>0</v>
      </c>
      <c r="J504" s="62"/>
      <c r="K504" s="130">
        <f t="shared" si="79"/>
        <v>0</v>
      </c>
      <c r="L504" s="62"/>
      <c r="M504" s="201">
        <f t="shared" si="80"/>
        <v>0</v>
      </c>
      <c r="N504" s="62"/>
      <c r="O504" s="201">
        <f t="shared" si="81"/>
        <v>0</v>
      </c>
    </row>
    <row r="505" spans="1:15" ht="12.95" customHeight="1">
      <c r="A505" s="12" t="s">
        <v>450</v>
      </c>
      <c r="B505" s="129">
        <f>+GETPIVOTDATA(" Old Prof avg",'Averages Pivot Table'!$A$3,"State","TN","Category2","Technical Institutes")</f>
        <v>0</v>
      </c>
      <c r="C505" s="130">
        <f t="shared" si="82"/>
        <v>0</v>
      </c>
      <c r="D505" s="129">
        <f>+GETPIVOTDATA(" Old Asc. avg",'Averages Pivot Table'!$A$3,"State","TN","Category2","Technical Institutes")</f>
        <v>0</v>
      </c>
      <c r="E505" s="130">
        <f t="shared" si="82"/>
        <v>0</v>
      </c>
      <c r="F505" s="129">
        <f>+GETPIVOTDATA(" Old Ast. avg",'Averages Pivot Table'!$A$3,"State","TN","Category2","Technical Institutes")</f>
        <v>0</v>
      </c>
      <c r="G505" s="130">
        <f t="shared" si="77"/>
        <v>0</v>
      </c>
      <c r="H505" s="129">
        <f>+GETPIVOTDATA(" Old Inst. avg",'Averages Pivot Table'!$A$3,"State","TN","Category2","Technical Institutes")</f>
        <v>0</v>
      </c>
      <c r="I505" s="201">
        <f t="shared" si="78"/>
        <v>0</v>
      </c>
      <c r="J505" s="129">
        <f>+GETPIVOTDATA(" Old Undesg. avg",'Averages Pivot Table'!$A$3,"State","TN","Category2","Technical Institutes")</f>
        <v>0</v>
      </c>
      <c r="K505" s="130">
        <f t="shared" si="79"/>
        <v>0</v>
      </c>
      <c r="L505" s="129">
        <f>+GETPIVOTDATA(" Old Single Rnk avg",'Averages Pivot Table'!$A$3,"State","TN","Category2","Technical Institutes")</f>
        <v>37213.522648303377</v>
      </c>
      <c r="M505" s="201">
        <f t="shared" si="80"/>
        <v>5</v>
      </c>
      <c r="N505" s="62">
        <f>+GETPIVOTDATA(" Old All Ranks avg",'Averages Pivot Table'!$A$3,"State","TN","Category2","Technical Institutes")</f>
        <v>37213.522648303377</v>
      </c>
      <c r="O505" s="201">
        <f t="shared" si="81"/>
        <v>6</v>
      </c>
    </row>
    <row r="506" spans="1:15" ht="12.95" customHeight="1">
      <c r="A506" s="12" t="s">
        <v>451</v>
      </c>
      <c r="B506" s="129">
        <f>+GETPIVOTDATA(" Old Prof avg",'Averages Pivot Table'!$A$3,"State","TX","Category2","Technical Institutes")</f>
        <v>0</v>
      </c>
      <c r="C506" s="130">
        <f t="shared" si="82"/>
        <v>0</v>
      </c>
      <c r="D506" s="129">
        <f>+GETPIVOTDATA(" Old Asc. avg",'Averages Pivot Table'!$A$3,"State","TX","Category2","Technical Institutes")</f>
        <v>0</v>
      </c>
      <c r="E506" s="130">
        <f t="shared" si="82"/>
        <v>0</v>
      </c>
      <c r="F506" s="129">
        <f>+GETPIVOTDATA(" Old Ast. avg",'Averages Pivot Table'!$A$3,"State","TX","Category2","Technical Institutes")</f>
        <v>0</v>
      </c>
      <c r="G506" s="130">
        <f t="shared" si="77"/>
        <v>0</v>
      </c>
      <c r="H506" s="129">
        <f>+GETPIVOTDATA(" Old Inst. avg",'Averages Pivot Table'!$A$3,"State","TX","Category2","Technical Institutes")</f>
        <v>0</v>
      </c>
      <c r="I506" s="201">
        <f t="shared" si="78"/>
        <v>0</v>
      </c>
      <c r="J506" s="129">
        <f>+GETPIVOTDATA(" Old Undesg. avg",'Averages Pivot Table'!$A$3,"State","TX","Category2","Technical Institutes")</f>
        <v>0</v>
      </c>
      <c r="K506" s="130">
        <f t="shared" si="79"/>
        <v>0</v>
      </c>
      <c r="L506" s="129">
        <f>+GETPIVOTDATA(" Old Single Rnk avg",'Averages Pivot Table'!$A$3,"State","TX","Category2","Technical Institutes")</f>
        <v>0</v>
      </c>
      <c r="M506" s="201">
        <f t="shared" si="80"/>
        <v>0</v>
      </c>
      <c r="N506" s="62">
        <f>+GETPIVOTDATA(" Old All Ranks avg",'Averages Pivot Table'!$A$3,"State","TX","Category2","Technical Institutes")</f>
        <v>0</v>
      </c>
      <c r="O506" s="201">
        <f t="shared" si="81"/>
        <v>0</v>
      </c>
    </row>
    <row r="507" spans="1:15" ht="12.95" customHeight="1">
      <c r="A507" s="12" t="s">
        <v>452</v>
      </c>
      <c r="B507" s="129">
        <f>+GETPIVOTDATA(" Old Prof avg",'Averages Pivot Table'!$A$3,"State","VA","Category2","Technical Institutes")</f>
        <v>0</v>
      </c>
      <c r="C507" s="130">
        <f t="shared" si="82"/>
        <v>0</v>
      </c>
      <c r="D507" s="129">
        <f>+GETPIVOTDATA(" Old Asc. avg",'Averages Pivot Table'!$A$3,"State","VA","Category2","Technical Institutes")</f>
        <v>0</v>
      </c>
      <c r="E507" s="130">
        <f t="shared" si="82"/>
        <v>0</v>
      </c>
      <c r="F507" s="129">
        <f>+GETPIVOTDATA(" Old Ast. avg",'Averages Pivot Table'!$A$3,"State","VA","Category2","Technical Institutes")</f>
        <v>0</v>
      </c>
      <c r="G507" s="130">
        <f t="shared" si="77"/>
        <v>0</v>
      </c>
      <c r="H507" s="129">
        <f>+GETPIVOTDATA(" Old Inst. avg",'Averages Pivot Table'!$A$3,"State","VA","Category2","Technical Institutes")</f>
        <v>0</v>
      </c>
      <c r="I507" s="201">
        <f t="shared" si="78"/>
        <v>0</v>
      </c>
      <c r="J507" s="129">
        <f>+GETPIVOTDATA(" Old Undesg. avg",'Averages Pivot Table'!$A$3,"State","VA","Category2","Technical Institutes")</f>
        <v>0</v>
      </c>
      <c r="K507" s="130">
        <f t="shared" si="79"/>
        <v>0</v>
      </c>
      <c r="L507" s="129">
        <f>+GETPIVOTDATA(" Old Single Rnk avg",'Averages Pivot Table'!$A$3,"State","VA","Category2","Technical Institutes")</f>
        <v>0</v>
      </c>
      <c r="M507" s="201">
        <f t="shared" si="80"/>
        <v>0</v>
      </c>
      <c r="N507" s="62">
        <f>+GETPIVOTDATA(" Old All Ranks avg",'Averages Pivot Table'!$A$3,"State","VA","Category2","Technical Institutes")</f>
        <v>0</v>
      </c>
      <c r="O507" s="201">
        <f t="shared" si="81"/>
        <v>0</v>
      </c>
    </row>
    <row r="508" spans="1:15" ht="12.95" customHeight="1">
      <c r="A508" s="11" t="s">
        <v>453</v>
      </c>
      <c r="B508" s="64">
        <f>+GETPIVOTDATA(" Old Prof avg",'Averages Pivot Table'!$A$3,"State","WV","Category2","Technical Institutes")</f>
        <v>0</v>
      </c>
      <c r="C508" s="65">
        <f t="shared" si="82"/>
        <v>0</v>
      </c>
      <c r="D508" s="64">
        <f>+GETPIVOTDATA(" Old Asc. avg",'Averages Pivot Table'!$A$3,"State","WV","Category2","Technical Institutes")</f>
        <v>0</v>
      </c>
      <c r="E508" s="65">
        <f t="shared" si="82"/>
        <v>0</v>
      </c>
      <c r="F508" s="64">
        <f>+GETPIVOTDATA(" Old Ast. avg",'Averages Pivot Table'!$A$3,"State","WV","Category2","Technical Institutes")</f>
        <v>0</v>
      </c>
      <c r="G508" s="65">
        <f t="shared" si="77"/>
        <v>0</v>
      </c>
      <c r="H508" s="64">
        <f>+GETPIVOTDATA(" Old Inst. avg",'Averages Pivot Table'!$A$3,"State","WV","Category2","Technical Institutes")</f>
        <v>0</v>
      </c>
      <c r="I508" s="202">
        <f t="shared" si="78"/>
        <v>0</v>
      </c>
      <c r="J508" s="64">
        <f>+GETPIVOTDATA(" Old Undesg. avg",'Averages Pivot Table'!$A$3,"State","WV","Category2","Technical Institutes")</f>
        <v>0</v>
      </c>
      <c r="K508" s="65">
        <f t="shared" si="79"/>
        <v>0</v>
      </c>
      <c r="L508" s="64">
        <f>+GETPIVOTDATA(" Old Single Rnk avg",'Averages Pivot Table'!$A$3,"State","WV","Category2","Technical Institutes")</f>
        <v>0</v>
      </c>
      <c r="M508" s="202">
        <f t="shared" si="80"/>
        <v>0</v>
      </c>
      <c r="N508" s="64">
        <f>+GETPIVOTDATA(" Old All Ranks avg",'Averages Pivot Table'!$A$3,"State","WV","Category2","Technical Institutes")</f>
        <v>0</v>
      </c>
      <c r="O508" s="202">
        <f t="shared" si="81"/>
        <v>0</v>
      </c>
    </row>
    <row r="509" spans="1:15" ht="30" customHeight="1">
      <c r="A509" s="634" t="s">
        <v>323</v>
      </c>
      <c r="B509" s="634"/>
      <c r="C509" s="634"/>
      <c r="D509" s="634"/>
      <c r="E509" s="634"/>
      <c r="F509" s="634"/>
      <c r="G509" s="634"/>
      <c r="H509" s="634"/>
      <c r="I509" s="634"/>
      <c r="J509" s="634"/>
      <c r="K509" s="634"/>
      <c r="L509" s="634"/>
      <c r="M509" s="634"/>
      <c r="N509" s="634"/>
      <c r="O509" s="634"/>
    </row>
    <row r="510" spans="1:15">
      <c r="O510" s="244" t="s">
        <v>1166</v>
      </c>
    </row>
    <row r="511" spans="1:15" ht="18">
      <c r="A511" s="618" t="s">
        <v>793</v>
      </c>
      <c r="B511" s="618"/>
      <c r="C511" s="618"/>
      <c r="D511" s="618"/>
      <c r="E511" s="618"/>
      <c r="F511" s="618"/>
      <c r="G511" s="618"/>
      <c r="H511" s="618"/>
      <c r="I511" s="618"/>
      <c r="J511" s="618"/>
      <c r="K511" s="618"/>
      <c r="L511" s="618"/>
      <c r="M511" s="618"/>
      <c r="N511" s="618"/>
      <c r="O511" s="618"/>
    </row>
    <row r="512" spans="1:15">
      <c r="A512" s="23"/>
      <c r="B512" s="5"/>
      <c r="C512" s="5"/>
      <c r="D512" s="5"/>
      <c r="E512" s="5"/>
      <c r="F512" s="5"/>
      <c r="G512" s="5"/>
      <c r="H512" s="5"/>
      <c r="I512" s="159"/>
      <c r="J512" s="5"/>
      <c r="K512" s="5"/>
      <c r="L512" s="5"/>
      <c r="M512" s="159"/>
      <c r="N512" s="5"/>
      <c r="O512" s="159"/>
    </row>
    <row r="513" spans="1:19">
      <c r="A513" s="619" t="s">
        <v>454</v>
      </c>
      <c r="B513" s="619"/>
      <c r="C513" s="619"/>
      <c r="D513" s="619"/>
      <c r="E513" s="619"/>
      <c r="F513" s="619"/>
      <c r="G513" s="619"/>
      <c r="H513" s="619"/>
      <c r="I513" s="619"/>
      <c r="J513" s="619"/>
      <c r="K513" s="619"/>
      <c r="L513" s="619"/>
      <c r="M513" s="619"/>
      <c r="N513" s="619"/>
      <c r="O513" s="619"/>
    </row>
    <row r="514" spans="1:19">
      <c r="A514" s="619" t="s">
        <v>771</v>
      </c>
      <c r="B514" s="619"/>
      <c r="C514" s="619"/>
      <c r="D514" s="619"/>
      <c r="E514" s="619"/>
      <c r="F514" s="619"/>
      <c r="G514" s="619"/>
      <c r="H514" s="619"/>
      <c r="I514" s="619"/>
      <c r="J514" s="619"/>
      <c r="K514" s="619"/>
      <c r="L514" s="619"/>
      <c r="M514" s="619"/>
      <c r="N514" s="619"/>
      <c r="O514" s="619"/>
    </row>
    <row r="515" spans="1:19">
      <c r="A515" s="12"/>
      <c r="B515" s="5"/>
      <c r="C515" s="5"/>
      <c r="D515" s="5"/>
      <c r="E515" s="5"/>
      <c r="F515" s="5"/>
      <c r="G515" s="5"/>
      <c r="H515" s="5"/>
      <c r="I515" s="159"/>
      <c r="J515" s="5"/>
      <c r="K515" s="5"/>
      <c r="L515" s="5"/>
      <c r="M515" s="159"/>
      <c r="N515" s="5"/>
      <c r="O515" s="159"/>
    </row>
    <row r="516" spans="1:19" ht="31.5" customHeight="1">
      <c r="A516" s="15"/>
      <c r="B516" s="21" t="s">
        <v>332</v>
      </c>
      <c r="C516" s="22"/>
      <c r="D516" s="141" t="s">
        <v>333</v>
      </c>
      <c r="E516" s="142"/>
      <c r="F516" s="141" t="s">
        <v>334</v>
      </c>
      <c r="G516" s="142"/>
      <c r="H516" s="21" t="s">
        <v>335</v>
      </c>
      <c r="I516" s="225"/>
      <c r="J516" s="141" t="s">
        <v>461</v>
      </c>
      <c r="K516" s="142"/>
      <c r="L516" s="22" t="s">
        <v>314</v>
      </c>
      <c r="M516" s="225"/>
      <c r="N516" s="22" t="s">
        <v>316</v>
      </c>
      <c r="O516" s="225"/>
    </row>
    <row r="517" spans="1:19">
      <c r="A517" s="25"/>
      <c r="B517" s="19" t="s">
        <v>336</v>
      </c>
      <c r="C517" s="18" t="s">
        <v>427</v>
      </c>
      <c r="D517" s="19" t="s">
        <v>336</v>
      </c>
      <c r="E517" s="18" t="s">
        <v>427</v>
      </c>
      <c r="F517" s="19" t="s">
        <v>336</v>
      </c>
      <c r="G517" s="18" t="s">
        <v>427</v>
      </c>
      <c r="H517" s="19" t="s">
        <v>336</v>
      </c>
      <c r="I517" s="226" t="s">
        <v>427</v>
      </c>
      <c r="J517" s="19" t="s">
        <v>336</v>
      </c>
      <c r="K517" s="18" t="s">
        <v>427</v>
      </c>
      <c r="L517" s="19" t="s">
        <v>336</v>
      </c>
      <c r="M517" s="226" t="s">
        <v>427</v>
      </c>
      <c r="N517" s="19" t="s">
        <v>336</v>
      </c>
      <c r="O517" s="226" t="s">
        <v>427</v>
      </c>
    </row>
    <row r="518" spans="1:19" s="156" customFormat="1" ht="18" customHeight="1">
      <c r="A518" s="168" t="s">
        <v>456</v>
      </c>
      <c r="B518" s="172">
        <f>+GETPIVOTDATA(" Old Prof avg",'Averages Pivot Table'!$A$3,"Category",12,"Category2","Technical Institutes")</f>
        <v>62655.574644444445</v>
      </c>
      <c r="C518" s="172"/>
      <c r="D518" s="172">
        <f>+GETPIVOTDATA(" Old Asc. avg",'Averages Pivot Table'!$A$3,"Category",12,"Category2","Technical Institutes")</f>
        <v>50449.382593939394</v>
      </c>
      <c r="E518" s="172"/>
      <c r="F518" s="172">
        <f>+GETPIVOTDATA(" Old Ast. avg",'Averages Pivot Table'!$A$3,"Category",12,"Category2","Technical Institutes")</f>
        <v>43874.66367894737</v>
      </c>
      <c r="G518" s="172"/>
      <c r="H518" s="172">
        <f>+GETPIVOTDATA(" Old Inst. avg",'Averages Pivot Table'!$A$3,"Category",12,"Category2","Technical Institutes")</f>
        <v>40279.155514285711</v>
      </c>
      <c r="I518" s="229"/>
      <c r="J518" s="172">
        <f>+GETPIVOTDATA(" Old Undesg. avg",'Averages Pivot Table'!$A$3,"Category",12,"Category2","Technical Institutes")</f>
        <v>0</v>
      </c>
      <c r="K518" s="172"/>
      <c r="L518" s="172">
        <f>+GETPIVOTDATA(" Old Single Rnk avg",'Averages Pivot Table'!$A$3,"Category",12,"Category2","Technical Institutes")</f>
        <v>45960.008809042774</v>
      </c>
      <c r="M518" s="229"/>
      <c r="N518" s="172">
        <f>+GETPIVOTDATA(" Old All Ranks avg",'Averages Pivot Table'!$A$3,"Category",12,"Category2","Technical Institutes")</f>
        <v>45758.964140479758</v>
      </c>
      <c r="O518" s="216"/>
      <c r="Q518" s="193"/>
      <c r="R518" s="193"/>
      <c r="S518" s="193"/>
    </row>
    <row r="519" spans="1:19" ht="12.95" customHeight="1">
      <c r="A519" s="12"/>
      <c r="B519" s="9"/>
      <c r="C519" s="17"/>
      <c r="D519" s="9"/>
      <c r="E519" s="17"/>
      <c r="F519" s="9"/>
      <c r="G519" s="17"/>
      <c r="H519" s="9"/>
      <c r="I519" s="233"/>
      <c r="J519" s="9"/>
      <c r="K519" s="17"/>
      <c r="L519" s="9"/>
      <c r="M519" s="233"/>
      <c r="N519" s="9"/>
      <c r="O519" s="217"/>
    </row>
    <row r="520" spans="1:19" ht="12.95" customHeight="1">
      <c r="A520" s="12" t="s">
        <v>439</v>
      </c>
      <c r="B520" s="62">
        <f>+GETPIVOTDATA(" Old Prof avg",'Averages Pivot Table'!$A$3,"State","AL","Category",12,"Category2","Technical Institutes")</f>
        <v>0</v>
      </c>
      <c r="C520" s="130">
        <f>IF(B520&gt;0,(RANK(B520,B$520:B$538)),0)</f>
        <v>0</v>
      </c>
      <c r="D520" s="62">
        <f>+GETPIVOTDATA(" Old Asc. avg",'Averages Pivot Table'!$A$3,"State","AL","Category",12,"Category2","Technical Institutes")</f>
        <v>0</v>
      </c>
      <c r="E520" s="130">
        <f>IF(D520&gt;0,(RANK(D520,D$520:D$538)),0)</f>
        <v>0</v>
      </c>
      <c r="F520" s="62">
        <f>+GETPIVOTDATA(" Old Ast. avg",'Averages Pivot Table'!$A$3,"State","AL","Category",12,"Category2","Technical Institutes")</f>
        <v>0</v>
      </c>
      <c r="G520" s="130">
        <f t="shared" ref="G520:G538" si="83">IF(F520&gt;0,(RANK(F520,F$520:F$538)),0)</f>
        <v>0</v>
      </c>
      <c r="H520" s="62">
        <f>+GETPIVOTDATA(" Old Inst. avg",'Averages Pivot Table'!$A$3,"State","AL","Category",12,"Category2","Technical Institutes")</f>
        <v>0</v>
      </c>
      <c r="I520" s="201">
        <f t="shared" ref="I520:I538" si="84">IF(H520&gt;0,(RANK(H520,H$520:H$538)),0)</f>
        <v>0</v>
      </c>
      <c r="J520" s="62">
        <f>+GETPIVOTDATA(" Old Undesg. avg",'Averages Pivot Table'!$A$3,"State","AL","Category",12,"Category2","Technical Institutes")</f>
        <v>0</v>
      </c>
      <c r="K520" s="130">
        <f t="shared" ref="K520:K538" si="85">IF(J520&gt;0,(RANK(J520,J$520:J$538)),0)</f>
        <v>0</v>
      </c>
      <c r="L520" s="62">
        <f>+GETPIVOTDATA(" Old Single Rnk avg",'Averages Pivot Table'!$A$3,"State","AL","Category",12,"Category2","Technical Institutes")</f>
        <v>54025.01278918919</v>
      </c>
      <c r="M520" s="201">
        <f t="shared" ref="M520:M538" si="86">IF(L520&gt;0,(RANK(L520,L$520:L$538)),0)</f>
        <v>1</v>
      </c>
      <c r="N520" s="62">
        <f>+GETPIVOTDATA(" Old All Ranks avg",'Averages Pivot Table'!$A$3,"State","AL","Category",12,"Category2","Technical Institutes")</f>
        <v>54025.01278918919</v>
      </c>
      <c r="O520" s="201">
        <f t="shared" ref="O520:O538" si="87">IF(N520&gt;0,(RANK(N520,N$520:N$538)),0)</f>
        <v>1</v>
      </c>
    </row>
    <row r="521" spans="1:19" ht="12.95" customHeight="1">
      <c r="A521" s="12" t="s">
        <v>440</v>
      </c>
      <c r="B521" s="62">
        <f>+GETPIVOTDATA(" Old Prof avg",'Averages Pivot Table'!$A$3,"State","AR","Category",12,"Category2","Technical Institutes")</f>
        <v>0</v>
      </c>
      <c r="C521" s="130">
        <f t="shared" ref="C521:E538" si="88">IF(B521&gt;0,(RANK(B521,B$520:B$538)),0)</f>
        <v>0</v>
      </c>
      <c r="D521" s="62">
        <f>+GETPIVOTDATA(" Old Asc. avg",'Averages Pivot Table'!$A$3,"State","AR","Category",12,"Category2","Technical Institutes")</f>
        <v>0</v>
      </c>
      <c r="E521" s="130">
        <f t="shared" si="88"/>
        <v>0</v>
      </c>
      <c r="F521" s="62">
        <f>+GETPIVOTDATA(" Old Ast. avg",'Averages Pivot Table'!$A$3,"State","AR","Category",12,"Category2","Technical Institutes")</f>
        <v>0</v>
      </c>
      <c r="G521" s="130">
        <f t="shared" si="83"/>
        <v>0</v>
      </c>
      <c r="H521" s="62">
        <f>+GETPIVOTDATA(" Old Inst. avg",'Averages Pivot Table'!$A$3,"State","AR","Category",12,"Category2","Technical Institutes")</f>
        <v>0</v>
      </c>
      <c r="I521" s="201">
        <f t="shared" si="84"/>
        <v>0</v>
      </c>
      <c r="J521" s="62">
        <f>+GETPIVOTDATA(" Old Undesg. avg",'Averages Pivot Table'!$A$3,"State","AR","Category",12,"Category2","Technical Institutes")</f>
        <v>0</v>
      </c>
      <c r="K521" s="130">
        <f t="shared" si="85"/>
        <v>0</v>
      </c>
      <c r="L521" s="62">
        <f>+GETPIVOTDATA(" Old Single Rnk avg",'Averages Pivot Table'!$A$3,"State","AR","Category",12,"Category2","Technical Institutes")</f>
        <v>0</v>
      </c>
      <c r="M521" s="201">
        <f t="shared" si="86"/>
        <v>0</v>
      </c>
      <c r="N521" s="62">
        <f>+GETPIVOTDATA(" Old All Ranks avg",'Averages Pivot Table'!$A$3,"State","AR","Category",12,"Category2","Technical Institutes")</f>
        <v>0</v>
      </c>
      <c r="O521" s="201">
        <f t="shared" si="87"/>
        <v>0</v>
      </c>
    </row>
    <row r="522" spans="1:19" ht="12.95" customHeight="1">
      <c r="A522" s="12" t="s">
        <v>455</v>
      </c>
      <c r="B522" s="62">
        <f>+GETPIVOTDATA(" Old Prof avg",'Averages Pivot Table'!$A$3,"State","DE","Category",12,"Category2","Technical Institutes")</f>
        <v>0</v>
      </c>
      <c r="C522" s="130">
        <f t="shared" si="88"/>
        <v>0</v>
      </c>
      <c r="D522" s="62">
        <f>+GETPIVOTDATA(" Old Asc. avg",'Averages Pivot Table'!$A$3,"State","DE","Category",12,"Category2","Technical Institutes")</f>
        <v>0</v>
      </c>
      <c r="E522" s="130">
        <f t="shared" si="88"/>
        <v>0</v>
      </c>
      <c r="F522" s="62">
        <f>+GETPIVOTDATA(" Old Ast. avg",'Averages Pivot Table'!$A$3,"State","DE","Category",12,"Category2","Technical Institutes")</f>
        <v>0</v>
      </c>
      <c r="G522" s="130">
        <f t="shared" si="83"/>
        <v>0</v>
      </c>
      <c r="H522" s="62">
        <f>+GETPIVOTDATA(" Old Inst. avg",'Averages Pivot Table'!$A$3,"State","DE","Category",12,"Category2","Technical Institutes")</f>
        <v>0</v>
      </c>
      <c r="I522" s="201">
        <f t="shared" si="84"/>
        <v>0</v>
      </c>
      <c r="J522" s="62">
        <f>+GETPIVOTDATA(" Old Undesg. avg",'Averages Pivot Table'!$A$3,"State","DE","Category",12,"Category2","Technical Institutes")</f>
        <v>0</v>
      </c>
      <c r="K522" s="130">
        <f t="shared" si="85"/>
        <v>0</v>
      </c>
      <c r="L522" s="62">
        <f>+GETPIVOTDATA(" Old Single Rnk avg",'Averages Pivot Table'!$A$3,"State","DE","Category",12,"Category2","Technical Institutes")</f>
        <v>0</v>
      </c>
      <c r="M522" s="201">
        <f t="shared" si="86"/>
        <v>0</v>
      </c>
      <c r="N522" s="62">
        <f>+GETPIVOTDATA(" Old All Ranks avg",'Averages Pivot Table'!$A$3,"State","DE","Category",12,"Category2","Technical Institutes")</f>
        <v>0</v>
      </c>
      <c r="O522" s="201">
        <f t="shared" si="87"/>
        <v>0</v>
      </c>
    </row>
    <row r="523" spans="1:19" ht="12.95" customHeight="1">
      <c r="A523" s="12" t="s">
        <v>441</v>
      </c>
      <c r="B523" s="62">
        <f>+GETPIVOTDATA(" Old Prof avg",'Averages Pivot Table'!$A$3,"State","FL","Category",12,"Category2","Technical Institutes")</f>
        <v>0</v>
      </c>
      <c r="C523" s="130">
        <f t="shared" si="88"/>
        <v>0</v>
      </c>
      <c r="D523" s="62">
        <f>+GETPIVOTDATA(" Old Asc. avg",'Averages Pivot Table'!$A$3,"State","FL","Category",12,"Category2","Technical Institutes")</f>
        <v>0</v>
      </c>
      <c r="E523" s="130">
        <f t="shared" si="88"/>
        <v>0</v>
      </c>
      <c r="F523" s="62">
        <f>+GETPIVOTDATA(" Old Ast. avg",'Averages Pivot Table'!$A$3,"State","FL","Category",12,"Category2","Technical Institutes")</f>
        <v>0</v>
      </c>
      <c r="G523" s="130">
        <f t="shared" si="83"/>
        <v>0</v>
      </c>
      <c r="H523" s="62">
        <f>+GETPIVOTDATA(" Old Inst. avg",'Averages Pivot Table'!$A$3,"State","FL","Category",12,"Category2","Technical Institutes")</f>
        <v>0</v>
      </c>
      <c r="I523" s="201">
        <f t="shared" si="84"/>
        <v>0</v>
      </c>
      <c r="J523" s="62">
        <f>+GETPIVOTDATA(" Old Undesg. avg",'Averages Pivot Table'!$A$3,"State","FL","Category",12,"Category2","Technical Institutes")</f>
        <v>0</v>
      </c>
      <c r="K523" s="130">
        <f t="shared" si="85"/>
        <v>0</v>
      </c>
      <c r="L523" s="62">
        <f>+GETPIVOTDATA(" Old Single Rnk avg",'Averages Pivot Table'!$A$3,"State","FL","Category",12,"Category2","Technical Institutes")</f>
        <v>0</v>
      </c>
      <c r="M523" s="201">
        <f t="shared" si="86"/>
        <v>0</v>
      </c>
      <c r="N523" s="62">
        <f>+GETPIVOTDATA(" Old All Ranks avg",'Averages Pivot Table'!$A$3,"State","FL","Category",12,"Category2","Technical Institutes")</f>
        <v>0</v>
      </c>
      <c r="O523" s="201">
        <f t="shared" si="87"/>
        <v>0</v>
      </c>
    </row>
    <row r="524" spans="1:19" ht="12.95" customHeight="1">
      <c r="A524" s="12"/>
      <c r="B524" s="62"/>
      <c r="C524" s="130">
        <f t="shared" si="88"/>
        <v>0</v>
      </c>
      <c r="D524" s="62"/>
      <c r="E524" s="130">
        <f t="shared" si="88"/>
        <v>0</v>
      </c>
      <c r="F524" s="62"/>
      <c r="G524" s="130">
        <f t="shared" si="83"/>
        <v>0</v>
      </c>
      <c r="H524" s="62"/>
      <c r="I524" s="201">
        <f t="shared" si="84"/>
        <v>0</v>
      </c>
      <c r="J524" s="62"/>
      <c r="K524" s="130">
        <f t="shared" si="85"/>
        <v>0</v>
      </c>
      <c r="L524" s="62"/>
      <c r="M524" s="201">
        <f t="shared" si="86"/>
        <v>0</v>
      </c>
      <c r="N524" s="62"/>
      <c r="O524" s="201">
        <f t="shared" si="87"/>
        <v>0</v>
      </c>
    </row>
    <row r="525" spans="1:19" ht="12.95" customHeight="1">
      <c r="A525" s="12" t="s">
        <v>442</v>
      </c>
      <c r="B525" s="62">
        <f>+GETPIVOTDATA(" Old Prof avg",'Averages Pivot Table'!$A$3,"State","GA","Category",12,"Category2","Technical Institutes")</f>
        <v>0</v>
      </c>
      <c r="C525" s="130">
        <f t="shared" si="88"/>
        <v>0</v>
      </c>
      <c r="D525" s="62">
        <f>+GETPIVOTDATA(" Old Asc. avg",'Averages Pivot Table'!$A$3,"State","GA","Category",12,"Category2","Technical Institutes")</f>
        <v>0</v>
      </c>
      <c r="E525" s="130">
        <f t="shared" si="88"/>
        <v>0</v>
      </c>
      <c r="F525" s="62">
        <f>+GETPIVOTDATA(" Old Ast. avg",'Averages Pivot Table'!$A$3,"State","GA","Category",12,"Category2","Technical Institutes")</f>
        <v>0</v>
      </c>
      <c r="G525" s="130">
        <f t="shared" si="83"/>
        <v>0</v>
      </c>
      <c r="H525" s="62">
        <f>+GETPIVOTDATA(" Old Inst. avg",'Averages Pivot Table'!$A$3,"State","GA","Category",12,"Category2","Technical Institutes")</f>
        <v>0</v>
      </c>
      <c r="I525" s="201">
        <f t="shared" si="84"/>
        <v>0</v>
      </c>
      <c r="J525" s="62">
        <f>+GETPIVOTDATA(" Old Undesg. avg",'Averages Pivot Table'!$A$3,"State","GA","Category",12,"Category2","Technical Institutes")</f>
        <v>0</v>
      </c>
      <c r="K525" s="130">
        <f t="shared" si="85"/>
        <v>0</v>
      </c>
      <c r="L525" s="62">
        <f>+GETPIVOTDATA(" Old Single Rnk avg",'Averages Pivot Table'!$A$3,"State","GA","Category",12,"Category2","Technical Institutes")</f>
        <v>44984.557607792209</v>
      </c>
      <c r="M525" s="201">
        <f t="shared" si="86"/>
        <v>3</v>
      </c>
      <c r="N525" s="62">
        <f>+GETPIVOTDATA(" Old All Ranks avg",'Averages Pivot Table'!$A$3,"State","GA","Category",12,"Category2","Technical Institutes")</f>
        <v>44984.557607792209</v>
      </c>
      <c r="O525" s="201">
        <f t="shared" si="87"/>
        <v>3</v>
      </c>
    </row>
    <row r="526" spans="1:19" ht="12.95" customHeight="1">
      <c r="A526" s="12" t="s">
        <v>443</v>
      </c>
      <c r="B526" s="62">
        <f>+GETPIVOTDATA(" Old Prof avg",'Averages Pivot Table'!$A$3,"State","KY","Category",12,"Category2","Technical Institutes")</f>
        <v>62655.574644444445</v>
      </c>
      <c r="C526" s="130">
        <f t="shared" si="88"/>
        <v>1</v>
      </c>
      <c r="D526" s="62">
        <f>+GETPIVOTDATA(" Old Asc. avg",'Averages Pivot Table'!$A$3,"State","KY","Category",12,"Category2","Technical Institutes")</f>
        <v>50449.382593939394</v>
      </c>
      <c r="E526" s="130">
        <f t="shared" si="88"/>
        <v>1</v>
      </c>
      <c r="F526" s="62">
        <f>+GETPIVOTDATA(" Old Ast. avg",'Averages Pivot Table'!$A$3,"State","KY","Category",12,"Category2","Technical Institutes")</f>
        <v>43874.66367894737</v>
      </c>
      <c r="G526" s="130">
        <f t="shared" si="83"/>
        <v>1</v>
      </c>
      <c r="H526" s="62">
        <f>+GETPIVOTDATA(" Old Inst. avg",'Averages Pivot Table'!$A$3,"State","KY","Category",12,"Category2","Technical Institutes")</f>
        <v>38988.415929230767</v>
      </c>
      <c r="I526" s="201">
        <f t="shared" si="84"/>
        <v>2</v>
      </c>
      <c r="J526" s="62">
        <f>+GETPIVOTDATA(" Old Undesg. avg",'Averages Pivot Table'!$A$3,"State","KY","Category",12,"Category2","Technical Institutes")</f>
        <v>0</v>
      </c>
      <c r="K526" s="130">
        <f t="shared" si="85"/>
        <v>0</v>
      </c>
      <c r="L526" s="62">
        <f>+GETPIVOTDATA(" Old Single Rnk avg",'Averages Pivot Table'!$A$3,"State","KY","Category",12,"Category2","Technical Institutes")</f>
        <v>0</v>
      </c>
      <c r="M526" s="201">
        <f t="shared" si="86"/>
        <v>0</v>
      </c>
      <c r="N526" s="62">
        <f>+GETPIVOTDATA(" Old All Ranks avg",'Averages Pivot Table'!$A$3,"State","KY","Category",12,"Category2","Technical Institutes")</f>
        <v>44346.303811034486</v>
      </c>
      <c r="O526" s="201">
        <f t="shared" si="87"/>
        <v>4</v>
      </c>
    </row>
    <row r="527" spans="1:19" ht="12.95" customHeight="1">
      <c r="A527" s="12" t="s">
        <v>444</v>
      </c>
      <c r="B527" s="62">
        <f>+GETPIVOTDATA(" Old Prof avg",'Averages Pivot Table'!$A$3,"State","LA","Category",12,"Category2","Technical Institutes")</f>
        <v>0</v>
      </c>
      <c r="C527" s="130">
        <f t="shared" si="88"/>
        <v>0</v>
      </c>
      <c r="D527" s="62">
        <f>+GETPIVOTDATA(" Old Asc. avg",'Averages Pivot Table'!$A$3,"State","LA","Category",12,"Category2","Technical Institutes")</f>
        <v>0</v>
      </c>
      <c r="E527" s="130">
        <f t="shared" si="88"/>
        <v>0</v>
      </c>
      <c r="F527" s="62">
        <f>+GETPIVOTDATA(" Old Ast. avg",'Averages Pivot Table'!$A$3,"State","LA","Category",12,"Category2","Technical Institutes")</f>
        <v>0</v>
      </c>
      <c r="G527" s="130">
        <f t="shared" si="83"/>
        <v>0</v>
      </c>
      <c r="H527" s="62">
        <f>+GETPIVOTDATA(" Old Inst. avg",'Averages Pivot Table'!$A$3,"State","LA","Category",12,"Category2","Technical Institutes")</f>
        <v>41512.950705882351</v>
      </c>
      <c r="I527" s="201">
        <f t="shared" si="84"/>
        <v>1</v>
      </c>
      <c r="J527" s="62">
        <f>+GETPIVOTDATA(" Old Undesg. avg",'Averages Pivot Table'!$A$3,"State","LA","Category",12,"Category2","Technical Institutes")</f>
        <v>0</v>
      </c>
      <c r="K527" s="130">
        <f t="shared" si="85"/>
        <v>0</v>
      </c>
      <c r="L527" s="62">
        <f>+GETPIVOTDATA(" Old Single Rnk avg",'Averages Pivot Table'!$A$3,"State","LA","Category",12,"Category2","Technical Institutes")</f>
        <v>0</v>
      </c>
      <c r="M527" s="201">
        <f t="shared" si="86"/>
        <v>0</v>
      </c>
      <c r="N527" s="62">
        <f>+GETPIVOTDATA(" Old All Ranks avg",'Averages Pivot Table'!$A$3,"State","LA","Category",12,"Category2","Technical Institutes")</f>
        <v>41512.950705882351</v>
      </c>
      <c r="O527" s="201">
        <f t="shared" si="87"/>
        <v>5</v>
      </c>
    </row>
    <row r="528" spans="1:19" ht="12.95" customHeight="1">
      <c r="A528" s="12" t="s">
        <v>445</v>
      </c>
      <c r="B528" s="62">
        <f>+GETPIVOTDATA(" Old Prof avg",'Averages Pivot Table'!$A$3,"State","MD","Category",12,"Category2","Technical Institutes")</f>
        <v>0</v>
      </c>
      <c r="C528" s="130">
        <f t="shared" si="88"/>
        <v>0</v>
      </c>
      <c r="D528" s="62">
        <f>+GETPIVOTDATA(" Old Asc. avg",'Averages Pivot Table'!$A$3,"State","MD","Category",12,"Category2","Technical Institutes")</f>
        <v>0</v>
      </c>
      <c r="E528" s="130">
        <f t="shared" si="88"/>
        <v>0</v>
      </c>
      <c r="F528" s="62">
        <f>+GETPIVOTDATA(" Old Ast. avg",'Averages Pivot Table'!$A$3,"State","MD","Category",12,"Category2","Technical Institutes")</f>
        <v>0</v>
      </c>
      <c r="G528" s="130">
        <f t="shared" si="83"/>
        <v>0</v>
      </c>
      <c r="H528" s="62">
        <f>+GETPIVOTDATA(" Old Inst. avg",'Averages Pivot Table'!$A$3,"State","MD","Category",12,"Category2","Technical Institutes")</f>
        <v>0</v>
      </c>
      <c r="I528" s="201">
        <f t="shared" si="84"/>
        <v>0</v>
      </c>
      <c r="J528" s="62">
        <f>+GETPIVOTDATA(" Old Undesg. avg",'Averages Pivot Table'!$A$3,"State","MD","Category",12,"Category2","Technical Institutes")</f>
        <v>0</v>
      </c>
      <c r="K528" s="130">
        <f t="shared" si="85"/>
        <v>0</v>
      </c>
      <c r="L528" s="62">
        <f>+GETPIVOTDATA(" Old Single Rnk avg",'Averages Pivot Table'!$A$3,"State","MD","Category",12,"Category2","Technical Institutes")</f>
        <v>0</v>
      </c>
      <c r="M528" s="201">
        <f t="shared" si="86"/>
        <v>0</v>
      </c>
      <c r="N528" s="62">
        <f>+GETPIVOTDATA(" Old All Ranks avg",'Averages Pivot Table'!$A$3,"State","MD","Category",12,"Category2","Technical Institutes")</f>
        <v>0</v>
      </c>
      <c r="O528" s="201">
        <f t="shared" si="87"/>
        <v>0</v>
      </c>
    </row>
    <row r="529" spans="1:15" ht="12.95" customHeight="1">
      <c r="A529" s="12"/>
      <c r="B529" s="62"/>
      <c r="C529" s="130">
        <f t="shared" si="88"/>
        <v>0</v>
      </c>
      <c r="D529" s="62"/>
      <c r="E529" s="130">
        <f t="shared" si="88"/>
        <v>0</v>
      </c>
      <c r="F529" s="62"/>
      <c r="G529" s="130">
        <f t="shared" si="83"/>
        <v>0</v>
      </c>
      <c r="H529" s="62"/>
      <c r="I529" s="201">
        <f t="shared" si="84"/>
        <v>0</v>
      </c>
      <c r="J529" s="62"/>
      <c r="K529" s="130">
        <f t="shared" si="85"/>
        <v>0</v>
      </c>
      <c r="L529" s="62"/>
      <c r="M529" s="201">
        <f t="shared" si="86"/>
        <v>0</v>
      </c>
      <c r="N529" s="62"/>
      <c r="O529" s="201">
        <f t="shared" si="87"/>
        <v>0</v>
      </c>
    </row>
    <row r="530" spans="1:15" ht="12.95" customHeight="1">
      <c r="A530" s="12" t="s">
        <v>446</v>
      </c>
      <c r="B530" s="62">
        <f>+GETPIVOTDATA(" Old Prof avg",'Averages Pivot Table'!$A$3,"State","MS","Category",12,"Category2","Technical Institutes")</f>
        <v>0</v>
      </c>
      <c r="C530" s="130">
        <f t="shared" si="88"/>
        <v>0</v>
      </c>
      <c r="D530" s="62">
        <f>+GETPIVOTDATA(" Old Asc. avg",'Averages Pivot Table'!$A$3,"State","MS","Category",12,"Category2","Technical Institutes")</f>
        <v>0</v>
      </c>
      <c r="E530" s="130">
        <f t="shared" si="88"/>
        <v>0</v>
      </c>
      <c r="F530" s="62">
        <f>+GETPIVOTDATA(" Old Ast. avg",'Averages Pivot Table'!$A$3,"State","MS","Category",12,"Category2","Technical Institutes")</f>
        <v>0</v>
      </c>
      <c r="G530" s="130">
        <f t="shared" si="83"/>
        <v>0</v>
      </c>
      <c r="H530" s="62">
        <f>+GETPIVOTDATA(" Old Inst. avg",'Averages Pivot Table'!$A$3,"State","MS","Category",12,"Category2","Technical Institutes")</f>
        <v>0</v>
      </c>
      <c r="I530" s="201">
        <f t="shared" si="84"/>
        <v>0</v>
      </c>
      <c r="J530" s="62">
        <f>+GETPIVOTDATA(" Old Undesg. avg",'Averages Pivot Table'!$A$3,"State","MS","Category",12,"Category2","Technical Institutes")</f>
        <v>0</v>
      </c>
      <c r="K530" s="130">
        <f t="shared" si="85"/>
        <v>0</v>
      </c>
      <c r="L530" s="62">
        <f>+GETPIVOTDATA(" Old Single Rnk avg",'Averages Pivot Table'!$A$3,"State","MS","Category",12,"Category2","Technical Institutes")</f>
        <v>0</v>
      </c>
      <c r="M530" s="201">
        <f t="shared" si="86"/>
        <v>0</v>
      </c>
      <c r="N530" s="62">
        <f>+GETPIVOTDATA(" Old All Ranks avg",'Averages Pivot Table'!$A$3,"State","MS","Category",12,"Category2","Technical Institutes")</f>
        <v>0</v>
      </c>
      <c r="O530" s="201">
        <f t="shared" si="87"/>
        <v>0</v>
      </c>
    </row>
    <row r="531" spans="1:15" ht="12.95" customHeight="1">
      <c r="A531" s="12" t="s">
        <v>447</v>
      </c>
      <c r="B531" s="62">
        <f>+GETPIVOTDATA(" Old Prof avg",'Averages Pivot Table'!$A$3,"State","NC","Category",12,"Category2","Technical Institutes")</f>
        <v>0</v>
      </c>
      <c r="C531" s="130">
        <f t="shared" si="88"/>
        <v>0</v>
      </c>
      <c r="D531" s="62">
        <f>+GETPIVOTDATA(" Old Asc. avg",'Averages Pivot Table'!$A$3,"State","NC","Category",12,"Category2","Technical Institutes")</f>
        <v>0</v>
      </c>
      <c r="E531" s="130">
        <f t="shared" si="88"/>
        <v>0</v>
      </c>
      <c r="F531" s="62">
        <f>+GETPIVOTDATA(" Old Ast. avg",'Averages Pivot Table'!$A$3,"State","NC","Category",12,"Category2","Technical Institutes")</f>
        <v>0</v>
      </c>
      <c r="G531" s="130">
        <f t="shared" si="83"/>
        <v>0</v>
      </c>
      <c r="H531" s="62">
        <f>+GETPIVOTDATA(" Old Inst. avg",'Averages Pivot Table'!$A$3,"State","NC","Category",12,"Category2","Technical Institutes")</f>
        <v>0</v>
      </c>
      <c r="I531" s="201">
        <f t="shared" si="84"/>
        <v>0</v>
      </c>
      <c r="J531" s="62">
        <f>+GETPIVOTDATA(" Old Undesg. avg",'Averages Pivot Table'!$A$3,"State","NC","Category",12,"Category2","Technical Institutes")</f>
        <v>0</v>
      </c>
      <c r="K531" s="130">
        <f t="shared" si="85"/>
        <v>0</v>
      </c>
      <c r="L531" s="62">
        <f>+GETPIVOTDATA(" Old Single Rnk avg",'Averages Pivot Table'!$A$3,"State","NC","Category",12,"Category2","Technical Institutes")</f>
        <v>0</v>
      </c>
      <c r="M531" s="201">
        <f t="shared" si="86"/>
        <v>0</v>
      </c>
      <c r="N531" s="62">
        <f>+GETPIVOTDATA(" Old All Ranks avg",'Averages Pivot Table'!$A$3,"State","NC","Category",12,"Category2","Technical Institutes")</f>
        <v>0</v>
      </c>
      <c r="O531" s="201">
        <f t="shared" si="87"/>
        <v>0</v>
      </c>
    </row>
    <row r="532" spans="1:15" ht="12.95" customHeight="1">
      <c r="A532" s="12" t="s">
        <v>448</v>
      </c>
      <c r="B532" s="62">
        <f>+GETPIVOTDATA(" Old Prof avg",'Averages Pivot Table'!$A$3,"State","OK","Category",12,"Category2","Technical Institutes")</f>
        <v>0</v>
      </c>
      <c r="C532" s="130">
        <f t="shared" si="88"/>
        <v>0</v>
      </c>
      <c r="D532" s="62">
        <f>+GETPIVOTDATA(" Old Asc. avg",'Averages Pivot Table'!$A$3,"State","OK","Category",12,"Category2","Technical Institutes")</f>
        <v>0</v>
      </c>
      <c r="E532" s="130">
        <f t="shared" si="88"/>
        <v>0</v>
      </c>
      <c r="F532" s="62">
        <f>+GETPIVOTDATA(" Old Ast. avg",'Averages Pivot Table'!$A$3,"State","OK","Category",12,"Category2","Technical Institutes")</f>
        <v>0</v>
      </c>
      <c r="G532" s="130">
        <f t="shared" si="83"/>
        <v>0</v>
      </c>
      <c r="H532" s="62">
        <f>+GETPIVOTDATA(" Old Inst. avg",'Averages Pivot Table'!$A$3,"State","OK","Category",12,"Category2","Technical Institutes")</f>
        <v>0</v>
      </c>
      <c r="I532" s="201">
        <f t="shared" si="84"/>
        <v>0</v>
      </c>
      <c r="J532" s="62">
        <f>+GETPIVOTDATA(" Old Undesg. avg",'Averages Pivot Table'!$A$3,"State","OK","Category",12,"Category2","Technical Institutes")</f>
        <v>0</v>
      </c>
      <c r="K532" s="130">
        <f t="shared" si="85"/>
        <v>0</v>
      </c>
      <c r="L532" s="62">
        <f>+GETPIVOTDATA(" Old Single Rnk avg",'Averages Pivot Table'!$A$3,"State","OK","Category",12,"Category2","Technical Institutes")</f>
        <v>50698.925209271525</v>
      </c>
      <c r="M532" s="201">
        <f t="shared" si="86"/>
        <v>2</v>
      </c>
      <c r="N532" s="62">
        <f>+GETPIVOTDATA(" Old All Ranks avg",'Averages Pivot Table'!$A$3,"State","OK","Category",12,"Category2","Technical Institutes")</f>
        <v>50698.925209271525</v>
      </c>
      <c r="O532" s="201">
        <f t="shared" si="87"/>
        <v>2</v>
      </c>
    </row>
    <row r="533" spans="1:15" ht="12.95" customHeight="1">
      <c r="A533" s="12" t="s">
        <v>449</v>
      </c>
      <c r="B533" s="62">
        <f>+GETPIVOTDATA(" Old Prof avg",'Averages Pivot Table'!$A$3,"State","SC","Category",12,"Category2","Technical Institutes")</f>
        <v>0</v>
      </c>
      <c r="C533" s="130">
        <f t="shared" si="88"/>
        <v>0</v>
      </c>
      <c r="D533" s="62">
        <f>+GETPIVOTDATA(" Old Asc. avg",'Averages Pivot Table'!$A$3,"State","SC","Category",12,"Category2","Technical Institutes")</f>
        <v>0</v>
      </c>
      <c r="E533" s="130">
        <f t="shared" si="88"/>
        <v>0</v>
      </c>
      <c r="F533" s="62">
        <f>+GETPIVOTDATA(" Old Ast. avg",'Averages Pivot Table'!$A$3,"State","SC","Category",12,"Category2","Technical Institutes")</f>
        <v>0</v>
      </c>
      <c r="G533" s="130">
        <f t="shared" si="83"/>
        <v>0</v>
      </c>
      <c r="H533" s="62">
        <f>+GETPIVOTDATA(" Old Inst. avg",'Averages Pivot Table'!$A$3,"State","SC","Category",12,"Category2","Technical Institutes")</f>
        <v>0</v>
      </c>
      <c r="I533" s="201">
        <f t="shared" si="84"/>
        <v>0</v>
      </c>
      <c r="J533" s="62">
        <f>+GETPIVOTDATA(" Old Undesg. avg",'Averages Pivot Table'!$A$3,"State","SC","Category",12,"Category2","Technical Institutes")</f>
        <v>0</v>
      </c>
      <c r="K533" s="130">
        <f t="shared" si="85"/>
        <v>0</v>
      </c>
      <c r="L533" s="62">
        <f>+GETPIVOTDATA(" Old Single Rnk avg",'Averages Pivot Table'!$A$3,"State","SC","Category",12,"Category2","Technical Institutes")</f>
        <v>0</v>
      </c>
      <c r="M533" s="201">
        <f t="shared" si="86"/>
        <v>0</v>
      </c>
      <c r="N533" s="62">
        <f>+GETPIVOTDATA(" Old All Ranks avg",'Averages Pivot Table'!$A$3,"State","SC","Category",12,"Category2","Technical Institutes")</f>
        <v>0</v>
      </c>
      <c r="O533" s="201">
        <f t="shared" si="87"/>
        <v>0</v>
      </c>
    </row>
    <row r="534" spans="1:15" ht="12.95" customHeight="1">
      <c r="A534" s="12"/>
      <c r="B534" s="62"/>
      <c r="C534" s="130">
        <f t="shared" si="88"/>
        <v>0</v>
      </c>
      <c r="D534" s="62"/>
      <c r="E534" s="130">
        <f t="shared" si="88"/>
        <v>0</v>
      </c>
      <c r="F534" s="62"/>
      <c r="G534" s="130">
        <f t="shared" si="83"/>
        <v>0</v>
      </c>
      <c r="H534" s="62"/>
      <c r="I534" s="201">
        <f t="shared" si="84"/>
        <v>0</v>
      </c>
      <c r="J534" s="62"/>
      <c r="K534" s="130">
        <f t="shared" si="85"/>
        <v>0</v>
      </c>
      <c r="L534" s="62"/>
      <c r="M534" s="201">
        <f t="shared" si="86"/>
        <v>0</v>
      </c>
      <c r="N534" s="62"/>
      <c r="O534" s="201">
        <f t="shared" si="87"/>
        <v>0</v>
      </c>
    </row>
    <row r="535" spans="1:15" ht="12.95" customHeight="1">
      <c r="A535" s="12" t="s">
        <v>450</v>
      </c>
      <c r="B535" s="129">
        <f>+GETPIVOTDATA(" Old Prof avg",'Averages Pivot Table'!$A$3,"State","TN","Category",12,"Category2","Technical Institutes")</f>
        <v>0</v>
      </c>
      <c r="C535" s="130">
        <f t="shared" si="88"/>
        <v>0</v>
      </c>
      <c r="D535" s="129">
        <f>+GETPIVOTDATA(" Old Asc. avg",'Averages Pivot Table'!$A$3,"State","TN","Category",12,"Category2","Technical Institutes")</f>
        <v>0</v>
      </c>
      <c r="E535" s="130">
        <f t="shared" si="88"/>
        <v>0</v>
      </c>
      <c r="F535" s="129">
        <f>+GETPIVOTDATA(" Old Ast. avg",'Averages Pivot Table'!$A$3,"State","TN","Category",12,"Category2","Technical Institutes")</f>
        <v>0</v>
      </c>
      <c r="G535" s="130">
        <f t="shared" si="83"/>
        <v>0</v>
      </c>
      <c r="H535" s="129">
        <f>+GETPIVOTDATA(" Old Inst. avg",'Averages Pivot Table'!$A$3,"State","TN","Category",12,"Category2","Technical Institutes")</f>
        <v>0</v>
      </c>
      <c r="I535" s="201">
        <f t="shared" si="84"/>
        <v>0</v>
      </c>
      <c r="J535" s="129">
        <f>+GETPIVOTDATA(" Old Undesg. avg",'Averages Pivot Table'!$A$3,"State","TN","Category",12,"Category2","Technical Institutes")</f>
        <v>0</v>
      </c>
      <c r="K535" s="130">
        <f t="shared" si="85"/>
        <v>0</v>
      </c>
      <c r="L535" s="129">
        <f>+GETPIVOTDATA(" Old Single Rnk avg",'Averages Pivot Table'!$A$3,"State","TN","Category",12,"Category2","Technical Institutes")</f>
        <v>0</v>
      </c>
      <c r="M535" s="201">
        <f t="shared" si="86"/>
        <v>0</v>
      </c>
      <c r="N535" s="62">
        <f>+GETPIVOTDATA(" Old All Ranks avg",'Averages Pivot Table'!$A$3,"State","TN","Category",12,"Category2","Technical Institutes")</f>
        <v>0</v>
      </c>
      <c r="O535" s="201">
        <f t="shared" si="87"/>
        <v>0</v>
      </c>
    </row>
    <row r="536" spans="1:15" ht="12.95" customHeight="1">
      <c r="A536" s="12" t="s">
        <v>451</v>
      </c>
      <c r="B536" s="129">
        <f>+GETPIVOTDATA(" Old Prof avg",'Averages Pivot Table'!$A$3,"State","TX","Category",12,"Category2","Technical Institutes")</f>
        <v>0</v>
      </c>
      <c r="C536" s="130">
        <f t="shared" si="88"/>
        <v>0</v>
      </c>
      <c r="D536" s="129">
        <f>+GETPIVOTDATA(" Old Asc. avg",'Averages Pivot Table'!$A$3,"State","TX","Category",12,"Category2","Technical Institutes")</f>
        <v>0</v>
      </c>
      <c r="E536" s="130">
        <f t="shared" si="88"/>
        <v>0</v>
      </c>
      <c r="F536" s="129">
        <f>+GETPIVOTDATA(" Old Ast. avg",'Averages Pivot Table'!$A$3,"State","TX","Category",12,"Category2","Technical Institutes")</f>
        <v>0</v>
      </c>
      <c r="G536" s="130">
        <f t="shared" si="83"/>
        <v>0</v>
      </c>
      <c r="H536" s="129">
        <f>+GETPIVOTDATA(" Old Inst. avg",'Averages Pivot Table'!$A$3,"State","TX","Category",12,"Category2","Technical Institutes")</f>
        <v>0</v>
      </c>
      <c r="I536" s="201">
        <f t="shared" si="84"/>
        <v>0</v>
      </c>
      <c r="J536" s="129">
        <f>+GETPIVOTDATA(" Old Undesg. avg",'Averages Pivot Table'!$A$3,"State","TX","Category",12,"Category2","Technical Institutes")</f>
        <v>0</v>
      </c>
      <c r="K536" s="130">
        <f t="shared" si="85"/>
        <v>0</v>
      </c>
      <c r="L536" s="129">
        <f>+GETPIVOTDATA(" Old Single Rnk avg",'Averages Pivot Table'!$A$3,"State","TX","Category",12,"Category2","Technical Institutes")</f>
        <v>0</v>
      </c>
      <c r="M536" s="201">
        <f t="shared" si="86"/>
        <v>0</v>
      </c>
      <c r="N536" s="62">
        <f>+GETPIVOTDATA(" Old All Ranks avg",'Averages Pivot Table'!$A$3,"State","TX","Category",12,"Category2","Technical Institutes")</f>
        <v>0</v>
      </c>
      <c r="O536" s="201">
        <f t="shared" si="87"/>
        <v>0</v>
      </c>
    </row>
    <row r="537" spans="1:15" ht="12.95" customHeight="1">
      <c r="A537" s="12" t="s">
        <v>452</v>
      </c>
      <c r="B537" s="129">
        <f>+GETPIVOTDATA(" Old Prof avg",'Averages Pivot Table'!$A$3,"State","VA","Category",12,"Category2","Technical Institutes")</f>
        <v>0</v>
      </c>
      <c r="C537" s="130">
        <f t="shared" si="88"/>
        <v>0</v>
      </c>
      <c r="D537" s="129">
        <f>+GETPIVOTDATA(" Old Asc. avg",'Averages Pivot Table'!$A$3,"State","VA","Category",12,"Category2","Technical Institutes")</f>
        <v>0</v>
      </c>
      <c r="E537" s="130">
        <f t="shared" si="88"/>
        <v>0</v>
      </c>
      <c r="F537" s="129">
        <f>+GETPIVOTDATA(" Old Ast. avg",'Averages Pivot Table'!$A$3,"State","VA","Category",12,"Category2","Technical Institutes")</f>
        <v>0</v>
      </c>
      <c r="G537" s="130">
        <f t="shared" si="83"/>
        <v>0</v>
      </c>
      <c r="H537" s="129">
        <f>+GETPIVOTDATA(" Old Inst. avg",'Averages Pivot Table'!$A$3,"State","VA","Category",12,"Category2","Technical Institutes")</f>
        <v>0</v>
      </c>
      <c r="I537" s="201">
        <f t="shared" si="84"/>
        <v>0</v>
      </c>
      <c r="J537" s="129">
        <f>+GETPIVOTDATA(" Old Undesg. avg",'Averages Pivot Table'!$A$3,"State","VA","Category",12,"Category2","Technical Institutes")</f>
        <v>0</v>
      </c>
      <c r="K537" s="130">
        <f t="shared" si="85"/>
        <v>0</v>
      </c>
      <c r="L537" s="129">
        <f>+GETPIVOTDATA(" Old Single Rnk avg",'Averages Pivot Table'!$A$3,"State","VA","Category",12,"Category2","Technical Institutes")</f>
        <v>0</v>
      </c>
      <c r="M537" s="201">
        <f t="shared" si="86"/>
        <v>0</v>
      </c>
      <c r="N537" s="62">
        <f>+GETPIVOTDATA(" Old All Ranks avg",'Averages Pivot Table'!$A$3,"State","VA","Category",12,"Category2","Technical Institutes")</f>
        <v>0</v>
      </c>
      <c r="O537" s="201">
        <f t="shared" si="87"/>
        <v>0</v>
      </c>
    </row>
    <row r="538" spans="1:15" ht="12.95" customHeight="1">
      <c r="A538" s="11" t="s">
        <v>453</v>
      </c>
      <c r="B538" s="64">
        <f>+GETPIVOTDATA(" Old Prof avg",'Averages Pivot Table'!$A$3,"State","WV","Category",12,"Category2","Technical Institutes")</f>
        <v>0</v>
      </c>
      <c r="C538" s="65">
        <f t="shared" si="88"/>
        <v>0</v>
      </c>
      <c r="D538" s="64">
        <f>+GETPIVOTDATA(" Old Asc. avg",'Averages Pivot Table'!$A$3,"State","WV","Category",12,"Category2","Technical Institutes")</f>
        <v>0</v>
      </c>
      <c r="E538" s="65">
        <f t="shared" si="88"/>
        <v>0</v>
      </c>
      <c r="F538" s="64">
        <f>+GETPIVOTDATA(" Old Ast. avg",'Averages Pivot Table'!$A$3,"State","WV","Category",12,"Category2","Technical Institutes")</f>
        <v>0</v>
      </c>
      <c r="G538" s="65">
        <f t="shared" si="83"/>
        <v>0</v>
      </c>
      <c r="H538" s="64">
        <f>+GETPIVOTDATA(" Old Inst. avg",'Averages Pivot Table'!$A$3,"State","WV","Category",12,"Category2","Technical Institutes")</f>
        <v>0</v>
      </c>
      <c r="I538" s="202">
        <f t="shared" si="84"/>
        <v>0</v>
      </c>
      <c r="J538" s="64">
        <f>+GETPIVOTDATA(" Old Undesg. avg",'Averages Pivot Table'!$A$3,"State","WV","Category",12,"Category2","Technical Institutes")</f>
        <v>0</v>
      </c>
      <c r="K538" s="65">
        <f t="shared" si="85"/>
        <v>0</v>
      </c>
      <c r="L538" s="64">
        <f>+GETPIVOTDATA(" Old Single Rnk avg",'Averages Pivot Table'!$A$3,"State","WV","Category",12,"Category2","Technical Institutes")</f>
        <v>0</v>
      </c>
      <c r="M538" s="202">
        <f t="shared" si="86"/>
        <v>0</v>
      </c>
      <c r="N538" s="64">
        <f>+GETPIVOTDATA(" Old All Ranks avg",'Averages Pivot Table'!$A$3,"State","WV","Category",12,"Category2","Technical Institutes")</f>
        <v>0</v>
      </c>
      <c r="O538" s="202">
        <f t="shared" si="87"/>
        <v>0</v>
      </c>
    </row>
    <row r="539" spans="1:15" ht="30" customHeight="1">
      <c r="A539" s="634" t="s">
        <v>323</v>
      </c>
      <c r="B539" s="634"/>
      <c r="C539" s="634"/>
      <c r="D539" s="634"/>
      <c r="E539" s="634"/>
      <c r="F539" s="634"/>
      <c r="G539" s="634"/>
      <c r="H539" s="634"/>
      <c r="I539" s="634"/>
      <c r="J539" s="634"/>
      <c r="K539" s="634"/>
      <c r="L539" s="634"/>
      <c r="M539" s="634"/>
      <c r="N539" s="634"/>
      <c r="O539" s="634"/>
    </row>
    <row r="540" spans="1:15">
      <c r="O540" s="244" t="s">
        <v>1166</v>
      </c>
    </row>
    <row r="541" spans="1:15" ht="18">
      <c r="A541" s="618" t="s">
        <v>794</v>
      </c>
      <c r="B541" s="618"/>
      <c r="C541" s="618"/>
      <c r="D541" s="618"/>
      <c r="E541" s="618"/>
      <c r="F541" s="618"/>
      <c r="G541" s="618"/>
      <c r="H541" s="618"/>
      <c r="I541" s="618"/>
      <c r="J541" s="618"/>
      <c r="K541" s="618"/>
      <c r="L541" s="618"/>
      <c r="M541" s="618"/>
      <c r="N541" s="618"/>
      <c r="O541" s="618"/>
    </row>
    <row r="542" spans="1:15">
      <c r="A542" s="23"/>
      <c r="B542" s="5"/>
      <c r="C542" s="5"/>
      <c r="D542" s="5"/>
      <c r="E542" s="5"/>
      <c r="F542" s="5"/>
      <c r="G542" s="5"/>
      <c r="H542" s="5"/>
      <c r="I542" s="159"/>
      <c r="J542" s="5"/>
      <c r="K542" s="5"/>
      <c r="L542" s="5"/>
      <c r="M542" s="159"/>
      <c r="N542" s="5"/>
      <c r="O542" s="159"/>
    </row>
    <row r="543" spans="1:15">
      <c r="A543" s="619" t="s">
        <v>454</v>
      </c>
      <c r="B543" s="619"/>
      <c r="C543" s="619"/>
      <c r="D543" s="619"/>
      <c r="E543" s="619"/>
      <c r="F543" s="619"/>
      <c r="G543" s="619"/>
      <c r="H543" s="619"/>
      <c r="I543" s="619"/>
      <c r="J543" s="619"/>
      <c r="K543" s="619"/>
      <c r="L543" s="619"/>
      <c r="M543" s="619"/>
      <c r="N543" s="619"/>
      <c r="O543" s="619"/>
    </row>
    <row r="544" spans="1:15">
      <c r="A544" s="619" t="s">
        <v>772</v>
      </c>
      <c r="B544" s="619"/>
      <c r="C544" s="619"/>
      <c r="D544" s="619"/>
      <c r="E544" s="619"/>
      <c r="F544" s="619"/>
      <c r="G544" s="619"/>
      <c r="H544" s="619"/>
      <c r="I544" s="619"/>
      <c r="J544" s="619"/>
      <c r="K544" s="619"/>
      <c r="L544" s="619"/>
      <c r="M544" s="619"/>
      <c r="N544" s="619"/>
      <c r="O544" s="619"/>
    </row>
    <row r="545" spans="1:19">
      <c r="A545" s="12"/>
      <c r="B545" s="5"/>
      <c r="C545" s="5"/>
      <c r="D545" s="5"/>
      <c r="E545" s="5"/>
      <c r="F545" s="5"/>
      <c r="G545" s="5"/>
      <c r="H545" s="5"/>
      <c r="I545" s="159"/>
      <c r="J545" s="5"/>
      <c r="K545" s="5"/>
      <c r="L545" s="5"/>
      <c r="M545" s="159"/>
      <c r="N545" s="5"/>
      <c r="O545" s="159"/>
    </row>
    <row r="546" spans="1:19" ht="31.5" customHeight="1">
      <c r="A546" s="15"/>
      <c r="B546" s="21" t="s">
        <v>332</v>
      </c>
      <c r="C546" s="22"/>
      <c r="D546" s="141" t="s">
        <v>333</v>
      </c>
      <c r="E546" s="142"/>
      <c r="F546" s="141" t="s">
        <v>334</v>
      </c>
      <c r="G546" s="142"/>
      <c r="H546" s="21" t="s">
        <v>335</v>
      </c>
      <c r="I546" s="225"/>
      <c r="J546" s="141" t="s">
        <v>461</v>
      </c>
      <c r="K546" s="142"/>
      <c r="L546" s="22" t="s">
        <v>314</v>
      </c>
      <c r="M546" s="225"/>
      <c r="N546" s="22" t="s">
        <v>316</v>
      </c>
      <c r="O546" s="225"/>
    </row>
    <row r="547" spans="1:19">
      <c r="A547" s="25"/>
      <c r="B547" s="19" t="s">
        <v>336</v>
      </c>
      <c r="C547" s="18" t="s">
        <v>427</v>
      </c>
      <c r="D547" s="19" t="s">
        <v>336</v>
      </c>
      <c r="E547" s="18" t="s">
        <v>427</v>
      </c>
      <c r="F547" s="19" t="s">
        <v>336</v>
      </c>
      <c r="G547" s="18" t="s">
        <v>427</v>
      </c>
      <c r="H547" s="19" t="s">
        <v>336</v>
      </c>
      <c r="I547" s="226" t="s">
        <v>427</v>
      </c>
      <c r="J547" s="19" t="s">
        <v>336</v>
      </c>
      <c r="K547" s="18" t="s">
        <v>427</v>
      </c>
      <c r="L547" s="19" t="s">
        <v>336</v>
      </c>
      <c r="M547" s="226" t="s">
        <v>427</v>
      </c>
      <c r="N547" s="19" t="s">
        <v>336</v>
      </c>
      <c r="O547" s="226" t="s">
        <v>427</v>
      </c>
    </row>
    <row r="548" spans="1:19" s="156" customFormat="1" ht="18" customHeight="1">
      <c r="A548" s="168" t="s">
        <v>456</v>
      </c>
      <c r="B548" s="172">
        <f>+GETPIVOTDATA(" Old Prof avg",'Averages Pivot Table'!$A$3,"Category",13,"Category2","Technical Institutes")</f>
        <v>0</v>
      </c>
      <c r="C548" s="172"/>
      <c r="D548" s="172">
        <f>+GETPIVOTDATA(" Old Asc. avg",'Averages Pivot Table'!$A$3,"Category",13,"Category2","Technical Institutes")</f>
        <v>0</v>
      </c>
      <c r="E548" s="172"/>
      <c r="F548" s="172">
        <f>+GETPIVOTDATA(" Old Ast. avg",'Averages Pivot Table'!$A$3,"Category",13,"Category2","Technical Institutes")</f>
        <v>0</v>
      </c>
      <c r="G548" s="172"/>
      <c r="H548" s="172">
        <f>+GETPIVOTDATA(" Old Inst. avg",'Averages Pivot Table'!$A$3,"Category",13,"Category2","Technical Institutes")</f>
        <v>37978.951515000001</v>
      </c>
      <c r="I548" s="229"/>
      <c r="J548" s="172">
        <f>+GETPIVOTDATA(" Old Undesg. avg",'Averages Pivot Table'!$A$3,"Category",13,"Category2","Technical Institutes")</f>
        <v>25000</v>
      </c>
      <c r="K548" s="172"/>
      <c r="L548" s="172">
        <f>+GETPIVOTDATA(" Old Single Rnk avg",'Averages Pivot Table'!$A$3,"Category",13,"Category2","Technical Institutes")</f>
        <v>44357.55207526133</v>
      </c>
      <c r="M548" s="229"/>
      <c r="N548" s="172">
        <f>+GETPIVOTDATA(" Old All Ranks avg",'Averages Pivot Table'!$A$3,"Category",13,"Category2","Technical Institutes")</f>
        <v>44171.575398780493</v>
      </c>
      <c r="O548" s="216"/>
      <c r="Q548" s="193"/>
      <c r="R548" s="193"/>
      <c r="S548" s="193"/>
    </row>
    <row r="549" spans="1:19" ht="12.95" customHeight="1">
      <c r="A549" s="12"/>
      <c r="B549" s="9"/>
      <c r="C549" s="17"/>
      <c r="D549" s="9"/>
      <c r="E549" s="17"/>
      <c r="F549" s="9"/>
      <c r="G549" s="17"/>
      <c r="H549" s="9"/>
      <c r="I549" s="233"/>
      <c r="J549" s="9"/>
      <c r="K549" s="17"/>
      <c r="L549" s="9"/>
      <c r="M549" s="233"/>
      <c r="N549" s="9"/>
      <c r="O549" s="217"/>
    </row>
    <row r="550" spans="1:19" ht="12.95" customHeight="1">
      <c r="A550" s="12" t="s">
        <v>439</v>
      </c>
      <c r="B550" s="62">
        <f>+GETPIVOTDATA(" Old Prof avg",'Averages Pivot Table'!$A$3,"State","AL","Category",13,"Category2","Technical Institutes")</f>
        <v>0</v>
      </c>
      <c r="C550" s="130">
        <f>IF(B550&gt;0,(RANK(B550,B$550:B$568)),0)</f>
        <v>0</v>
      </c>
      <c r="D550" s="62">
        <f>+GETPIVOTDATA(" Old Asc. avg",'Averages Pivot Table'!$A$3,"State","AL","Category",13,"Category2","Technical Institutes")</f>
        <v>0</v>
      </c>
      <c r="E550" s="130">
        <f>IF(D550&gt;0,(RANK(D550,D$550:D$568)),0)</f>
        <v>0</v>
      </c>
      <c r="F550" s="62">
        <f>+GETPIVOTDATA(" Old Ast. avg",'Averages Pivot Table'!$A$3,"State","AL","Category",13,"Category2","Technical Institutes")</f>
        <v>0</v>
      </c>
      <c r="G550" s="130">
        <f t="shared" ref="G550:G568" si="89">IF(F550&gt;0,(RANK(F550,F$550:F$568)),0)</f>
        <v>0</v>
      </c>
      <c r="H550" s="62">
        <f>+GETPIVOTDATA(" Old Inst. avg",'Averages Pivot Table'!$A$3,"State","AL","Category",13,"Category2","Technical Institutes")</f>
        <v>0</v>
      </c>
      <c r="I550" s="201">
        <f t="shared" ref="I550:I568" si="90">IF(H550&gt;0,(RANK(H550,H$550:H$568)),0)</f>
        <v>0</v>
      </c>
      <c r="J550" s="62">
        <f>+GETPIVOTDATA(" Old Undesg. avg",'Averages Pivot Table'!$A$3,"State","AL","Category",13,"Category2","Technical Institutes")</f>
        <v>0</v>
      </c>
      <c r="K550" s="130">
        <f t="shared" ref="K550:K568" si="91">IF(J550&gt;0,(RANK(J550,J$550:J$568)),0)</f>
        <v>0</v>
      </c>
      <c r="L550" s="62">
        <f>+GETPIVOTDATA(" Old Single Rnk avg",'Averages Pivot Table'!$A$3,"State","AL","Category",13,"Category2","Technical Institutes")</f>
        <v>53407.699217977526</v>
      </c>
      <c r="M550" s="201">
        <f t="shared" ref="M550:M568" si="92">IF(L550&gt;0,(RANK(L550,L$550:L$568)),0)</f>
        <v>1</v>
      </c>
      <c r="N550" s="62">
        <f>+GETPIVOTDATA(" Old All Ranks avg",'Averages Pivot Table'!$A$3,"State","AL","Category",13,"Category2","Technical Institutes")</f>
        <v>53407.699217977526</v>
      </c>
      <c r="O550" s="201">
        <f t="shared" ref="O550:O568" si="93">IF(N550&gt;0,(RANK(N550,N$550:N$568)),0)</f>
        <v>1</v>
      </c>
    </row>
    <row r="551" spans="1:19" ht="12.95" customHeight="1">
      <c r="A551" s="12" t="s">
        <v>440</v>
      </c>
      <c r="B551" s="62">
        <f>+GETPIVOTDATA(" Old Prof avg",'Averages Pivot Table'!$A$3,"State","AR","Category",13,"Category2","Technical Institutes")</f>
        <v>0</v>
      </c>
      <c r="C551" s="130">
        <f t="shared" ref="C551:E568" si="94">IF(B551&gt;0,(RANK(B551,B$550:B$568)),0)</f>
        <v>0</v>
      </c>
      <c r="D551" s="62">
        <f>+GETPIVOTDATA(" Old Asc. avg",'Averages Pivot Table'!$A$3,"State","AR","Category",13,"Category2","Technical Institutes")</f>
        <v>0</v>
      </c>
      <c r="E551" s="130">
        <f t="shared" si="94"/>
        <v>0</v>
      </c>
      <c r="F551" s="62">
        <f>+GETPIVOTDATA(" Old Ast. avg",'Averages Pivot Table'!$A$3,"State","AR","Category",13,"Category2","Technical Institutes")</f>
        <v>0</v>
      </c>
      <c r="G551" s="130">
        <f t="shared" si="89"/>
        <v>0</v>
      </c>
      <c r="H551" s="62">
        <f>+GETPIVOTDATA(" Old Inst. avg",'Averages Pivot Table'!$A$3,"State","AR","Category",13,"Category2","Technical Institutes")</f>
        <v>0</v>
      </c>
      <c r="I551" s="201">
        <f t="shared" si="90"/>
        <v>0</v>
      </c>
      <c r="J551" s="62">
        <f>+GETPIVOTDATA(" Old Undesg. avg",'Averages Pivot Table'!$A$3,"State","AR","Category",13,"Category2","Technical Institutes")</f>
        <v>0</v>
      </c>
      <c r="K551" s="130">
        <f t="shared" si="91"/>
        <v>0</v>
      </c>
      <c r="L551" s="62">
        <f>+GETPIVOTDATA(" Old Single Rnk avg",'Averages Pivot Table'!$A$3,"State","AR","Category",13,"Category2","Technical Institutes")</f>
        <v>0</v>
      </c>
      <c r="M551" s="201">
        <f t="shared" si="92"/>
        <v>0</v>
      </c>
      <c r="N551" s="62">
        <f>+GETPIVOTDATA(" Old All Ranks avg",'Averages Pivot Table'!$A$3,"State","AR","Category",13,"Category2","Technical Institutes")</f>
        <v>0</v>
      </c>
      <c r="O551" s="201">
        <f t="shared" si="93"/>
        <v>0</v>
      </c>
    </row>
    <row r="552" spans="1:19" ht="12.95" customHeight="1">
      <c r="A552" s="12" t="s">
        <v>455</v>
      </c>
      <c r="B552" s="62">
        <f>+GETPIVOTDATA(" Old Prof avg",'Averages Pivot Table'!$A$3,"State","DE","Category",13,"Category2","Technical Institutes")</f>
        <v>0</v>
      </c>
      <c r="C552" s="130">
        <f t="shared" si="94"/>
        <v>0</v>
      </c>
      <c r="D552" s="62">
        <f>+GETPIVOTDATA(" Old Asc. avg",'Averages Pivot Table'!$A$3,"State","DE","Category",13,"Category2","Technical Institutes")</f>
        <v>0</v>
      </c>
      <c r="E552" s="130">
        <f t="shared" si="94"/>
        <v>0</v>
      </c>
      <c r="F552" s="62">
        <f>+GETPIVOTDATA(" Old Ast. avg",'Averages Pivot Table'!$A$3,"State","DE","Category",13,"Category2","Technical Institutes")</f>
        <v>0</v>
      </c>
      <c r="G552" s="130">
        <f t="shared" si="89"/>
        <v>0</v>
      </c>
      <c r="H552" s="62">
        <f>+GETPIVOTDATA(" Old Inst. avg",'Averages Pivot Table'!$A$3,"State","DE","Category",13,"Category2","Technical Institutes")</f>
        <v>0</v>
      </c>
      <c r="I552" s="201">
        <f t="shared" si="90"/>
        <v>0</v>
      </c>
      <c r="J552" s="62">
        <f>+GETPIVOTDATA(" Old Undesg. avg",'Averages Pivot Table'!$A$3,"State","DE","Category",13,"Category2","Technical Institutes")</f>
        <v>0</v>
      </c>
      <c r="K552" s="130">
        <f t="shared" si="91"/>
        <v>0</v>
      </c>
      <c r="L552" s="62">
        <f>+GETPIVOTDATA(" Old Single Rnk avg",'Averages Pivot Table'!$A$3,"State","DE","Category",13,"Category2","Technical Institutes")</f>
        <v>0</v>
      </c>
      <c r="M552" s="201">
        <f t="shared" si="92"/>
        <v>0</v>
      </c>
      <c r="N552" s="62">
        <f>+GETPIVOTDATA(" Old All Ranks avg",'Averages Pivot Table'!$A$3,"State","DE","Category",13,"Category2","Technical Institutes")</f>
        <v>0</v>
      </c>
      <c r="O552" s="201">
        <f t="shared" si="93"/>
        <v>0</v>
      </c>
    </row>
    <row r="553" spans="1:19" ht="12.95" customHeight="1">
      <c r="A553" s="12" t="s">
        <v>441</v>
      </c>
      <c r="B553" s="62">
        <f>+GETPIVOTDATA(" Old Prof avg",'Averages Pivot Table'!$A$3,"State","FL","Category",13,"Category2","Technical Institutes")</f>
        <v>0</v>
      </c>
      <c r="C553" s="130">
        <f t="shared" si="94"/>
        <v>0</v>
      </c>
      <c r="D553" s="62">
        <f>+GETPIVOTDATA(" Old Asc. avg",'Averages Pivot Table'!$A$3,"State","FL","Category",13,"Category2","Technical Institutes")</f>
        <v>0</v>
      </c>
      <c r="E553" s="130">
        <f t="shared" si="94"/>
        <v>0</v>
      </c>
      <c r="F553" s="62">
        <f>+GETPIVOTDATA(" Old Ast. avg",'Averages Pivot Table'!$A$3,"State","FL","Category",13,"Category2","Technical Institutes")</f>
        <v>0</v>
      </c>
      <c r="G553" s="130">
        <f t="shared" si="89"/>
        <v>0</v>
      </c>
      <c r="H553" s="62">
        <f>+GETPIVOTDATA(" Old Inst. avg",'Averages Pivot Table'!$A$3,"State","FL","Category",13,"Category2","Technical Institutes")</f>
        <v>0</v>
      </c>
      <c r="I553" s="201">
        <f t="shared" si="90"/>
        <v>0</v>
      </c>
      <c r="J553" s="62">
        <f>+GETPIVOTDATA(" Old Undesg. avg",'Averages Pivot Table'!$A$3,"State","FL","Category",13,"Category2","Technical Institutes")</f>
        <v>0</v>
      </c>
      <c r="K553" s="130">
        <f t="shared" si="91"/>
        <v>0</v>
      </c>
      <c r="L553" s="62">
        <f>+GETPIVOTDATA(" Old Single Rnk avg",'Averages Pivot Table'!$A$3,"State","FL","Category",13,"Category2","Technical Institutes")</f>
        <v>0</v>
      </c>
      <c r="M553" s="201">
        <f t="shared" si="92"/>
        <v>0</v>
      </c>
      <c r="N553" s="62">
        <f>+GETPIVOTDATA(" Old All Ranks avg",'Averages Pivot Table'!$A$3,"State","FL","Category",13,"Category2","Technical Institutes")</f>
        <v>0</v>
      </c>
      <c r="O553" s="201">
        <f t="shared" si="93"/>
        <v>0</v>
      </c>
    </row>
    <row r="554" spans="1:19" ht="12.95" customHeight="1">
      <c r="A554" s="12"/>
      <c r="B554" s="62"/>
      <c r="C554" s="130">
        <f t="shared" si="94"/>
        <v>0</v>
      </c>
      <c r="D554" s="62"/>
      <c r="E554" s="130">
        <f t="shared" si="94"/>
        <v>0</v>
      </c>
      <c r="F554" s="62"/>
      <c r="G554" s="130">
        <f t="shared" si="89"/>
        <v>0</v>
      </c>
      <c r="H554" s="62"/>
      <c r="I554" s="201">
        <f t="shared" si="90"/>
        <v>0</v>
      </c>
      <c r="J554" s="62"/>
      <c r="K554" s="130">
        <f t="shared" si="91"/>
        <v>0</v>
      </c>
      <c r="L554" s="62"/>
      <c r="M554" s="201">
        <f t="shared" si="92"/>
        <v>0</v>
      </c>
      <c r="N554" s="62"/>
      <c r="O554" s="201">
        <f t="shared" si="93"/>
        <v>0</v>
      </c>
    </row>
    <row r="555" spans="1:19" ht="12.95" customHeight="1">
      <c r="A555" s="12" t="s">
        <v>442</v>
      </c>
      <c r="B555" s="62">
        <f>+GETPIVOTDATA(" Old Prof avg",'Averages Pivot Table'!$A$3,"State","GA","Category",13,"Category2","Technical Institutes")</f>
        <v>0</v>
      </c>
      <c r="C555" s="130">
        <f t="shared" si="94"/>
        <v>0</v>
      </c>
      <c r="D555" s="62">
        <f>+GETPIVOTDATA(" Old Asc. avg",'Averages Pivot Table'!$A$3,"State","GA","Category",13,"Category2","Technical Institutes")</f>
        <v>0</v>
      </c>
      <c r="E555" s="130">
        <f t="shared" si="94"/>
        <v>0</v>
      </c>
      <c r="F555" s="62">
        <f>+GETPIVOTDATA(" Old Ast. avg",'Averages Pivot Table'!$A$3,"State","GA","Category",13,"Category2","Technical Institutes")</f>
        <v>0</v>
      </c>
      <c r="G555" s="130">
        <f t="shared" si="89"/>
        <v>0</v>
      </c>
      <c r="H555" s="62">
        <f>+GETPIVOTDATA(" Old Inst. avg",'Averages Pivot Table'!$A$3,"State","GA","Category",13,"Category2","Technical Institutes")</f>
        <v>0</v>
      </c>
      <c r="I555" s="201">
        <f t="shared" si="90"/>
        <v>0</v>
      </c>
      <c r="J555" s="62">
        <f>+GETPIVOTDATA(" Old Undesg. avg",'Averages Pivot Table'!$A$3,"State","GA","Category",13,"Category2","Technical Institutes")</f>
        <v>0</v>
      </c>
      <c r="K555" s="130">
        <f t="shared" si="91"/>
        <v>0</v>
      </c>
      <c r="L555" s="62">
        <f>+GETPIVOTDATA(" Old Single Rnk avg",'Averages Pivot Table'!$A$3,"State","GA","Category",13,"Category2","Technical Institutes")</f>
        <v>37568.506393333337</v>
      </c>
      <c r="M555" s="201">
        <f t="shared" si="92"/>
        <v>3</v>
      </c>
      <c r="N555" s="62">
        <f>+GETPIVOTDATA(" Old All Ranks avg",'Averages Pivot Table'!$A$3,"State","GA","Category",13,"Category2","Technical Institutes")</f>
        <v>37568.506393333337</v>
      </c>
      <c r="O555" s="201">
        <f t="shared" si="93"/>
        <v>4</v>
      </c>
    </row>
    <row r="556" spans="1:19" ht="12.95" customHeight="1">
      <c r="A556" s="12" t="s">
        <v>443</v>
      </c>
      <c r="B556" s="62">
        <f>+GETPIVOTDATA(" Old Prof avg",'Averages Pivot Table'!$A$3,"State","KY","Category",13,"Category2","Technical Institutes")</f>
        <v>0</v>
      </c>
      <c r="C556" s="130">
        <f t="shared" si="94"/>
        <v>0</v>
      </c>
      <c r="D556" s="62">
        <f>+GETPIVOTDATA(" Old Asc. avg",'Averages Pivot Table'!$A$3,"State","KY","Category",13,"Category2","Technical Institutes")</f>
        <v>0</v>
      </c>
      <c r="E556" s="130">
        <f t="shared" si="94"/>
        <v>0</v>
      </c>
      <c r="F556" s="62">
        <f>+GETPIVOTDATA(" Old Ast. avg",'Averages Pivot Table'!$A$3,"State","KY","Category",13,"Category2","Technical Institutes")</f>
        <v>0</v>
      </c>
      <c r="G556" s="130">
        <f t="shared" si="89"/>
        <v>0</v>
      </c>
      <c r="H556" s="62">
        <f>+GETPIVOTDATA(" Old Inst. avg",'Averages Pivot Table'!$A$3,"State","KY","Category",13,"Category2","Technical Institutes")</f>
        <v>0</v>
      </c>
      <c r="I556" s="201">
        <f t="shared" si="90"/>
        <v>0</v>
      </c>
      <c r="J556" s="62">
        <f>+GETPIVOTDATA(" Old Undesg. avg",'Averages Pivot Table'!$A$3,"State","KY","Category",13,"Category2","Technical Institutes")</f>
        <v>0</v>
      </c>
      <c r="K556" s="130">
        <f t="shared" si="91"/>
        <v>0</v>
      </c>
      <c r="L556" s="62">
        <f>+GETPIVOTDATA(" Old Single Rnk avg",'Averages Pivot Table'!$A$3,"State","KY","Category",13,"Category2","Technical Institutes")</f>
        <v>0</v>
      </c>
      <c r="M556" s="201">
        <f t="shared" si="92"/>
        <v>0</v>
      </c>
      <c r="N556" s="62">
        <f>+GETPIVOTDATA(" Old All Ranks avg",'Averages Pivot Table'!$A$3,"State","KY","Category",13,"Category2","Technical Institutes")</f>
        <v>0</v>
      </c>
      <c r="O556" s="201">
        <f t="shared" si="93"/>
        <v>0</v>
      </c>
    </row>
    <row r="557" spans="1:19" ht="12.95" customHeight="1">
      <c r="A557" s="12" t="s">
        <v>444</v>
      </c>
      <c r="B557" s="62">
        <f>+GETPIVOTDATA(" Old Prof avg",'Averages Pivot Table'!$A$3,"State","LA","Category",13,"Category2","Technical Institutes")</f>
        <v>0</v>
      </c>
      <c r="C557" s="130">
        <f t="shared" si="94"/>
        <v>0</v>
      </c>
      <c r="D557" s="62">
        <f>+GETPIVOTDATA(" Old Asc. avg",'Averages Pivot Table'!$A$3,"State","LA","Category",13,"Category2","Technical Institutes")</f>
        <v>0</v>
      </c>
      <c r="E557" s="130">
        <f t="shared" si="94"/>
        <v>0</v>
      </c>
      <c r="F557" s="62">
        <f>+GETPIVOTDATA(" Old Ast. avg",'Averages Pivot Table'!$A$3,"State","LA","Category",13,"Category2","Technical Institutes")</f>
        <v>0</v>
      </c>
      <c r="G557" s="130">
        <f t="shared" si="89"/>
        <v>0</v>
      </c>
      <c r="H557" s="62">
        <f>+GETPIVOTDATA(" Old Inst. avg",'Averages Pivot Table'!$A$3,"State","LA","Category",13,"Category2","Technical Institutes")</f>
        <v>37978.951515000001</v>
      </c>
      <c r="I557" s="201">
        <f t="shared" si="90"/>
        <v>1</v>
      </c>
      <c r="J557" s="62">
        <f>+GETPIVOTDATA(" Old Undesg. avg",'Averages Pivot Table'!$A$3,"State","LA","Category",13,"Category2","Technical Institutes")</f>
        <v>25000</v>
      </c>
      <c r="K557" s="130">
        <f t="shared" si="91"/>
        <v>1</v>
      </c>
      <c r="L557" s="62">
        <f>+GETPIVOTDATA(" Old Single Rnk avg",'Averages Pivot Table'!$A$3,"State","LA","Category",13,"Category2","Technical Institutes")</f>
        <v>0</v>
      </c>
      <c r="M557" s="201">
        <f t="shared" si="92"/>
        <v>0</v>
      </c>
      <c r="N557" s="62">
        <f>+GETPIVOTDATA(" Old All Ranks avg",'Averages Pivot Table'!$A$3,"State","LA","Category",13,"Category2","Technical Institutes")</f>
        <v>37662.391721951222</v>
      </c>
      <c r="O557" s="201">
        <f t="shared" si="93"/>
        <v>3</v>
      </c>
    </row>
    <row r="558" spans="1:19" ht="12.95" customHeight="1">
      <c r="A558" s="12" t="s">
        <v>445</v>
      </c>
      <c r="B558" s="62">
        <f>+GETPIVOTDATA(" Old Prof avg",'Averages Pivot Table'!$A$3,"State","MD","Category",13,"Category2","Technical Institutes")</f>
        <v>0</v>
      </c>
      <c r="C558" s="130">
        <f>IF(B558&gt;0,(RANK(B558,B$550:B$568)),0)</f>
        <v>0</v>
      </c>
      <c r="D558" s="62">
        <f>+GETPIVOTDATA(" Old Asc. avg",'Averages Pivot Table'!$A$3,"State","MD","Category",13,"Category2","Technical Institutes")</f>
        <v>0</v>
      </c>
      <c r="E558" s="130">
        <f t="shared" si="94"/>
        <v>0</v>
      </c>
      <c r="F558" s="62">
        <f>+GETPIVOTDATA(" Old Ast. avg",'Averages Pivot Table'!$A$3,"State","MD","Category",13,"Category2","Technical Institutes")</f>
        <v>0</v>
      </c>
      <c r="G558" s="130">
        <f t="shared" si="89"/>
        <v>0</v>
      </c>
      <c r="H558" s="62">
        <f>+GETPIVOTDATA(" Old Inst. avg",'Averages Pivot Table'!$A$3,"State","MD","Category",13,"Category2","Technical Institutes")</f>
        <v>0</v>
      </c>
      <c r="I558" s="201">
        <f t="shared" si="90"/>
        <v>0</v>
      </c>
      <c r="J558" s="62">
        <f>+GETPIVOTDATA(" Old Undesg. avg",'Averages Pivot Table'!$A$3,"State","MD","Category",13,"Category2","Technical Institutes")</f>
        <v>0</v>
      </c>
      <c r="K558" s="130">
        <f t="shared" si="91"/>
        <v>0</v>
      </c>
      <c r="L558" s="62">
        <f>+GETPIVOTDATA(" Old Single Rnk avg",'Averages Pivot Table'!$A$3,"State","MD","Category",13,"Category2","Technical Institutes")</f>
        <v>0</v>
      </c>
      <c r="M558" s="201">
        <f t="shared" si="92"/>
        <v>0</v>
      </c>
      <c r="N558" s="62">
        <f>+GETPIVOTDATA(" Old All Ranks avg",'Averages Pivot Table'!$A$3,"State","MD","Category",13,"Category2","Technical Institutes")</f>
        <v>0</v>
      </c>
      <c r="O558" s="201">
        <f t="shared" si="93"/>
        <v>0</v>
      </c>
    </row>
    <row r="559" spans="1:19" ht="12.95" customHeight="1">
      <c r="A559" s="12"/>
      <c r="B559" s="62"/>
      <c r="C559" s="130">
        <f t="shared" si="94"/>
        <v>0</v>
      </c>
      <c r="D559" s="62"/>
      <c r="E559" s="130">
        <f t="shared" si="94"/>
        <v>0</v>
      </c>
      <c r="F559" s="62"/>
      <c r="G559" s="130">
        <f t="shared" si="89"/>
        <v>0</v>
      </c>
      <c r="H559" s="62"/>
      <c r="I559" s="201">
        <f t="shared" si="90"/>
        <v>0</v>
      </c>
      <c r="J559" s="62"/>
      <c r="K559" s="130">
        <f t="shared" si="91"/>
        <v>0</v>
      </c>
      <c r="L559" s="62"/>
      <c r="M559" s="201">
        <f t="shared" si="92"/>
        <v>0</v>
      </c>
      <c r="N559" s="62"/>
      <c r="O559" s="201">
        <f t="shared" si="93"/>
        <v>0</v>
      </c>
    </row>
    <row r="560" spans="1:19" ht="12.95" customHeight="1">
      <c r="A560" s="12" t="s">
        <v>446</v>
      </c>
      <c r="B560" s="62">
        <f>+GETPIVOTDATA(" Old Prof avg",'Averages Pivot Table'!$A$3,"State","MS","Category",13,"Category2","Technical Institutes")</f>
        <v>0</v>
      </c>
      <c r="C560" s="130">
        <f t="shared" si="94"/>
        <v>0</v>
      </c>
      <c r="D560" s="62">
        <f>+GETPIVOTDATA(" Old Asc. avg",'Averages Pivot Table'!$A$3,"State","MS","Category",13,"Category2","Technical Institutes")</f>
        <v>0</v>
      </c>
      <c r="E560" s="130">
        <f t="shared" si="94"/>
        <v>0</v>
      </c>
      <c r="F560" s="62">
        <f>+GETPIVOTDATA(" Old Ast. avg",'Averages Pivot Table'!$A$3,"State","MS","Category",13,"Category2","Technical Institutes")</f>
        <v>0</v>
      </c>
      <c r="G560" s="130">
        <f t="shared" si="89"/>
        <v>0</v>
      </c>
      <c r="H560" s="62">
        <f>+GETPIVOTDATA(" Old Inst. avg",'Averages Pivot Table'!$A$3,"State","MS","Category",13,"Category2","Technical Institutes")</f>
        <v>0</v>
      </c>
      <c r="I560" s="201">
        <f t="shared" si="90"/>
        <v>0</v>
      </c>
      <c r="J560" s="62">
        <f>+GETPIVOTDATA(" Old Undesg. avg",'Averages Pivot Table'!$A$3,"State","MS","Category",13,"Category2","Technical Institutes")</f>
        <v>0</v>
      </c>
      <c r="K560" s="130">
        <f t="shared" si="91"/>
        <v>0</v>
      </c>
      <c r="L560" s="62">
        <f>+GETPIVOTDATA(" Old Single Rnk avg",'Averages Pivot Table'!$A$3,"State","MS","Category",13,"Category2","Technical Institutes")</f>
        <v>0</v>
      </c>
      <c r="M560" s="201">
        <f t="shared" si="92"/>
        <v>0</v>
      </c>
      <c r="N560" s="62">
        <f>+GETPIVOTDATA(" Old All Ranks avg",'Averages Pivot Table'!$A$3,"State","MS","Category",13,"Category2","Technical Institutes")</f>
        <v>0</v>
      </c>
      <c r="O560" s="201">
        <f t="shared" si="93"/>
        <v>0</v>
      </c>
    </row>
    <row r="561" spans="1:15" ht="12.95" customHeight="1">
      <c r="A561" s="12" t="s">
        <v>447</v>
      </c>
      <c r="B561" s="62">
        <f>+GETPIVOTDATA(" Old Prof avg",'Averages Pivot Table'!$A$3,"State","NC","Category",13,"Category2","Technical Institutes")</f>
        <v>0</v>
      </c>
      <c r="C561" s="130">
        <f t="shared" si="94"/>
        <v>0</v>
      </c>
      <c r="D561" s="62">
        <f>+GETPIVOTDATA(" Old Asc. avg",'Averages Pivot Table'!$A$3,"State","NC","Category",13,"Category2","Technical Institutes")</f>
        <v>0</v>
      </c>
      <c r="E561" s="130">
        <f t="shared" si="94"/>
        <v>0</v>
      </c>
      <c r="F561" s="62">
        <f>+GETPIVOTDATA(" Old Ast. avg",'Averages Pivot Table'!$A$3,"State","NC","Category",13,"Category2","Technical Institutes")</f>
        <v>0</v>
      </c>
      <c r="G561" s="130">
        <f t="shared" si="89"/>
        <v>0</v>
      </c>
      <c r="H561" s="62">
        <f>+GETPIVOTDATA(" Old Inst. avg",'Averages Pivot Table'!$A$3,"State","NC","Category",13,"Category2","Technical Institutes")</f>
        <v>0</v>
      </c>
      <c r="I561" s="201">
        <f t="shared" si="90"/>
        <v>0</v>
      </c>
      <c r="J561" s="62">
        <f>+GETPIVOTDATA(" Old Undesg. avg",'Averages Pivot Table'!$A$3,"State","NC","Category",13,"Category2","Technical Institutes")</f>
        <v>0</v>
      </c>
      <c r="K561" s="130">
        <f t="shared" si="91"/>
        <v>0</v>
      </c>
      <c r="L561" s="62">
        <f>+GETPIVOTDATA(" Old Single Rnk avg",'Averages Pivot Table'!$A$3,"State","NC","Category",13,"Category2","Technical Institutes")</f>
        <v>0</v>
      </c>
      <c r="M561" s="201">
        <f t="shared" si="92"/>
        <v>0</v>
      </c>
      <c r="N561" s="62">
        <f>+GETPIVOTDATA(" Old All Ranks avg",'Averages Pivot Table'!$A$3,"State","NC","Category",13,"Category2","Technical Institutes")</f>
        <v>0</v>
      </c>
      <c r="O561" s="201">
        <f t="shared" si="93"/>
        <v>0</v>
      </c>
    </row>
    <row r="562" spans="1:15" ht="12.95" customHeight="1">
      <c r="A562" s="12" t="s">
        <v>448</v>
      </c>
      <c r="B562" s="62">
        <f>+GETPIVOTDATA(" Old Prof avg",'Averages Pivot Table'!$A$3,"State","OK","Category",13,"Category2","Technical Institutes")</f>
        <v>0</v>
      </c>
      <c r="C562" s="130">
        <f t="shared" si="94"/>
        <v>0</v>
      </c>
      <c r="D562" s="62">
        <f>+GETPIVOTDATA(" Old Asc. avg",'Averages Pivot Table'!$A$3,"State","OK","Category",13,"Category2","Technical Institutes")</f>
        <v>0</v>
      </c>
      <c r="E562" s="130">
        <f t="shared" si="94"/>
        <v>0</v>
      </c>
      <c r="F562" s="62">
        <f>+GETPIVOTDATA(" Old Ast. avg",'Averages Pivot Table'!$A$3,"State","OK","Category",13,"Category2","Technical Institutes")</f>
        <v>0</v>
      </c>
      <c r="G562" s="130">
        <f t="shared" si="89"/>
        <v>0</v>
      </c>
      <c r="H562" s="62">
        <f>+GETPIVOTDATA(" Old Inst. avg",'Averages Pivot Table'!$A$3,"State","OK","Category",13,"Category2","Technical Institutes")</f>
        <v>0</v>
      </c>
      <c r="I562" s="201">
        <f t="shared" si="90"/>
        <v>0</v>
      </c>
      <c r="J562" s="62">
        <f>+GETPIVOTDATA(" Old Undesg. avg",'Averages Pivot Table'!$A$3,"State","OK","Category",13,"Category2","Technical Institutes")</f>
        <v>0</v>
      </c>
      <c r="K562" s="130">
        <f t="shared" si="91"/>
        <v>0</v>
      </c>
      <c r="L562" s="62">
        <f>+GETPIVOTDATA(" Old Single Rnk avg",'Averages Pivot Table'!$A$3,"State","OK","Category",13,"Category2","Technical Institutes")</f>
        <v>48010.763139877301</v>
      </c>
      <c r="M562" s="201">
        <f t="shared" si="92"/>
        <v>2</v>
      </c>
      <c r="N562" s="62">
        <f>+GETPIVOTDATA(" Old All Ranks avg",'Averages Pivot Table'!$A$3,"State","OK","Category",13,"Category2","Technical Institutes")</f>
        <v>48010.763139877301</v>
      </c>
      <c r="O562" s="201">
        <f t="shared" si="93"/>
        <v>2</v>
      </c>
    </row>
    <row r="563" spans="1:15" ht="12.95" customHeight="1">
      <c r="A563" s="12" t="s">
        <v>449</v>
      </c>
      <c r="B563" s="62">
        <f>+GETPIVOTDATA(" Old Prof avg",'Averages Pivot Table'!$A$3,"State","SC","Category",13,"Category2","Technical Institutes")</f>
        <v>0</v>
      </c>
      <c r="C563" s="130">
        <f t="shared" si="94"/>
        <v>0</v>
      </c>
      <c r="D563" s="62">
        <f>+GETPIVOTDATA(" Old Asc. avg",'Averages Pivot Table'!$A$3,"State","SC","Category",13,"Category2","Technical Institutes")</f>
        <v>0</v>
      </c>
      <c r="E563" s="130">
        <f t="shared" si="94"/>
        <v>0</v>
      </c>
      <c r="F563" s="62">
        <f>+GETPIVOTDATA(" Old Ast. avg",'Averages Pivot Table'!$A$3,"State","SC","Category",13,"Category2","Technical Institutes")</f>
        <v>0</v>
      </c>
      <c r="G563" s="130">
        <f t="shared" si="89"/>
        <v>0</v>
      </c>
      <c r="H563" s="62">
        <f>+GETPIVOTDATA(" Old Inst. avg",'Averages Pivot Table'!$A$3,"State","SC","Category",13,"Category2","Technical Institutes")</f>
        <v>0</v>
      </c>
      <c r="I563" s="201">
        <f t="shared" si="90"/>
        <v>0</v>
      </c>
      <c r="J563" s="62">
        <f>+GETPIVOTDATA(" Old Undesg. avg",'Averages Pivot Table'!$A$3,"State","SC","Category",13,"Category2","Technical Institutes")</f>
        <v>0</v>
      </c>
      <c r="K563" s="130">
        <f t="shared" si="91"/>
        <v>0</v>
      </c>
      <c r="L563" s="62">
        <f>+GETPIVOTDATA(" Old Single Rnk avg",'Averages Pivot Table'!$A$3,"State","SC","Category",13,"Category2","Technical Institutes")</f>
        <v>0</v>
      </c>
      <c r="M563" s="201">
        <f t="shared" si="92"/>
        <v>0</v>
      </c>
      <c r="N563" s="62">
        <f>+GETPIVOTDATA(" Old All Ranks avg",'Averages Pivot Table'!$A$3,"State","SC","Category",13,"Category2","Technical Institutes")</f>
        <v>0</v>
      </c>
      <c r="O563" s="201">
        <f t="shared" si="93"/>
        <v>0</v>
      </c>
    </row>
    <row r="564" spans="1:15" ht="12.95" customHeight="1">
      <c r="A564" s="12"/>
      <c r="B564" s="62"/>
      <c r="C564" s="130">
        <f t="shared" si="94"/>
        <v>0</v>
      </c>
      <c r="D564" s="62"/>
      <c r="E564" s="130">
        <f t="shared" si="94"/>
        <v>0</v>
      </c>
      <c r="F564" s="62"/>
      <c r="G564" s="130">
        <f t="shared" si="89"/>
        <v>0</v>
      </c>
      <c r="H564" s="62"/>
      <c r="I564" s="201">
        <f t="shared" si="90"/>
        <v>0</v>
      </c>
      <c r="J564" s="62"/>
      <c r="K564" s="130">
        <f t="shared" si="91"/>
        <v>0</v>
      </c>
      <c r="L564" s="62"/>
      <c r="M564" s="201">
        <f t="shared" si="92"/>
        <v>0</v>
      </c>
      <c r="N564" s="62"/>
      <c r="O564" s="201">
        <f t="shared" si="93"/>
        <v>0</v>
      </c>
    </row>
    <row r="565" spans="1:15" ht="12.95" customHeight="1">
      <c r="A565" s="12" t="s">
        <v>450</v>
      </c>
      <c r="B565" s="129">
        <f>+GETPIVOTDATA(" Old Prof avg",'Averages Pivot Table'!$A$3,"State","TN","Category",13,"Category2","Technical Institutes")</f>
        <v>0</v>
      </c>
      <c r="C565" s="130">
        <f t="shared" si="94"/>
        <v>0</v>
      </c>
      <c r="D565" s="129">
        <f>+GETPIVOTDATA(" Old Asc. avg",'Averages Pivot Table'!$A$3,"State","TN","Category",13,"Category2","Technical Institutes")</f>
        <v>0</v>
      </c>
      <c r="E565" s="130">
        <f t="shared" si="94"/>
        <v>0</v>
      </c>
      <c r="F565" s="129">
        <f>+GETPIVOTDATA(" Old Ast. avg",'Averages Pivot Table'!$A$3,"State","TN","Category",13,"Category2","Technical Institutes")</f>
        <v>0</v>
      </c>
      <c r="G565" s="130">
        <f t="shared" si="89"/>
        <v>0</v>
      </c>
      <c r="H565" s="129">
        <f>+GETPIVOTDATA(" Old Inst. avg",'Averages Pivot Table'!$A$3,"State","TN","Category",13,"Category2","Technical Institutes")</f>
        <v>0</v>
      </c>
      <c r="I565" s="201">
        <f t="shared" si="90"/>
        <v>0</v>
      </c>
      <c r="J565" s="129">
        <f>+GETPIVOTDATA(" Old Undesg. avg",'Averages Pivot Table'!$A$3,"State","TN","Category",13,"Category2","Technical Institutes")</f>
        <v>0</v>
      </c>
      <c r="K565" s="130">
        <f t="shared" si="91"/>
        <v>0</v>
      </c>
      <c r="L565" s="129">
        <f>+GETPIVOTDATA(" Old Single Rnk avg",'Averages Pivot Table'!$A$3,"State","TN","Category",13,"Category2","Technical Institutes")</f>
        <v>37213.522648303377</v>
      </c>
      <c r="M565" s="201">
        <f t="shared" si="92"/>
        <v>4</v>
      </c>
      <c r="N565" s="62">
        <f>+GETPIVOTDATA(" Old All Ranks avg",'Averages Pivot Table'!$A$3,"State","TN","Category",13,"Category2","Technical Institutes")</f>
        <v>37213.522648303377</v>
      </c>
      <c r="O565" s="201">
        <f t="shared" si="93"/>
        <v>5</v>
      </c>
    </row>
    <row r="566" spans="1:15" ht="12.95" customHeight="1">
      <c r="A566" s="12" t="s">
        <v>451</v>
      </c>
      <c r="B566" s="129">
        <f>+GETPIVOTDATA(" Old Prof avg",'Averages Pivot Table'!$A$3,"State","TX","Category",13,"Category2","Technical Institutes")</f>
        <v>0</v>
      </c>
      <c r="C566" s="130">
        <f t="shared" si="94"/>
        <v>0</v>
      </c>
      <c r="D566" s="129">
        <f>+GETPIVOTDATA(" Old Asc. avg",'Averages Pivot Table'!$A$3,"State","TX","Category",13,"Category2","Technical Institutes")</f>
        <v>0</v>
      </c>
      <c r="E566" s="130">
        <f t="shared" si="94"/>
        <v>0</v>
      </c>
      <c r="F566" s="129">
        <f>+GETPIVOTDATA(" Old Ast. avg",'Averages Pivot Table'!$A$3,"State","TX","Category",13,"Category2","Technical Institutes")</f>
        <v>0</v>
      </c>
      <c r="G566" s="130">
        <f t="shared" si="89"/>
        <v>0</v>
      </c>
      <c r="H566" s="129">
        <f>+GETPIVOTDATA(" Old Inst. avg",'Averages Pivot Table'!$A$3,"State","TX","Category",13,"Category2","Technical Institutes")</f>
        <v>0</v>
      </c>
      <c r="I566" s="201">
        <f t="shared" si="90"/>
        <v>0</v>
      </c>
      <c r="J566" s="129">
        <f>+GETPIVOTDATA(" Old Undesg. avg",'Averages Pivot Table'!$A$3,"State","TX","Category",13,"Category2","Technical Institutes")</f>
        <v>0</v>
      </c>
      <c r="K566" s="130">
        <f t="shared" si="91"/>
        <v>0</v>
      </c>
      <c r="L566" s="129">
        <f>+GETPIVOTDATA(" Old Single Rnk avg",'Averages Pivot Table'!$A$3,"State","TX","Category",13,"Category2","Technical Institutes")</f>
        <v>0</v>
      </c>
      <c r="M566" s="201">
        <f t="shared" si="92"/>
        <v>0</v>
      </c>
      <c r="N566" s="62">
        <f>+GETPIVOTDATA(" Old All Ranks avg",'Averages Pivot Table'!$A$3,"State","TX","Category",13,"Category2","Technical Institutes")</f>
        <v>0</v>
      </c>
      <c r="O566" s="201">
        <f t="shared" si="93"/>
        <v>0</v>
      </c>
    </row>
    <row r="567" spans="1:15" ht="12.95" customHeight="1">
      <c r="A567" s="12" t="s">
        <v>452</v>
      </c>
      <c r="B567" s="129">
        <f>+GETPIVOTDATA(" Old Prof avg",'Averages Pivot Table'!$A$3,"State","VA","Category",13,"Category2","Technical Institutes")</f>
        <v>0</v>
      </c>
      <c r="C567" s="130">
        <f t="shared" si="94"/>
        <v>0</v>
      </c>
      <c r="D567" s="129">
        <f>+GETPIVOTDATA(" Old Asc. avg",'Averages Pivot Table'!$A$3,"State","VA","Category",13,"Category2","Technical Institutes")</f>
        <v>0</v>
      </c>
      <c r="E567" s="130">
        <f t="shared" si="94"/>
        <v>0</v>
      </c>
      <c r="F567" s="129">
        <f>+GETPIVOTDATA(" Old Ast. avg",'Averages Pivot Table'!$A$3,"State","VA","Category",13,"Category2","Technical Institutes")</f>
        <v>0</v>
      </c>
      <c r="G567" s="130">
        <f t="shared" si="89"/>
        <v>0</v>
      </c>
      <c r="H567" s="129">
        <f>+GETPIVOTDATA(" Old Inst. avg",'Averages Pivot Table'!$A$3,"State","VA","Category",13,"Category2","Technical Institutes")</f>
        <v>0</v>
      </c>
      <c r="I567" s="201">
        <f t="shared" si="90"/>
        <v>0</v>
      </c>
      <c r="J567" s="129">
        <f>+GETPIVOTDATA(" Old Undesg. avg",'Averages Pivot Table'!$A$3,"State","VA","Category",13,"Category2","Technical Institutes")</f>
        <v>0</v>
      </c>
      <c r="K567" s="130">
        <f t="shared" si="91"/>
        <v>0</v>
      </c>
      <c r="L567" s="129">
        <f>+GETPIVOTDATA(" Old Single Rnk avg",'Averages Pivot Table'!$A$3,"State","VA","Category",13,"Category2","Technical Institutes")</f>
        <v>0</v>
      </c>
      <c r="M567" s="201">
        <f t="shared" si="92"/>
        <v>0</v>
      </c>
      <c r="N567" s="62">
        <f>+GETPIVOTDATA(" Old All Ranks avg",'Averages Pivot Table'!$A$3,"State","VA","Category",13,"Category2","Technical Institutes")</f>
        <v>0</v>
      </c>
      <c r="O567" s="201">
        <f t="shared" si="93"/>
        <v>0</v>
      </c>
    </row>
    <row r="568" spans="1:15" ht="12.95" customHeight="1">
      <c r="A568" s="11" t="s">
        <v>453</v>
      </c>
      <c r="B568" s="64">
        <f>+GETPIVOTDATA(" Old Prof avg",'Averages Pivot Table'!$A$3,"State","WV","Category",13,"Category2","Technical Institutes")</f>
        <v>0</v>
      </c>
      <c r="C568" s="65">
        <f t="shared" si="94"/>
        <v>0</v>
      </c>
      <c r="D568" s="64">
        <f>+GETPIVOTDATA(" Old Asc. avg",'Averages Pivot Table'!$A$3,"State","WV","Category",13,"Category2","Technical Institutes")</f>
        <v>0</v>
      </c>
      <c r="E568" s="65">
        <f t="shared" si="94"/>
        <v>0</v>
      </c>
      <c r="F568" s="64">
        <f>+GETPIVOTDATA(" Old Ast. avg",'Averages Pivot Table'!$A$3,"State","WV","Category",13,"Category2","Technical Institutes")</f>
        <v>0</v>
      </c>
      <c r="G568" s="65">
        <f t="shared" si="89"/>
        <v>0</v>
      </c>
      <c r="H568" s="64">
        <f>+GETPIVOTDATA(" Old Inst. avg",'Averages Pivot Table'!$A$3,"State","WV","Category",13,"Category2","Technical Institutes")</f>
        <v>0</v>
      </c>
      <c r="I568" s="202">
        <f t="shared" si="90"/>
        <v>0</v>
      </c>
      <c r="J568" s="64">
        <f>+GETPIVOTDATA(" Old Undesg. avg",'Averages Pivot Table'!$A$3,"State","WV","Category",13,"Category2","Technical Institutes")</f>
        <v>0</v>
      </c>
      <c r="K568" s="65">
        <f t="shared" si="91"/>
        <v>0</v>
      </c>
      <c r="L568" s="64">
        <f>+GETPIVOTDATA(" Old Single Rnk avg",'Averages Pivot Table'!$A$3,"State","WV","Category",13,"Category2","Technical Institutes")</f>
        <v>0</v>
      </c>
      <c r="M568" s="202">
        <f t="shared" si="92"/>
        <v>0</v>
      </c>
      <c r="N568" s="64">
        <f>+GETPIVOTDATA(" Old All Ranks avg",'Averages Pivot Table'!$A$3,"State","WV","Category",13,"Category2","Technical Institutes")</f>
        <v>0</v>
      </c>
      <c r="O568" s="202">
        <f t="shared" si="93"/>
        <v>0</v>
      </c>
    </row>
    <row r="569" spans="1:15" ht="30" customHeight="1">
      <c r="A569" s="634" t="s">
        <v>323</v>
      </c>
      <c r="B569" s="634"/>
      <c r="C569" s="634"/>
      <c r="D569" s="634"/>
      <c r="E569" s="634"/>
      <c r="F569" s="634"/>
      <c r="G569" s="634"/>
      <c r="H569" s="634"/>
      <c r="I569" s="634"/>
      <c r="J569" s="634"/>
      <c r="K569" s="634"/>
      <c r="L569" s="634"/>
      <c r="M569" s="634"/>
      <c r="N569" s="634"/>
      <c r="O569" s="634"/>
    </row>
    <row r="570" spans="1:15">
      <c r="O570" s="244" t="s">
        <v>1166</v>
      </c>
    </row>
    <row r="571" spans="1:15" ht="18">
      <c r="A571" s="618" t="s">
        <v>795</v>
      </c>
      <c r="B571" s="618"/>
      <c r="C571" s="618"/>
      <c r="D571" s="618"/>
      <c r="E571" s="618"/>
      <c r="F571" s="618"/>
      <c r="G571" s="618"/>
      <c r="H571" s="618"/>
      <c r="I571" s="618"/>
      <c r="J571" s="618"/>
      <c r="K571" s="618"/>
      <c r="L571" s="618"/>
      <c r="M571" s="618"/>
      <c r="N571" s="618"/>
      <c r="O571" s="618"/>
    </row>
    <row r="572" spans="1:15">
      <c r="A572" s="23"/>
      <c r="B572" s="5"/>
      <c r="C572" s="5"/>
      <c r="D572" s="5"/>
      <c r="E572" s="5"/>
      <c r="F572" s="5"/>
      <c r="G572" s="5"/>
      <c r="H572" s="5"/>
      <c r="I572" s="159"/>
      <c r="J572" s="5"/>
      <c r="K572" s="5"/>
      <c r="L572" s="5"/>
      <c r="M572" s="159"/>
      <c r="N572" s="5"/>
      <c r="O572" s="159"/>
    </row>
    <row r="573" spans="1:15">
      <c r="A573" s="619" t="s">
        <v>454</v>
      </c>
      <c r="B573" s="619"/>
      <c r="C573" s="619"/>
      <c r="D573" s="619"/>
      <c r="E573" s="619"/>
      <c r="F573" s="619"/>
      <c r="G573" s="619"/>
      <c r="H573" s="619"/>
      <c r="I573" s="619"/>
      <c r="J573" s="619"/>
      <c r="K573" s="619"/>
      <c r="L573" s="619"/>
      <c r="M573" s="619"/>
      <c r="N573" s="619"/>
      <c r="O573" s="619"/>
    </row>
    <row r="574" spans="1:15">
      <c r="A574" s="619" t="s">
        <v>773</v>
      </c>
      <c r="B574" s="619"/>
      <c r="C574" s="619"/>
      <c r="D574" s="619"/>
      <c r="E574" s="619"/>
      <c r="F574" s="619"/>
      <c r="G574" s="619"/>
      <c r="H574" s="619"/>
      <c r="I574" s="619"/>
      <c r="J574" s="619"/>
      <c r="K574" s="619"/>
      <c r="L574" s="619"/>
      <c r="M574" s="619"/>
      <c r="N574" s="619"/>
      <c r="O574" s="619"/>
    </row>
    <row r="575" spans="1:15">
      <c r="A575" s="12"/>
      <c r="B575" s="5"/>
      <c r="C575" s="5"/>
      <c r="D575" s="5"/>
      <c r="E575" s="5"/>
      <c r="F575" s="5"/>
      <c r="G575" s="5"/>
      <c r="H575" s="5"/>
      <c r="I575" s="159"/>
      <c r="J575" s="5"/>
      <c r="K575" s="5"/>
      <c r="L575" s="5"/>
      <c r="M575" s="159"/>
      <c r="N575" s="5"/>
      <c r="O575" s="159"/>
    </row>
    <row r="576" spans="1:15" ht="33" customHeight="1">
      <c r="A576" s="15"/>
      <c r="B576" s="21" t="s">
        <v>332</v>
      </c>
      <c r="C576" s="22"/>
      <c r="D576" s="141" t="s">
        <v>333</v>
      </c>
      <c r="E576" s="142"/>
      <c r="F576" s="141" t="s">
        <v>334</v>
      </c>
      <c r="G576" s="142"/>
      <c r="H576" s="21" t="s">
        <v>335</v>
      </c>
      <c r="I576" s="225"/>
      <c r="J576" s="141" t="s">
        <v>461</v>
      </c>
      <c r="K576" s="142"/>
      <c r="L576" s="22" t="s">
        <v>314</v>
      </c>
      <c r="M576" s="225"/>
      <c r="N576" s="22" t="s">
        <v>316</v>
      </c>
      <c r="O576" s="225"/>
    </row>
    <row r="577" spans="1:19">
      <c r="A577" s="25"/>
      <c r="B577" s="19" t="s">
        <v>336</v>
      </c>
      <c r="C577" s="18" t="s">
        <v>427</v>
      </c>
      <c r="D577" s="19" t="s">
        <v>336</v>
      </c>
      <c r="E577" s="18" t="s">
        <v>427</v>
      </c>
      <c r="F577" s="19" t="s">
        <v>336</v>
      </c>
      <c r="G577" s="18" t="s">
        <v>427</v>
      </c>
      <c r="H577" s="19" t="s">
        <v>336</v>
      </c>
      <c r="I577" s="226" t="s">
        <v>427</v>
      </c>
      <c r="J577" s="19" t="s">
        <v>336</v>
      </c>
      <c r="K577" s="18" t="s">
        <v>427</v>
      </c>
      <c r="L577" s="19" t="s">
        <v>336</v>
      </c>
      <c r="M577" s="226" t="s">
        <v>427</v>
      </c>
      <c r="N577" s="19" t="s">
        <v>336</v>
      </c>
      <c r="O577" s="226" t="s">
        <v>427</v>
      </c>
    </row>
    <row r="578" spans="1:19" s="156" customFormat="1" ht="18" customHeight="1">
      <c r="A578" s="168" t="s">
        <v>456</v>
      </c>
      <c r="B578" s="172">
        <f>+GETPIVOTDATA(" Old Prof avg",'Averages Pivot Table'!$A$3,"Category",14,"Category2","Technical Institutes")</f>
        <v>0</v>
      </c>
      <c r="C578" s="172"/>
      <c r="D578" s="172">
        <f>+GETPIVOTDATA(" Old Asc. avg",'Averages Pivot Table'!$A$3,"Category",14,"Category2","Technical Institutes")</f>
        <v>0</v>
      </c>
      <c r="E578" s="172"/>
      <c r="F578" s="172">
        <f>+GETPIVOTDATA(" Old Ast. avg",'Averages Pivot Table'!$A$3,"Category",14,"Category2","Technical Institutes")</f>
        <v>0</v>
      </c>
      <c r="G578" s="172"/>
      <c r="H578" s="172">
        <f>+GETPIVOTDATA(" Old Inst. avg",'Averages Pivot Table'!$A$3,"Category",14,"Category2","Technical Institutes")</f>
        <v>0</v>
      </c>
      <c r="I578" s="229"/>
      <c r="J578" s="172">
        <f>+GETPIVOTDATA(" Old Undesg. avg",'Averages Pivot Table'!$A$3,"Category",14,"Category2","Technical Institutes")</f>
        <v>0</v>
      </c>
      <c r="K578" s="172"/>
      <c r="L578" s="172">
        <f>+GETPIVOTDATA(" Old Single Rnk avg",'Averages Pivot Table'!$A$3,"Category",14,"Category2","Technical Institutes")</f>
        <v>40200.47929486166</v>
      </c>
      <c r="M578" s="229"/>
      <c r="N578" s="172">
        <f>+GETPIVOTDATA(" Old All Ranks avg",'Averages Pivot Table'!$A$3,"Category",14,"Category2","Technical Institutes")</f>
        <v>40200.47929486166</v>
      </c>
      <c r="O578" s="216"/>
      <c r="Q578" s="193"/>
      <c r="R578" s="193"/>
      <c r="S578" s="193"/>
    </row>
    <row r="579" spans="1:19" ht="12.95" customHeight="1">
      <c r="A579" s="12"/>
      <c r="B579" s="9"/>
      <c r="C579" s="17"/>
      <c r="D579" s="9"/>
      <c r="E579" s="17"/>
      <c r="F579" s="9"/>
      <c r="G579" s="17"/>
      <c r="H579" s="9"/>
      <c r="I579" s="233"/>
      <c r="J579" s="9"/>
      <c r="K579" s="17"/>
      <c r="L579" s="9"/>
      <c r="M579" s="233"/>
      <c r="N579" s="9"/>
      <c r="O579" s="217"/>
    </row>
    <row r="580" spans="1:19" ht="12.95" customHeight="1">
      <c r="A580" s="12" t="s">
        <v>439</v>
      </c>
      <c r="B580" s="62">
        <f>+GETPIVOTDATA(" Old Prof avg",'Averages Pivot Table'!$A$3,"State","AL","Category",14,"Category2","Technical Institutes")</f>
        <v>0</v>
      </c>
      <c r="C580" s="130">
        <f>IF(B580&gt;0,(RANK(B580,B$580:B$598)),0)</f>
        <v>0</v>
      </c>
      <c r="D580" s="62">
        <f>+GETPIVOTDATA(" Old Asc. avg",'Averages Pivot Table'!$A$3,"State","AL","Category",14,"Category2","Technical Institutes")</f>
        <v>0</v>
      </c>
      <c r="E580" s="130">
        <f>IF(D580&gt;0,(RANK(D580,D$580:D$598)),0)</f>
        <v>0</v>
      </c>
      <c r="F580" s="62">
        <f>+GETPIVOTDATA(" Old Ast. avg",'Averages Pivot Table'!$A$3,"State","AL","Category",14,"Category2","Technical Institutes")</f>
        <v>0</v>
      </c>
      <c r="G580" s="130">
        <f t="shared" ref="G580:G598" si="95">IF(F580&gt;0,(RANK(F580,F$580:F$598)),0)</f>
        <v>0</v>
      </c>
      <c r="H580" s="62">
        <f>+GETPIVOTDATA(" Old Inst. avg",'Averages Pivot Table'!$A$3,"State","AL","Category",14,"Category2","Technical Institutes")</f>
        <v>0</v>
      </c>
      <c r="I580" s="201">
        <f t="shared" ref="I580:I598" si="96">IF(H580&gt;0,(RANK(H580,H$580:H$598)),0)</f>
        <v>0</v>
      </c>
      <c r="J580" s="62">
        <f>+GETPIVOTDATA(" Old Undesg. avg",'Averages Pivot Table'!$A$3,"State","AL","Category",14,"Category2","Technical Institutes")</f>
        <v>0</v>
      </c>
      <c r="K580" s="130">
        <f t="shared" ref="K580:K598" si="97">IF(J580&gt;0,(RANK(J580,J$580:J$598)),0)</f>
        <v>0</v>
      </c>
      <c r="L580" s="62">
        <f>+GETPIVOTDATA(" Old Single Rnk avg",'Averages Pivot Table'!$A$3,"State","AL","Category",14,"Category2","Technical Institutes")</f>
        <v>0</v>
      </c>
      <c r="M580" s="201">
        <f t="shared" ref="M580:M598" si="98">IF(L580&gt;0,(RANK(L580,L$580:L$598)),0)</f>
        <v>0</v>
      </c>
      <c r="N580" s="62">
        <f>+GETPIVOTDATA(" Old All Ranks avg",'Averages Pivot Table'!$A$3,"State","AL","Category",14,"Category2","Technical Institutes")</f>
        <v>0</v>
      </c>
      <c r="O580" s="201">
        <f t="shared" ref="O580:O598" si="99">IF(N580&gt;0,(RANK(N580,N$580:N$598)),0)</f>
        <v>0</v>
      </c>
    </row>
    <row r="581" spans="1:19" ht="12.95" customHeight="1">
      <c r="A581" s="12" t="s">
        <v>440</v>
      </c>
      <c r="B581" s="62">
        <f>+GETPIVOTDATA(" Old Prof avg",'Averages Pivot Table'!$A$3,"State","AR","Category",14,"Category2","Technical Institutes")</f>
        <v>0</v>
      </c>
      <c r="C581" s="130">
        <f t="shared" ref="C581:E598" si="100">IF(B581&gt;0,(RANK(B581,B$580:B$598)),0)</f>
        <v>0</v>
      </c>
      <c r="D581" s="62">
        <f>+GETPIVOTDATA(" Old Asc. avg",'Averages Pivot Table'!$A$3,"State","AR","Category",14,"Category2","Technical Institutes")</f>
        <v>0</v>
      </c>
      <c r="E581" s="130">
        <f t="shared" si="100"/>
        <v>0</v>
      </c>
      <c r="F581" s="62">
        <f>+GETPIVOTDATA(" Old Ast. avg",'Averages Pivot Table'!$A$3,"State","AR","Category",14,"Category2","Technical Institutes")</f>
        <v>0</v>
      </c>
      <c r="G581" s="130">
        <f t="shared" si="95"/>
        <v>0</v>
      </c>
      <c r="H581" s="62">
        <f>+GETPIVOTDATA(" Old Inst. avg",'Averages Pivot Table'!$A$3,"State","AR","Category",14,"Category2","Technical Institutes")</f>
        <v>0</v>
      </c>
      <c r="I581" s="201">
        <f t="shared" si="96"/>
        <v>0</v>
      </c>
      <c r="J581" s="62">
        <f>+GETPIVOTDATA(" Old Undesg. avg",'Averages Pivot Table'!$A$3,"State","AR","Category",14,"Category2","Technical Institutes")</f>
        <v>0</v>
      </c>
      <c r="K581" s="130">
        <f t="shared" si="97"/>
        <v>0</v>
      </c>
      <c r="L581" s="62">
        <f>+GETPIVOTDATA(" Old Single Rnk avg",'Averages Pivot Table'!$A$3,"State","AR","Category",14,"Category2","Technical Institutes")</f>
        <v>0</v>
      </c>
      <c r="M581" s="201">
        <f t="shared" si="98"/>
        <v>0</v>
      </c>
      <c r="N581" s="62">
        <f>+GETPIVOTDATA(" Old All Ranks avg",'Averages Pivot Table'!$A$3,"State","AR","Category",14,"Category2","Technical Institutes")</f>
        <v>0</v>
      </c>
      <c r="O581" s="201">
        <f t="shared" si="99"/>
        <v>0</v>
      </c>
    </row>
    <row r="582" spans="1:19" ht="12.95" customHeight="1">
      <c r="A582" s="12" t="s">
        <v>455</v>
      </c>
      <c r="B582" s="62">
        <f>+GETPIVOTDATA(" Old Prof avg",'Averages Pivot Table'!$A$3,"State","DE","Category",14,"Category2","Technical Institutes")</f>
        <v>0</v>
      </c>
      <c r="C582" s="130">
        <f t="shared" si="100"/>
        <v>0</v>
      </c>
      <c r="D582" s="62">
        <f>+GETPIVOTDATA(" Old Asc. avg",'Averages Pivot Table'!$A$3,"State","DE","Category",14,"Category2","Technical Institutes")</f>
        <v>0</v>
      </c>
      <c r="E582" s="130">
        <f t="shared" si="100"/>
        <v>0</v>
      </c>
      <c r="F582" s="62">
        <f>+GETPIVOTDATA(" Old Ast. avg",'Averages Pivot Table'!$A$3,"State","DE","Category",14,"Category2","Technical Institutes")</f>
        <v>0</v>
      </c>
      <c r="G582" s="130">
        <f t="shared" si="95"/>
        <v>0</v>
      </c>
      <c r="H582" s="62">
        <f>+GETPIVOTDATA(" Old Inst. avg",'Averages Pivot Table'!$A$3,"State","DE","Category",14,"Category2","Technical Institutes")</f>
        <v>0</v>
      </c>
      <c r="I582" s="201">
        <f t="shared" si="96"/>
        <v>0</v>
      </c>
      <c r="J582" s="62">
        <f>+GETPIVOTDATA(" Old Undesg. avg",'Averages Pivot Table'!$A$3,"State","DE","Category",14,"Category2","Technical Institutes")</f>
        <v>0</v>
      </c>
      <c r="K582" s="130">
        <f t="shared" si="97"/>
        <v>0</v>
      </c>
      <c r="L582" s="62">
        <f>+GETPIVOTDATA(" Old Single Rnk avg",'Averages Pivot Table'!$A$3,"State","DE","Category",14,"Category2","Technical Institutes")</f>
        <v>0</v>
      </c>
      <c r="M582" s="201">
        <f t="shared" si="98"/>
        <v>0</v>
      </c>
      <c r="N582" s="62">
        <f>+GETPIVOTDATA(" Old All Ranks avg",'Averages Pivot Table'!$A$3,"State","DE","Category",14,"Category2","Technical Institutes")</f>
        <v>0</v>
      </c>
      <c r="O582" s="201">
        <f t="shared" si="99"/>
        <v>0</v>
      </c>
    </row>
    <row r="583" spans="1:19" ht="12.95" customHeight="1">
      <c r="A583" s="12" t="s">
        <v>441</v>
      </c>
      <c r="B583" s="62">
        <f>+GETPIVOTDATA(" Old Prof avg",'Averages Pivot Table'!$A$3,"State","FL","Category",14,"Category2","Technical Institutes")</f>
        <v>0</v>
      </c>
      <c r="C583" s="130">
        <f t="shared" si="100"/>
        <v>0</v>
      </c>
      <c r="D583" s="62">
        <f>+GETPIVOTDATA(" Old Asc. avg",'Averages Pivot Table'!$A$3,"State","FL","Category",14,"Category2","Technical Institutes")</f>
        <v>0</v>
      </c>
      <c r="E583" s="130">
        <f t="shared" si="100"/>
        <v>0</v>
      </c>
      <c r="F583" s="62">
        <f>+GETPIVOTDATA(" Old Ast. avg",'Averages Pivot Table'!$A$3,"State","FL","Category",14,"Category2","Technical Institutes")</f>
        <v>0</v>
      </c>
      <c r="G583" s="130">
        <f t="shared" si="95"/>
        <v>0</v>
      </c>
      <c r="H583" s="62">
        <f>+GETPIVOTDATA(" Old Inst. avg",'Averages Pivot Table'!$A$3,"State","FL","Category",14,"Category2","Technical Institutes")</f>
        <v>0</v>
      </c>
      <c r="I583" s="201">
        <f t="shared" si="96"/>
        <v>0</v>
      </c>
      <c r="J583" s="62">
        <f>+GETPIVOTDATA(" Old Undesg. avg",'Averages Pivot Table'!$A$3,"State","FL","Category",14,"Category2","Technical Institutes")</f>
        <v>0</v>
      </c>
      <c r="K583" s="130">
        <f t="shared" si="97"/>
        <v>0</v>
      </c>
      <c r="L583" s="62">
        <f>+GETPIVOTDATA(" Old Single Rnk avg",'Averages Pivot Table'!$A$3,"State","FL","Category",14,"Category2","Technical Institutes")</f>
        <v>0</v>
      </c>
      <c r="M583" s="201">
        <f t="shared" si="98"/>
        <v>0</v>
      </c>
      <c r="N583" s="62">
        <f>+GETPIVOTDATA(" Old All Ranks avg",'Averages Pivot Table'!$A$3,"State","FL","Category",14,"Category2","Technical Institutes")</f>
        <v>0</v>
      </c>
      <c r="O583" s="201">
        <f t="shared" si="99"/>
        <v>0</v>
      </c>
    </row>
    <row r="584" spans="1:19" ht="12.95" customHeight="1">
      <c r="A584" s="12"/>
      <c r="B584" s="62"/>
      <c r="C584" s="130">
        <f t="shared" si="100"/>
        <v>0</v>
      </c>
      <c r="D584" s="62"/>
      <c r="E584" s="130">
        <f t="shared" si="100"/>
        <v>0</v>
      </c>
      <c r="F584" s="62"/>
      <c r="G584" s="130">
        <f t="shared" si="95"/>
        <v>0</v>
      </c>
      <c r="H584" s="62"/>
      <c r="I584" s="201">
        <f t="shared" si="96"/>
        <v>0</v>
      </c>
      <c r="J584" s="62"/>
      <c r="K584" s="130">
        <f t="shared" si="97"/>
        <v>0</v>
      </c>
      <c r="L584" s="62"/>
      <c r="M584" s="201">
        <f t="shared" si="98"/>
        <v>0</v>
      </c>
      <c r="N584" s="62"/>
      <c r="O584" s="201">
        <f t="shared" si="99"/>
        <v>0</v>
      </c>
    </row>
    <row r="585" spans="1:19" ht="12.95" customHeight="1">
      <c r="A585" s="12" t="s">
        <v>442</v>
      </c>
      <c r="B585" s="62">
        <f>+GETPIVOTDATA(" Old Prof avg",'Averages Pivot Table'!$A$3,"State","GA","Category",14,"Category2","Technical Institutes")</f>
        <v>0</v>
      </c>
      <c r="C585" s="130">
        <f t="shared" si="100"/>
        <v>0</v>
      </c>
      <c r="D585" s="62">
        <f>+GETPIVOTDATA(" Old Asc. avg",'Averages Pivot Table'!$A$3,"State","GA","Category",14,"Category2","Technical Institutes")</f>
        <v>0</v>
      </c>
      <c r="E585" s="130">
        <f t="shared" si="100"/>
        <v>0</v>
      </c>
      <c r="F585" s="62">
        <f>+GETPIVOTDATA(" Old Ast. avg",'Averages Pivot Table'!$A$3,"State","GA","Category",14,"Category2","Technical Institutes")</f>
        <v>0</v>
      </c>
      <c r="G585" s="130">
        <f t="shared" si="95"/>
        <v>0</v>
      </c>
      <c r="H585" s="62">
        <f>+GETPIVOTDATA(" Old Inst. avg",'Averages Pivot Table'!$A$3,"State","GA","Category",14,"Category2","Technical Institutes")</f>
        <v>0</v>
      </c>
      <c r="I585" s="201">
        <f t="shared" si="96"/>
        <v>0</v>
      </c>
      <c r="J585" s="62">
        <f>+GETPIVOTDATA(" Old Undesg. avg",'Averages Pivot Table'!$A$3,"State","GA","Category",14,"Category2","Technical Institutes")</f>
        <v>0</v>
      </c>
      <c r="K585" s="130">
        <f t="shared" si="97"/>
        <v>0</v>
      </c>
      <c r="L585" s="62">
        <f>+GETPIVOTDATA(" Old Single Rnk avg",'Averages Pivot Table'!$A$3,"State","GA","Category",14,"Category2","Technical Institutes")</f>
        <v>0</v>
      </c>
      <c r="M585" s="201">
        <f t="shared" si="98"/>
        <v>0</v>
      </c>
      <c r="N585" s="62">
        <f>+GETPIVOTDATA(" Old All Ranks avg",'Averages Pivot Table'!$A$3,"State","GA","Category",14,"Category2","Technical Institutes")</f>
        <v>0</v>
      </c>
      <c r="O585" s="201">
        <f t="shared" si="99"/>
        <v>0</v>
      </c>
    </row>
    <row r="586" spans="1:19" ht="12.95" customHeight="1">
      <c r="A586" s="12" t="s">
        <v>443</v>
      </c>
      <c r="B586" s="62">
        <f>+GETPIVOTDATA(" Old Prof avg",'Averages Pivot Table'!$A$3,"State","KY","Category",14,"Category2","Technical Institutes")</f>
        <v>0</v>
      </c>
      <c r="C586" s="130">
        <f t="shared" si="100"/>
        <v>0</v>
      </c>
      <c r="D586" s="62">
        <f>+GETPIVOTDATA(" Old Asc. avg",'Averages Pivot Table'!$A$3,"State","KY","Category",14,"Category2","Technical Institutes")</f>
        <v>0</v>
      </c>
      <c r="E586" s="130">
        <f t="shared" si="100"/>
        <v>0</v>
      </c>
      <c r="F586" s="62">
        <f>+GETPIVOTDATA(" Old Ast. avg",'Averages Pivot Table'!$A$3,"State","KY","Category",14,"Category2","Technical Institutes")</f>
        <v>0</v>
      </c>
      <c r="G586" s="130">
        <f t="shared" si="95"/>
        <v>0</v>
      </c>
      <c r="H586" s="62">
        <f>+GETPIVOTDATA(" Old Inst. avg",'Averages Pivot Table'!$A$3,"State","KY","Category",14,"Category2","Technical Institutes")</f>
        <v>0</v>
      </c>
      <c r="I586" s="201">
        <f t="shared" si="96"/>
        <v>0</v>
      </c>
      <c r="J586" s="62">
        <f>+GETPIVOTDATA(" Old Undesg. avg",'Averages Pivot Table'!$A$3,"State","KY","Category",14,"Category2","Technical Institutes")</f>
        <v>0</v>
      </c>
      <c r="K586" s="130">
        <f t="shared" si="97"/>
        <v>0</v>
      </c>
      <c r="L586" s="62">
        <f>+GETPIVOTDATA(" Old Single Rnk avg",'Averages Pivot Table'!$A$3,"State","KY","Category",14,"Category2","Technical Institutes")</f>
        <v>0</v>
      </c>
      <c r="M586" s="201">
        <f t="shared" si="98"/>
        <v>0</v>
      </c>
      <c r="N586" s="62">
        <f>+GETPIVOTDATA(" Old All Ranks avg",'Averages Pivot Table'!$A$3,"State","KY","Category",14,"Category2","Technical Institutes")</f>
        <v>0</v>
      </c>
      <c r="O586" s="201">
        <f t="shared" si="99"/>
        <v>0</v>
      </c>
    </row>
    <row r="587" spans="1:19" ht="12.95" customHeight="1">
      <c r="A587" s="12" t="s">
        <v>444</v>
      </c>
      <c r="B587" s="62">
        <f>+GETPIVOTDATA(" Old Prof avg",'Averages Pivot Table'!$A$3,"State","LA","Category",14,"Category2","Technical Institutes")</f>
        <v>0</v>
      </c>
      <c r="C587" s="130">
        <f t="shared" si="100"/>
        <v>0</v>
      </c>
      <c r="D587" s="62">
        <f>+GETPIVOTDATA(" Old Asc. avg",'Averages Pivot Table'!$A$3,"State","LA","Category",14,"Category2","Technical Institutes")</f>
        <v>0</v>
      </c>
      <c r="E587" s="130">
        <f t="shared" si="100"/>
        <v>0</v>
      </c>
      <c r="F587" s="62">
        <f>+GETPIVOTDATA(" Old Ast. avg",'Averages Pivot Table'!$A$3,"State","LA","Category",14,"Category2","Technical Institutes")</f>
        <v>0</v>
      </c>
      <c r="G587" s="130">
        <f t="shared" si="95"/>
        <v>0</v>
      </c>
      <c r="H587" s="62">
        <f>+GETPIVOTDATA(" Old Inst. avg",'Averages Pivot Table'!$A$3,"State","LA","Category",14,"Category2","Technical Institutes")</f>
        <v>0</v>
      </c>
      <c r="I587" s="201">
        <f t="shared" si="96"/>
        <v>0</v>
      </c>
      <c r="J587" s="62">
        <f>+GETPIVOTDATA(" Old Undesg. avg",'Averages Pivot Table'!$A$3,"State","LA","Category",14,"Category2","Technical Institutes")</f>
        <v>0</v>
      </c>
      <c r="K587" s="130">
        <f t="shared" si="97"/>
        <v>0</v>
      </c>
      <c r="L587" s="62">
        <f>+GETPIVOTDATA(" Old Single Rnk avg",'Averages Pivot Table'!$A$3,"State","LA","Category",14,"Category2","Technical Institutes")</f>
        <v>40121.755793600001</v>
      </c>
      <c r="M587" s="201">
        <f t="shared" si="98"/>
        <v>2</v>
      </c>
      <c r="N587" s="62">
        <f>+GETPIVOTDATA(" Old All Ranks avg",'Averages Pivot Table'!$A$3,"State","LA","Category",14,"Category2","Technical Institutes")</f>
        <v>40121.755793600001</v>
      </c>
      <c r="O587" s="201">
        <f t="shared" si="99"/>
        <v>2</v>
      </c>
    </row>
    <row r="588" spans="1:19" ht="12.95" customHeight="1">
      <c r="A588" s="12" t="s">
        <v>445</v>
      </c>
      <c r="B588" s="62">
        <f>+GETPIVOTDATA(" Old Prof avg",'Averages Pivot Table'!$A$3,"State","MD","Category",14,"Category2","Technical Institutes")</f>
        <v>0</v>
      </c>
      <c r="C588" s="130">
        <f t="shared" si="100"/>
        <v>0</v>
      </c>
      <c r="D588" s="62">
        <f>+GETPIVOTDATA(" Old Asc. avg",'Averages Pivot Table'!$A$3,"State","MD","Category",14,"Category2","Technical Institutes")</f>
        <v>0</v>
      </c>
      <c r="E588" s="130">
        <f t="shared" si="100"/>
        <v>0</v>
      </c>
      <c r="F588" s="62">
        <f>+GETPIVOTDATA(" Old Ast. avg",'Averages Pivot Table'!$A$3,"State","MD","Category",14,"Category2","Technical Institutes")</f>
        <v>0</v>
      </c>
      <c r="G588" s="130">
        <f t="shared" si="95"/>
        <v>0</v>
      </c>
      <c r="H588" s="62">
        <f>+GETPIVOTDATA(" Old Inst. avg",'Averages Pivot Table'!$A$3,"State","MD","Category",14,"Category2","Technical Institutes")</f>
        <v>0</v>
      </c>
      <c r="I588" s="201">
        <f t="shared" si="96"/>
        <v>0</v>
      </c>
      <c r="J588" s="62">
        <f>+GETPIVOTDATA(" Old Undesg. avg",'Averages Pivot Table'!$A$3,"State","MD","Category",14,"Category2","Technical Institutes")</f>
        <v>0</v>
      </c>
      <c r="K588" s="130">
        <f t="shared" si="97"/>
        <v>0</v>
      </c>
      <c r="L588" s="62">
        <f>+GETPIVOTDATA(" Old Single Rnk avg",'Averages Pivot Table'!$A$3,"State","MD","Category",14,"Category2","Technical Institutes")</f>
        <v>0</v>
      </c>
      <c r="M588" s="201">
        <f t="shared" si="98"/>
        <v>0</v>
      </c>
      <c r="N588" s="62">
        <f>+GETPIVOTDATA(" Old All Ranks avg",'Averages Pivot Table'!$A$3,"State","MD","Category",14,"Category2","Technical Institutes")</f>
        <v>0</v>
      </c>
      <c r="O588" s="201">
        <f t="shared" si="99"/>
        <v>0</v>
      </c>
    </row>
    <row r="589" spans="1:19" ht="12.95" customHeight="1">
      <c r="A589" s="12"/>
      <c r="B589" s="62"/>
      <c r="C589" s="130">
        <f t="shared" si="100"/>
        <v>0</v>
      </c>
      <c r="D589" s="62"/>
      <c r="E589" s="130">
        <f t="shared" si="100"/>
        <v>0</v>
      </c>
      <c r="F589" s="62"/>
      <c r="G589" s="130">
        <f t="shared" si="95"/>
        <v>0</v>
      </c>
      <c r="H589" s="62"/>
      <c r="I589" s="201">
        <f t="shared" si="96"/>
        <v>0</v>
      </c>
      <c r="J589" s="62"/>
      <c r="K589" s="130">
        <f t="shared" si="97"/>
        <v>0</v>
      </c>
      <c r="L589" s="62"/>
      <c r="M589" s="201">
        <f t="shared" si="98"/>
        <v>0</v>
      </c>
      <c r="N589" s="62"/>
      <c r="O589" s="201">
        <f t="shared" si="99"/>
        <v>0</v>
      </c>
    </row>
    <row r="590" spans="1:19" ht="12.95" customHeight="1">
      <c r="A590" s="12" t="s">
        <v>446</v>
      </c>
      <c r="B590" s="62">
        <f>+GETPIVOTDATA(" Old Prof avg",'Averages Pivot Table'!$A$3,"State","MS","Category",14,"Category2","Technical Institutes")</f>
        <v>0</v>
      </c>
      <c r="C590" s="130">
        <f t="shared" si="100"/>
        <v>0</v>
      </c>
      <c r="D590" s="62">
        <f>+GETPIVOTDATA(" Old Asc. avg",'Averages Pivot Table'!$A$3,"State","MS","Category",14,"Category2","Technical Institutes")</f>
        <v>0</v>
      </c>
      <c r="E590" s="130">
        <f t="shared" si="100"/>
        <v>0</v>
      </c>
      <c r="F590" s="62">
        <f>+GETPIVOTDATA(" Old Ast. avg",'Averages Pivot Table'!$A$3,"State","MS","Category",14,"Category2","Technical Institutes")</f>
        <v>0</v>
      </c>
      <c r="G590" s="130">
        <f t="shared" si="95"/>
        <v>0</v>
      </c>
      <c r="H590" s="62">
        <f>+GETPIVOTDATA(" Old Inst. avg",'Averages Pivot Table'!$A$3,"State","MS","Category",14,"Category2","Technical Institutes")</f>
        <v>0</v>
      </c>
      <c r="I590" s="201">
        <f t="shared" si="96"/>
        <v>0</v>
      </c>
      <c r="J590" s="62">
        <f>+GETPIVOTDATA(" Old Undesg. avg",'Averages Pivot Table'!$A$3,"State","MS","Category",14,"Category2","Technical Institutes")</f>
        <v>0</v>
      </c>
      <c r="K590" s="130">
        <f t="shared" si="97"/>
        <v>0</v>
      </c>
      <c r="L590" s="62">
        <f>+GETPIVOTDATA(" Old Single Rnk avg",'Averages Pivot Table'!$A$3,"State","MS","Category",14,"Category2","Technical Institutes")</f>
        <v>0</v>
      </c>
      <c r="M590" s="201">
        <f t="shared" si="98"/>
        <v>0</v>
      </c>
      <c r="N590" s="62">
        <f>+GETPIVOTDATA(" Old All Ranks avg",'Averages Pivot Table'!$A$3,"State","MS","Category",14,"Category2","Technical Institutes")</f>
        <v>0</v>
      </c>
      <c r="O590" s="201">
        <f t="shared" si="99"/>
        <v>0</v>
      </c>
    </row>
    <row r="591" spans="1:19" ht="12.95" customHeight="1">
      <c r="A591" s="12" t="s">
        <v>447</v>
      </c>
      <c r="B591" s="62">
        <f>+GETPIVOTDATA(" Old Prof avg",'Averages Pivot Table'!$A$3,"State","NC","Category",14,"Category2","Technical Institutes")</f>
        <v>0</v>
      </c>
      <c r="C591" s="130">
        <f t="shared" si="100"/>
        <v>0</v>
      </c>
      <c r="D591" s="62">
        <f>+GETPIVOTDATA(" Old Asc. avg",'Averages Pivot Table'!$A$3,"State","NC","Category",14,"Category2","Technical Institutes")</f>
        <v>0</v>
      </c>
      <c r="E591" s="130">
        <f t="shared" si="100"/>
        <v>0</v>
      </c>
      <c r="F591" s="62">
        <f>+GETPIVOTDATA(" Old Ast. avg",'Averages Pivot Table'!$A$3,"State","NC","Category",14,"Category2","Technical Institutes")</f>
        <v>0</v>
      </c>
      <c r="G591" s="130">
        <f t="shared" si="95"/>
        <v>0</v>
      </c>
      <c r="H591" s="62">
        <f>+GETPIVOTDATA(" Old Inst. avg",'Averages Pivot Table'!$A$3,"State","NC","Category",14,"Category2","Technical Institutes")</f>
        <v>0</v>
      </c>
      <c r="I591" s="201">
        <f t="shared" si="96"/>
        <v>0</v>
      </c>
      <c r="J591" s="62">
        <f>+GETPIVOTDATA(" Old Undesg. avg",'Averages Pivot Table'!$A$3,"State","NC","Category",14,"Category2","Technical Institutes")</f>
        <v>0</v>
      </c>
      <c r="K591" s="130">
        <f t="shared" si="97"/>
        <v>0</v>
      </c>
      <c r="L591" s="62">
        <f>+GETPIVOTDATA(" Old Single Rnk avg",'Averages Pivot Table'!$A$3,"State","NC","Category",14,"Category2","Technical Institutes")</f>
        <v>0</v>
      </c>
      <c r="M591" s="201">
        <f t="shared" si="98"/>
        <v>0</v>
      </c>
      <c r="N591" s="62">
        <f>+GETPIVOTDATA(" Old All Ranks avg",'Averages Pivot Table'!$A$3,"State","NC","Category",14,"Category2","Technical Institutes")</f>
        <v>0</v>
      </c>
      <c r="O591" s="201">
        <f t="shared" si="99"/>
        <v>0</v>
      </c>
    </row>
    <row r="592" spans="1:19" ht="12.95" customHeight="1">
      <c r="A592" s="12" t="s">
        <v>448</v>
      </c>
      <c r="B592" s="62">
        <f>+GETPIVOTDATA(" Old Prof avg",'Averages Pivot Table'!$A$3,"State","OK","Category",14,"Category2","Technical Institutes")</f>
        <v>0</v>
      </c>
      <c r="C592" s="130">
        <f t="shared" si="100"/>
        <v>0</v>
      </c>
      <c r="D592" s="62">
        <f>+GETPIVOTDATA(" Old Asc. avg",'Averages Pivot Table'!$A$3,"State","OK","Category",14,"Category2","Technical Institutes")</f>
        <v>0</v>
      </c>
      <c r="E592" s="130">
        <f t="shared" si="100"/>
        <v>0</v>
      </c>
      <c r="F592" s="62">
        <f>+GETPIVOTDATA(" Old Ast. avg",'Averages Pivot Table'!$A$3,"State","OK","Category",14,"Category2","Technical Institutes")</f>
        <v>0</v>
      </c>
      <c r="G592" s="130">
        <f t="shared" si="95"/>
        <v>0</v>
      </c>
      <c r="H592" s="62">
        <f>+GETPIVOTDATA(" Old Inst. avg",'Averages Pivot Table'!$A$3,"State","OK","Category",14,"Category2","Technical Institutes")</f>
        <v>0</v>
      </c>
      <c r="I592" s="201">
        <f t="shared" si="96"/>
        <v>0</v>
      </c>
      <c r="J592" s="62">
        <f>+GETPIVOTDATA(" Old Undesg. avg",'Averages Pivot Table'!$A$3,"State","OK","Category",14,"Category2","Technical Institutes")</f>
        <v>0</v>
      </c>
      <c r="K592" s="130">
        <f t="shared" si="97"/>
        <v>0</v>
      </c>
      <c r="L592" s="62">
        <f>+GETPIVOTDATA(" Old Single Rnk avg",'Averages Pivot Table'!$A$3,"State","OK","Category",14,"Category2","Technical Institutes")</f>
        <v>46760.771066666668</v>
      </c>
      <c r="M592" s="201">
        <f t="shared" si="98"/>
        <v>1</v>
      </c>
      <c r="N592" s="62">
        <f>+GETPIVOTDATA(" Old All Ranks avg",'Averages Pivot Table'!$A$3,"State","OK","Category",14,"Category2","Technical Institutes")</f>
        <v>46760.771066666668</v>
      </c>
      <c r="O592" s="201">
        <f t="shared" si="99"/>
        <v>1</v>
      </c>
    </row>
    <row r="593" spans="1:16" ht="12.95" customHeight="1">
      <c r="A593" s="12" t="s">
        <v>449</v>
      </c>
      <c r="B593" s="62">
        <f>+GETPIVOTDATA(" Old Prof avg",'Averages Pivot Table'!$A$3,"State","SC","Category",14,"Category2","Technical Institutes")</f>
        <v>0</v>
      </c>
      <c r="C593" s="130">
        <f t="shared" si="100"/>
        <v>0</v>
      </c>
      <c r="D593" s="62">
        <f>+GETPIVOTDATA(" Old Asc. avg",'Averages Pivot Table'!$A$3,"State","SC","Category",14,"Category2","Technical Institutes")</f>
        <v>0</v>
      </c>
      <c r="E593" s="130">
        <f t="shared" si="100"/>
        <v>0</v>
      </c>
      <c r="F593" s="62">
        <f>+GETPIVOTDATA(" Old Ast. avg",'Averages Pivot Table'!$A$3,"State","SC","Category",14,"Category2","Technical Institutes")</f>
        <v>0</v>
      </c>
      <c r="G593" s="130">
        <f t="shared" si="95"/>
        <v>0</v>
      </c>
      <c r="H593" s="62">
        <f>+GETPIVOTDATA(" Old Inst. avg",'Averages Pivot Table'!$A$3,"State","SC","Category",14,"Category2","Technical Institutes")</f>
        <v>0</v>
      </c>
      <c r="I593" s="201">
        <f t="shared" si="96"/>
        <v>0</v>
      </c>
      <c r="J593" s="62">
        <f>+GETPIVOTDATA(" Old Undesg. avg",'Averages Pivot Table'!$A$3,"State","SC","Category",14,"Category2","Technical Institutes")</f>
        <v>0</v>
      </c>
      <c r="K593" s="130">
        <f t="shared" si="97"/>
        <v>0</v>
      </c>
      <c r="L593" s="62">
        <f>+GETPIVOTDATA(" Old Single Rnk avg",'Averages Pivot Table'!$A$3,"State","SC","Category",14,"Category2","Technical Institutes")</f>
        <v>0</v>
      </c>
      <c r="M593" s="201">
        <f t="shared" si="98"/>
        <v>0</v>
      </c>
      <c r="N593" s="62">
        <f>+GETPIVOTDATA(" Old All Ranks avg",'Averages Pivot Table'!$A$3,"State","SC","Category",14,"Category2","Technical Institutes")</f>
        <v>0</v>
      </c>
      <c r="O593" s="201">
        <f t="shared" si="99"/>
        <v>0</v>
      </c>
    </row>
    <row r="594" spans="1:16" ht="12.95" customHeight="1">
      <c r="A594" s="12"/>
      <c r="B594" s="62"/>
      <c r="C594" s="130">
        <f t="shared" si="100"/>
        <v>0</v>
      </c>
      <c r="D594" s="62"/>
      <c r="E594" s="130">
        <f t="shared" si="100"/>
        <v>0</v>
      </c>
      <c r="F594" s="62"/>
      <c r="G594" s="130">
        <f t="shared" si="95"/>
        <v>0</v>
      </c>
      <c r="H594" s="62"/>
      <c r="I594" s="201">
        <f t="shared" si="96"/>
        <v>0</v>
      </c>
      <c r="J594" s="62"/>
      <c r="K594" s="130">
        <f t="shared" si="97"/>
        <v>0</v>
      </c>
      <c r="L594" s="62"/>
      <c r="M594" s="201">
        <f t="shared" si="98"/>
        <v>0</v>
      </c>
      <c r="N594" s="62"/>
      <c r="O594" s="201">
        <f t="shared" si="99"/>
        <v>0</v>
      </c>
    </row>
    <row r="595" spans="1:16" ht="12.95" customHeight="1">
      <c r="A595" s="12" t="s">
        <v>450</v>
      </c>
      <c r="B595" s="129">
        <f>+GETPIVOTDATA(" Old Prof avg",'Averages Pivot Table'!$A$3,"State","TN","Category",14,"Category2","Technical Institutes")</f>
        <v>0</v>
      </c>
      <c r="C595" s="130">
        <f t="shared" si="100"/>
        <v>0</v>
      </c>
      <c r="D595" s="129">
        <f>+GETPIVOTDATA(" Old Asc. avg",'Averages Pivot Table'!$A$3,"State","TN","Category",14,"Category2","Technical Institutes")</f>
        <v>0</v>
      </c>
      <c r="E595" s="130">
        <f t="shared" si="100"/>
        <v>0</v>
      </c>
      <c r="F595" s="129">
        <f>+GETPIVOTDATA(" Old Ast. avg",'Averages Pivot Table'!$A$3,"State","TN","Category",14,"Category2","Technical Institutes")</f>
        <v>0</v>
      </c>
      <c r="G595" s="130">
        <f t="shared" si="95"/>
        <v>0</v>
      </c>
      <c r="H595" s="129">
        <f>+GETPIVOTDATA(" Old Inst. avg",'Averages Pivot Table'!$A$3,"State","TN","Category",14,"Category2","Technical Institutes")</f>
        <v>0</v>
      </c>
      <c r="I595" s="201">
        <f t="shared" si="96"/>
        <v>0</v>
      </c>
      <c r="J595" s="129">
        <f>+GETPIVOTDATA(" Old Undesg. avg",'Averages Pivot Table'!$A$3,"State","TN","Category",14,"Category2","Technical Institutes")</f>
        <v>0</v>
      </c>
      <c r="K595" s="130">
        <f t="shared" si="97"/>
        <v>0</v>
      </c>
      <c r="L595" s="129">
        <f>+GETPIVOTDATA(" Old Single Rnk avg",'Averages Pivot Table'!$A$3,"State","TN","Category",14,"Category2","Technical Institutes")</f>
        <v>0</v>
      </c>
      <c r="M595" s="201">
        <f t="shared" si="98"/>
        <v>0</v>
      </c>
      <c r="N595" s="62">
        <f>+GETPIVOTDATA(" Old All Ranks avg",'Averages Pivot Table'!$A$3,"State","TN","Category",14,"Category2","Technical Institutes")</f>
        <v>0</v>
      </c>
      <c r="O595" s="201">
        <f t="shared" si="99"/>
        <v>0</v>
      </c>
    </row>
    <row r="596" spans="1:16" ht="12.95" customHeight="1">
      <c r="A596" s="12" t="s">
        <v>451</v>
      </c>
      <c r="B596" s="129">
        <f>+GETPIVOTDATA(" Old Prof avg",'Averages Pivot Table'!$A$3,"State","TX","Category",14,"Category2","Technical Institutes")</f>
        <v>0</v>
      </c>
      <c r="C596" s="130">
        <f t="shared" si="100"/>
        <v>0</v>
      </c>
      <c r="D596" s="129">
        <f>+GETPIVOTDATA(" Old Asc. avg",'Averages Pivot Table'!$A$3,"State","TX","Category",14,"Category2","Technical Institutes")</f>
        <v>0</v>
      </c>
      <c r="E596" s="130">
        <f t="shared" si="100"/>
        <v>0</v>
      </c>
      <c r="F596" s="129">
        <f>+GETPIVOTDATA(" Old Ast. avg",'Averages Pivot Table'!$A$3,"State","TX","Category",14,"Category2","Technical Institutes")</f>
        <v>0</v>
      </c>
      <c r="G596" s="130">
        <f t="shared" si="95"/>
        <v>0</v>
      </c>
      <c r="H596" s="129">
        <f>+GETPIVOTDATA(" Old Inst. avg",'Averages Pivot Table'!$A$3,"State","TX","Category",14,"Category2","Technical Institutes")</f>
        <v>0</v>
      </c>
      <c r="I596" s="201">
        <f t="shared" si="96"/>
        <v>0</v>
      </c>
      <c r="J596" s="129">
        <f>+GETPIVOTDATA(" Old Undesg. avg",'Averages Pivot Table'!$A$3,"State","TX","Category",14,"Category2","Technical Institutes")</f>
        <v>0</v>
      </c>
      <c r="K596" s="130">
        <f t="shared" si="97"/>
        <v>0</v>
      </c>
      <c r="L596" s="129">
        <f>+GETPIVOTDATA(" Old Single Rnk avg",'Averages Pivot Table'!$A$3,"State","TX","Category",14,"Category2","Technical Institutes")</f>
        <v>0</v>
      </c>
      <c r="M596" s="201">
        <f t="shared" si="98"/>
        <v>0</v>
      </c>
      <c r="N596" s="62">
        <f>+GETPIVOTDATA(" Old All Ranks avg",'Averages Pivot Table'!$A$3,"State","TX","Category",14,"Category2","Technical Institutes")</f>
        <v>0</v>
      </c>
      <c r="O596" s="201">
        <f t="shared" si="99"/>
        <v>0</v>
      </c>
    </row>
    <row r="597" spans="1:16" ht="12.95" customHeight="1">
      <c r="A597" s="12" t="s">
        <v>452</v>
      </c>
      <c r="B597" s="129">
        <f>+GETPIVOTDATA(" Old Prof avg",'Averages Pivot Table'!$A$3,"State","VA","Category",14,"Category2","Technical Institutes")</f>
        <v>0</v>
      </c>
      <c r="C597" s="130">
        <f t="shared" si="100"/>
        <v>0</v>
      </c>
      <c r="D597" s="129">
        <f>+GETPIVOTDATA(" Old Asc. avg",'Averages Pivot Table'!$A$3,"State","VA","Category",14,"Category2","Technical Institutes")</f>
        <v>0</v>
      </c>
      <c r="E597" s="130">
        <f t="shared" si="100"/>
        <v>0</v>
      </c>
      <c r="F597" s="129">
        <f>+GETPIVOTDATA(" Old Ast. avg",'Averages Pivot Table'!$A$3,"State","VA","Category",14,"Category2","Technical Institutes")</f>
        <v>0</v>
      </c>
      <c r="G597" s="130">
        <f t="shared" si="95"/>
        <v>0</v>
      </c>
      <c r="H597" s="129">
        <f>+GETPIVOTDATA(" Old Inst. avg",'Averages Pivot Table'!$A$3,"State","VA","Category",14,"Category2","Technical Institutes")</f>
        <v>0</v>
      </c>
      <c r="I597" s="201">
        <f t="shared" si="96"/>
        <v>0</v>
      </c>
      <c r="J597" s="129">
        <f>+GETPIVOTDATA(" Old Undesg. avg",'Averages Pivot Table'!$A$3,"State","VA","Category",14,"Category2","Technical Institutes")</f>
        <v>0</v>
      </c>
      <c r="K597" s="130">
        <f t="shared" si="97"/>
        <v>0</v>
      </c>
      <c r="L597" s="129">
        <f>+GETPIVOTDATA(" Old Single Rnk avg",'Averages Pivot Table'!$A$3,"State","VA","Category",14,"Category2","Technical Institutes")</f>
        <v>0</v>
      </c>
      <c r="M597" s="201">
        <f t="shared" si="98"/>
        <v>0</v>
      </c>
      <c r="N597" s="62">
        <f>+GETPIVOTDATA(" Old All Ranks avg",'Averages Pivot Table'!$A$3,"State","VA","Category",14,"Category2","Technical Institutes")</f>
        <v>0</v>
      </c>
      <c r="O597" s="201">
        <f t="shared" si="99"/>
        <v>0</v>
      </c>
    </row>
    <row r="598" spans="1:16" ht="12.95" customHeight="1">
      <c r="A598" s="11" t="s">
        <v>453</v>
      </c>
      <c r="B598" s="64">
        <f>+GETPIVOTDATA(" Old Prof avg",'Averages Pivot Table'!$A$3,"State","WV","Category",14,"Category2","Technical Institutes")</f>
        <v>0</v>
      </c>
      <c r="C598" s="65">
        <f t="shared" si="100"/>
        <v>0</v>
      </c>
      <c r="D598" s="64">
        <f>+GETPIVOTDATA(" Old Asc. avg",'Averages Pivot Table'!$A$3,"State","WV","Category",14,"Category2","Technical Institutes")</f>
        <v>0</v>
      </c>
      <c r="E598" s="65">
        <f t="shared" si="100"/>
        <v>0</v>
      </c>
      <c r="F598" s="64">
        <f>+GETPIVOTDATA(" Old Ast. avg",'Averages Pivot Table'!$A$3,"State","WV","Category",14,"Category2","Technical Institutes")</f>
        <v>0</v>
      </c>
      <c r="G598" s="65">
        <f t="shared" si="95"/>
        <v>0</v>
      </c>
      <c r="H598" s="64">
        <f>+GETPIVOTDATA(" Old Inst. avg",'Averages Pivot Table'!$A$3,"State","WV","Category",14,"Category2","Technical Institutes")</f>
        <v>0</v>
      </c>
      <c r="I598" s="202">
        <f t="shared" si="96"/>
        <v>0</v>
      </c>
      <c r="J598" s="64">
        <f>+GETPIVOTDATA(" Old Undesg. avg",'Averages Pivot Table'!$A$3,"State","WV","Category",14,"Category2","Technical Institutes")</f>
        <v>0</v>
      </c>
      <c r="K598" s="65">
        <f t="shared" si="97"/>
        <v>0</v>
      </c>
      <c r="L598" s="64">
        <f>+GETPIVOTDATA(" Old Single Rnk avg",'Averages Pivot Table'!$A$3,"State","WV","Category",14,"Category2","Technical Institutes")</f>
        <v>0</v>
      </c>
      <c r="M598" s="202">
        <f t="shared" si="98"/>
        <v>0</v>
      </c>
      <c r="N598" s="64">
        <f>+GETPIVOTDATA(" Old All Ranks avg",'Averages Pivot Table'!$A$3,"State","WV","Category",14,"Category2","Technical Institutes")</f>
        <v>0</v>
      </c>
      <c r="O598" s="202">
        <f t="shared" si="99"/>
        <v>0</v>
      </c>
    </row>
    <row r="599" spans="1:16" ht="30" customHeight="1">
      <c r="A599" s="629" t="s">
        <v>324</v>
      </c>
      <c r="B599" s="632"/>
      <c r="C599" s="632"/>
      <c r="D599" s="632"/>
      <c r="E599" s="632"/>
      <c r="F599" s="632"/>
      <c r="G599" s="632"/>
      <c r="H599" s="632"/>
      <c r="I599" s="632"/>
      <c r="J599" s="632"/>
      <c r="K599" s="632"/>
      <c r="L599" s="632"/>
      <c r="M599" s="632"/>
      <c r="N599" s="632"/>
      <c r="O599" s="632"/>
    </row>
    <row r="600" spans="1:16">
      <c r="O600" s="244" t="s">
        <v>1166</v>
      </c>
      <c r="P600" s="182"/>
    </row>
  </sheetData>
  <mergeCells count="76">
    <mergeCell ref="A571:O571"/>
    <mergeCell ref="A573:O573"/>
    <mergeCell ref="A574:O574"/>
    <mergeCell ref="A599:O599"/>
    <mergeCell ref="A514:O514"/>
    <mergeCell ref="A539:O539"/>
    <mergeCell ref="A541:O541"/>
    <mergeCell ref="A543:O543"/>
    <mergeCell ref="A544:O544"/>
    <mergeCell ref="A569:O569"/>
    <mergeCell ref="A513:O513"/>
    <mergeCell ref="A424:O424"/>
    <mergeCell ref="A449:O449"/>
    <mergeCell ref="A451:O451"/>
    <mergeCell ref="A453:O453"/>
    <mergeCell ref="A454:O454"/>
    <mergeCell ref="A479:O479"/>
    <mergeCell ref="A481:O481"/>
    <mergeCell ref="A483:O483"/>
    <mergeCell ref="A484:O484"/>
    <mergeCell ref="A509:O509"/>
    <mergeCell ref="A511:O511"/>
    <mergeCell ref="A423:O423"/>
    <mergeCell ref="A334:O334"/>
    <mergeCell ref="A359:O359"/>
    <mergeCell ref="A361:O361"/>
    <mergeCell ref="A363:O363"/>
    <mergeCell ref="A364:O364"/>
    <mergeCell ref="A389:O389"/>
    <mergeCell ref="A391:O391"/>
    <mergeCell ref="A393:O393"/>
    <mergeCell ref="A394:O394"/>
    <mergeCell ref="A419:O419"/>
    <mergeCell ref="A421:O421"/>
    <mergeCell ref="A333:O333"/>
    <mergeCell ref="A244:M244"/>
    <mergeCell ref="A269:M269"/>
    <mergeCell ref="A271:M271"/>
    <mergeCell ref="A273:M273"/>
    <mergeCell ref="A274:M274"/>
    <mergeCell ref="A299:M299"/>
    <mergeCell ref="A301:O301"/>
    <mergeCell ref="A303:O303"/>
    <mergeCell ref="A304:O304"/>
    <mergeCell ref="A329:O329"/>
    <mergeCell ref="A331:O331"/>
    <mergeCell ref="A243:M243"/>
    <mergeCell ref="A154:M154"/>
    <mergeCell ref="A179:M179"/>
    <mergeCell ref="A181:M181"/>
    <mergeCell ref="A183:M183"/>
    <mergeCell ref="A184:M184"/>
    <mergeCell ref="A209:M209"/>
    <mergeCell ref="A211:M211"/>
    <mergeCell ref="A213:M213"/>
    <mergeCell ref="A214:M214"/>
    <mergeCell ref="A239:M239"/>
    <mergeCell ref="A241:M241"/>
    <mergeCell ref="A153:M153"/>
    <mergeCell ref="A64:I64"/>
    <mergeCell ref="A89:I89"/>
    <mergeCell ref="A91:M91"/>
    <mergeCell ref="A93:M93"/>
    <mergeCell ref="A94:M94"/>
    <mergeCell ref="A119:M119"/>
    <mergeCell ref="A121:M121"/>
    <mergeCell ref="A123:M123"/>
    <mergeCell ref="A124:M124"/>
    <mergeCell ref="A149:M149"/>
    <mergeCell ref="A151:M151"/>
    <mergeCell ref="A63:I63"/>
    <mergeCell ref="A29:O29"/>
    <mergeCell ref="A31:M31"/>
    <mergeCell ref="A33:M33"/>
    <mergeCell ref="A34:M34"/>
    <mergeCell ref="A59:K59"/>
  </mergeCells>
  <printOptions horizontalCentered="1"/>
  <pageMargins left="0.5" right="0.5" top="1" bottom="0.75" header="0.75" footer="0.5"/>
  <pageSetup firstPageNumber="143" orientation="landscape" useFirstPageNumber="1" r:id="rId1"/>
  <headerFooter alignWithMargins="0">
    <oddHeader>&amp;R&amp;"Arial,Regular"&amp;8SREB-State Data Exchange</oddHeader>
    <oddFooter>&amp;C&amp;"Arial,Regular"&amp;10C-&amp;P</oddFooter>
  </headerFooter>
  <rowBreaks count="19" manualBreakCount="19">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4" man="1"/>
    <brk id="480" max="16383" man="1"/>
    <brk id="510" max="16383" man="1"/>
    <brk id="540" max="16383" man="1"/>
    <brk id="570" max="16383" man="1"/>
  </rowBreaks>
</worksheet>
</file>

<file path=xl/worksheets/sheet5.xml><?xml version="1.0" encoding="utf-8"?>
<worksheet xmlns="http://schemas.openxmlformats.org/spreadsheetml/2006/main" xmlns:r="http://schemas.openxmlformats.org/officeDocument/2006/relationships">
  <sheetPr codeName="Sheet4" enableFormatConditionsCalculation="0">
    <tabColor indexed="16"/>
  </sheetPr>
  <dimension ref="A1:AL129"/>
  <sheetViews>
    <sheetView showGridLines="0" showZeros="0" view="pageBreakPreview" zoomScaleNormal="75" zoomScaleSheetLayoutView="100" workbookViewId="0">
      <pane xSplit="2" ySplit="10" topLeftCell="C11" activePane="bottomRight" state="frozen"/>
      <selection pane="topRight" activeCell="C1" sqref="C1"/>
      <selection pane="bottomLeft" activeCell="A11" sqref="A11"/>
      <selection pane="bottomRight" activeCell="N26" sqref="N26"/>
    </sheetView>
  </sheetViews>
  <sheetFormatPr defaultColWidth="8.875" defaultRowHeight="15"/>
  <cols>
    <col min="1" max="1" width="5.375" style="27" customWidth="1"/>
    <col min="2" max="2" width="15.625" style="39" customWidth="1"/>
    <col min="3" max="3" width="6.25" style="27" bestFit="1" customWidth="1"/>
    <col min="4" max="4" width="5.875" style="27" customWidth="1"/>
    <col min="5" max="5" width="5.75" style="27" customWidth="1"/>
    <col min="6" max="6" width="5.25" style="27" customWidth="1"/>
    <col min="7" max="7" width="5.75" style="27" customWidth="1"/>
    <col min="8" max="8" width="5.5" style="27" customWidth="1"/>
    <col min="9" max="9" width="5.5" style="27" bestFit="1" customWidth="1"/>
    <col min="10" max="10" width="5.875" style="27" customWidth="1"/>
    <col min="11" max="11" width="5.625" style="27" customWidth="1"/>
    <col min="12" max="13" width="6.25" style="27" customWidth="1"/>
    <col min="14" max="16" width="5.875" style="27" customWidth="1"/>
    <col min="17" max="17" width="5.625" style="27" customWidth="1"/>
    <col min="18" max="18" width="6.625" style="39" customWidth="1"/>
    <col min="19" max="19" width="3.625" style="84" customWidth="1"/>
    <col min="20" max="25" width="7.25" style="76" customWidth="1"/>
    <col min="26" max="26" width="7.625" style="76" customWidth="1"/>
    <col min="27" max="27" width="6.75" style="76" customWidth="1"/>
    <col min="28" max="28" width="7.25" style="76" customWidth="1"/>
    <col min="29" max="29" width="8.125" style="76" customWidth="1"/>
    <col min="30" max="31" width="6.5" style="76" customWidth="1"/>
    <col min="32" max="32" width="8.375" style="76" customWidth="1"/>
    <col min="33" max="33" width="6.75" style="76" customWidth="1"/>
    <col min="34" max="34" width="7.875" style="76" customWidth="1"/>
    <col min="35" max="35" width="6.375" style="76" customWidth="1"/>
    <col min="36" max="36" width="6.375" style="94" customWidth="1"/>
    <col min="37" max="37" width="5.375" style="76" customWidth="1"/>
    <col min="38" max="38" width="8.875" style="76" customWidth="1"/>
    <col min="39" max="16384" width="8.875" style="27"/>
  </cols>
  <sheetData>
    <row r="1" spans="1:38" customFormat="1" ht="18">
      <c r="A1" s="248" t="s">
        <v>796</v>
      </c>
      <c r="B1" s="249"/>
      <c r="C1" s="249"/>
      <c r="D1" s="249"/>
      <c r="E1" s="249"/>
      <c r="F1" s="249"/>
      <c r="G1" s="249"/>
      <c r="H1" s="249"/>
      <c r="I1" s="250"/>
      <c r="J1" s="249"/>
      <c r="K1" s="249"/>
      <c r="L1" s="249"/>
      <c r="M1" s="250"/>
      <c r="N1" s="252"/>
      <c r="O1" s="251"/>
      <c r="P1" s="253"/>
      <c r="Q1" s="253"/>
      <c r="R1" s="253"/>
    </row>
    <row r="2" spans="1:38" customFormat="1" ht="18">
      <c r="A2" s="248"/>
      <c r="B2" s="249"/>
      <c r="C2" s="249"/>
      <c r="D2" s="249"/>
      <c r="E2" s="249"/>
      <c r="F2" s="249"/>
      <c r="G2" s="249"/>
      <c r="H2" s="249"/>
      <c r="I2" s="250"/>
      <c r="J2" s="249"/>
      <c r="K2" s="249"/>
      <c r="L2" s="249"/>
      <c r="M2" s="250"/>
      <c r="N2" s="252"/>
      <c r="O2" s="251"/>
      <c r="P2" s="253"/>
      <c r="Q2" s="253"/>
      <c r="R2" s="253"/>
    </row>
    <row r="3" spans="1:38" ht="18">
      <c r="A3" s="255" t="s">
        <v>678</v>
      </c>
      <c r="B3" s="256"/>
      <c r="C3" s="47"/>
      <c r="D3" s="47"/>
      <c r="E3" s="47"/>
      <c r="F3" s="47"/>
      <c r="G3" s="47"/>
      <c r="H3" s="47"/>
      <c r="I3" s="47"/>
      <c r="J3" s="47"/>
      <c r="K3" s="47"/>
      <c r="L3" s="47"/>
      <c r="M3" s="47"/>
      <c r="N3" s="47"/>
      <c r="O3" s="47"/>
      <c r="P3" s="47"/>
      <c r="Q3" s="47"/>
      <c r="R3" s="46"/>
      <c r="S3" s="82" t="s">
        <v>457</v>
      </c>
      <c r="T3" s="89"/>
      <c r="U3" s="89"/>
      <c r="V3" s="89"/>
      <c r="W3" s="89"/>
      <c r="X3" s="89"/>
      <c r="Y3" s="89"/>
      <c r="Z3" s="89"/>
      <c r="AA3" s="89"/>
      <c r="AB3" s="89"/>
      <c r="AC3" s="89"/>
      <c r="AD3" s="89"/>
      <c r="AE3" s="89"/>
      <c r="AF3" s="89"/>
      <c r="AG3" s="89"/>
      <c r="AH3" s="89"/>
      <c r="AI3" s="89"/>
      <c r="AJ3" s="90"/>
    </row>
    <row r="4" spans="1:38" ht="18">
      <c r="A4" s="255" t="s">
        <v>1143</v>
      </c>
      <c r="B4" s="256"/>
      <c r="C4" s="47"/>
      <c r="D4" s="47"/>
      <c r="E4" s="47"/>
      <c r="F4" s="47"/>
      <c r="G4" s="47"/>
      <c r="H4" s="47"/>
      <c r="I4" s="47"/>
      <c r="J4" s="47"/>
      <c r="K4" s="47"/>
      <c r="L4" s="47"/>
      <c r="M4" s="47"/>
      <c r="N4" s="47"/>
      <c r="O4" s="47"/>
      <c r="P4" s="47"/>
      <c r="Q4" s="47"/>
      <c r="R4" s="46"/>
      <c r="S4" s="82" t="s">
        <v>457</v>
      </c>
      <c r="T4" s="89"/>
      <c r="U4" s="89"/>
      <c r="V4" s="89"/>
      <c r="W4" s="89"/>
      <c r="X4" s="89"/>
      <c r="Y4" s="89"/>
      <c r="Z4" s="89"/>
      <c r="AA4" s="89"/>
      <c r="AB4" s="89"/>
      <c r="AC4" s="89"/>
      <c r="AD4" s="89"/>
      <c r="AE4" s="89"/>
      <c r="AF4" s="89"/>
      <c r="AG4" s="89"/>
      <c r="AH4" s="89"/>
      <c r="AI4" s="89"/>
      <c r="AJ4" s="90"/>
    </row>
    <row r="5" spans="1:38" s="1" customFormat="1" ht="18.75" customHeight="1">
      <c r="A5" s="257" t="s">
        <v>312</v>
      </c>
      <c r="B5" s="48"/>
      <c r="C5" s="49"/>
      <c r="D5" s="49"/>
      <c r="E5" s="49"/>
      <c r="F5" s="49"/>
      <c r="G5" s="49"/>
      <c r="H5" s="49"/>
      <c r="I5" s="49"/>
      <c r="J5" s="49"/>
      <c r="K5" s="49"/>
      <c r="L5" s="49"/>
      <c r="M5" s="49"/>
      <c r="N5" s="49"/>
      <c r="O5" s="49"/>
      <c r="P5" s="49"/>
      <c r="Q5" s="49"/>
      <c r="R5" s="48"/>
      <c r="S5" s="83" t="s">
        <v>457</v>
      </c>
      <c r="T5" s="91"/>
      <c r="U5" s="91"/>
      <c r="V5" s="91"/>
      <c r="W5" s="91"/>
      <c r="X5" s="91"/>
      <c r="Y5" s="91"/>
      <c r="Z5" s="91"/>
      <c r="AA5" s="91"/>
      <c r="AB5" s="91"/>
      <c r="AC5" s="91"/>
      <c r="AD5" s="91"/>
      <c r="AE5" s="91"/>
      <c r="AF5" s="91"/>
      <c r="AG5" s="91"/>
      <c r="AH5" s="91"/>
      <c r="AI5" s="91"/>
      <c r="AJ5" s="92"/>
      <c r="AK5" s="93"/>
      <c r="AL5" s="93"/>
    </row>
    <row r="6" spans="1:38" s="1" customFormat="1" ht="15.75" customHeight="1">
      <c r="A6" s="41"/>
      <c r="B6" s="48"/>
      <c r="C6" s="49"/>
      <c r="D6" s="49"/>
      <c r="E6" s="49"/>
      <c r="F6" s="49"/>
      <c r="G6" s="49"/>
      <c r="H6" s="49"/>
      <c r="I6" s="49"/>
      <c r="J6" s="49"/>
      <c r="K6" s="49"/>
      <c r="L6" s="49"/>
      <c r="M6" s="49"/>
      <c r="N6" s="49"/>
      <c r="O6" s="49"/>
      <c r="P6" s="49"/>
      <c r="Q6" s="49"/>
      <c r="R6" s="48"/>
      <c r="S6" s="83" t="s">
        <v>457</v>
      </c>
      <c r="T6" s="190"/>
      <c r="U6" s="91"/>
      <c r="V6" s="91"/>
      <c r="W6" s="91"/>
      <c r="X6" s="91"/>
      <c r="Y6" s="91"/>
      <c r="Z6" s="91"/>
      <c r="AA6" s="91"/>
      <c r="AB6" s="91"/>
      <c r="AC6" s="91"/>
      <c r="AD6" s="91"/>
      <c r="AE6" s="91"/>
      <c r="AF6" s="91"/>
      <c r="AG6" s="91"/>
      <c r="AH6" s="91"/>
      <c r="AI6" s="91"/>
      <c r="AJ6" s="92"/>
      <c r="AK6" s="93"/>
      <c r="AL6" s="93"/>
    </row>
    <row r="7" spans="1:38" ht="15.75" customHeight="1">
      <c r="A7" s="28"/>
      <c r="S7" s="84" t="s">
        <v>457</v>
      </c>
    </row>
    <row r="8" spans="1:38">
      <c r="A8" s="50"/>
      <c r="B8" s="29"/>
      <c r="C8" s="57" t="s">
        <v>313</v>
      </c>
      <c r="D8" s="51"/>
      <c r="E8" s="51"/>
      <c r="F8" s="51"/>
      <c r="G8" s="51"/>
      <c r="H8" s="51"/>
      <c r="I8" s="51"/>
      <c r="J8" s="51"/>
      <c r="K8" s="51"/>
      <c r="L8" s="51"/>
      <c r="M8" s="51"/>
      <c r="N8" s="51"/>
      <c r="O8" s="51"/>
      <c r="P8" s="51"/>
      <c r="Q8" s="51"/>
      <c r="R8" s="51"/>
      <c r="S8" s="85"/>
      <c r="T8" s="57" t="s">
        <v>328</v>
      </c>
      <c r="U8" s="95"/>
      <c r="V8" s="95"/>
      <c r="W8" s="95"/>
      <c r="X8" s="95"/>
      <c r="Y8" s="95"/>
      <c r="Z8" s="95"/>
      <c r="AA8" s="95"/>
      <c r="AB8" s="95"/>
      <c r="AC8" s="95"/>
      <c r="AD8" s="95"/>
      <c r="AE8" s="95"/>
      <c r="AF8" s="95"/>
      <c r="AG8" s="95"/>
      <c r="AH8" s="95"/>
      <c r="AI8" s="95"/>
      <c r="AJ8" s="95"/>
    </row>
    <row r="9" spans="1:38">
      <c r="A9" s="52"/>
      <c r="B9" s="70"/>
      <c r="C9" s="58" t="s">
        <v>318</v>
      </c>
      <c r="D9" s="56"/>
      <c r="E9" s="56"/>
      <c r="F9" s="56"/>
      <c r="G9" s="56"/>
      <c r="H9" s="56"/>
      <c r="I9" s="56"/>
      <c r="J9" s="55" t="s">
        <v>319</v>
      </c>
      <c r="K9" s="79"/>
      <c r="L9" s="79"/>
      <c r="M9" s="79"/>
      <c r="N9" s="80"/>
      <c r="O9" s="55" t="s">
        <v>289</v>
      </c>
      <c r="P9" s="79"/>
      <c r="Q9" s="79"/>
      <c r="R9" s="56"/>
      <c r="T9" s="58" t="s">
        <v>318</v>
      </c>
      <c r="U9" s="96"/>
      <c r="V9" s="96"/>
      <c r="W9" s="96"/>
      <c r="X9" s="96"/>
      <c r="Y9" s="96"/>
      <c r="Z9" s="96"/>
      <c r="AA9" s="97" t="s">
        <v>319</v>
      </c>
      <c r="AB9" s="98"/>
      <c r="AC9" s="98"/>
      <c r="AD9" s="98"/>
      <c r="AE9" s="98"/>
      <c r="AF9" s="99"/>
      <c r="AG9" s="97" t="s">
        <v>289</v>
      </c>
      <c r="AH9" s="98"/>
      <c r="AI9" s="98"/>
      <c r="AJ9" s="96"/>
    </row>
    <row r="10" spans="1:38" ht="41.25" customHeight="1">
      <c r="A10" s="71"/>
      <c r="B10" s="72"/>
      <c r="C10" s="73">
        <v>1</v>
      </c>
      <c r="D10" s="53">
        <v>2</v>
      </c>
      <c r="E10" s="53">
        <v>3</v>
      </c>
      <c r="F10" s="53">
        <v>4</v>
      </c>
      <c r="G10" s="53">
        <v>5</v>
      </c>
      <c r="H10" s="53">
        <v>6</v>
      </c>
      <c r="I10" s="81" t="s">
        <v>458</v>
      </c>
      <c r="J10" s="59" t="s">
        <v>303</v>
      </c>
      <c r="K10" s="53">
        <v>1</v>
      </c>
      <c r="L10" s="53">
        <v>2</v>
      </c>
      <c r="M10" s="53">
        <v>3</v>
      </c>
      <c r="N10" s="81" t="s">
        <v>459</v>
      </c>
      <c r="O10" s="59">
        <v>1</v>
      </c>
      <c r="P10" s="59">
        <v>2</v>
      </c>
      <c r="Q10" s="59" t="s">
        <v>460</v>
      </c>
      <c r="R10" s="119" t="s">
        <v>426</v>
      </c>
      <c r="S10" s="86"/>
      <c r="T10" s="100">
        <v>1</v>
      </c>
      <c r="U10" s="101">
        <v>2</v>
      </c>
      <c r="V10" s="101">
        <v>3</v>
      </c>
      <c r="W10" s="101">
        <v>4</v>
      </c>
      <c r="X10" s="101">
        <v>5</v>
      </c>
      <c r="Y10" s="101">
        <v>6</v>
      </c>
      <c r="Z10" s="103" t="s">
        <v>320</v>
      </c>
      <c r="AA10" s="102" t="s">
        <v>303</v>
      </c>
      <c r="AB10" s="101">
        <v>1</v>
      </c>
      <c r="AC10" s="101">
        <v>2</v>
      </c>
      <c r="AD10" s="101">
        <v>3</v>
      </c>
      <c r="AE10" s="102" t="s">
        <v>1168</v>
      </c>
      <c r="AF10" s="103" t="s">
        <v>426</v>
      </c>
      <c r="AG10" s="102">
        <v>1</v>
      </c>
      <c r="AH10" s="102">
        <v>2</v>
      </c>
      <c r="AI10" s="102" t="s">
        <v>1168</v>
      </c>
      <c r="AJ10" s="120" t="s">
        <v>426</v>
      </c>
    </row>
    <row r="11" spans="1:38">
      <c r="A11" s="38" t="s">
        <v>317</v>
      </c>
      <c r="B11" s="35" t="s">
        <v>332</v>
      </c>
      <c r="C11" s="36">
        <f t="shared" ref="C11:D16" si="0">IF(T$17&gt;0,(T11/T$17),0)</f>
        <v>0.3294158690011556</v>
      </c>
      <c r="D11" s="37">
        <f t="shared" si="0"/>
        <v>0.25524542829643887</v>
      </c>
      <c r="E11" s="37">
        <f t="shared" ref="D11:M17" si="1">IF(V$17&gt;0,(V11/V$17),0)</f>
        <v>0.24143043100954584</v>
      </c>
      <c r="F11" s="37">
        <f t="shared" si="1"/>
        <v>0.21742234916101391</v>
      </c>
      <c r="G11" s="37">
        <f t="shared" si="1"/>
        <v>0.21074681238615664</v>
      </c>
      <c r="H11" s="67">
        <f t="shared" si="1"/>
        <v>0.19488926746166951</v>
      </c>
      <c r="I11" s="36">
        <f t="shared" si="1"/>
        <v>0.27788200958932668</v>
      </c>
      <c r="J11" s="36">
        <f t="shared" si="1"/>
        <v>6.2621674237508113E-2</v>
      </c>
      <c r="K11" s="37">
        <f t="shared" si="1"/>
        <v>0.13867040636979699</v>
      </c>
      <c r="L11" s="37">
        <f t="shared" si="1"/>
        <v>0.10539792387543252</v>
      </c>
      <c r="M11" s="37">
        <f t="shared" si="1"/>
        <v>6.7480125716398595E-2</v>
      </c>
      <c r="N11" s="36">
        <f t="shared" ref="N11:R17" si="2">IF(AF$17&gt;0,(AF11/AF$17),0)</f>
        <v>0.11807199595254918</v>
      </c>
      <c r="O11" s="152">
        <f t="shared" si="2"/>
        <v>3.4989503149055285E-3</v>
      </c>
      <c r="P11" s="235">
        <f t="shared" si="2"/>
        <v>0</v>
      </c>
      <c r="Q11" s="67">
        <f t="shared" si="2"/>
        <v>8.7188612099644125E-2</v>
      </c>
      <c r="R11" s="152">
        <f t="shared" si="2"/>
        <v>1.9664967225054626E-2</v>
      </c>
      <c r="S11" s="117"/>
      <c r="T11" s="104">
        <f>+GETPIVOTDATA(" Total # Prof New",'NEW Counts Pivot Table'!$A$3,"Category",1,"Category2","Four-Year")</f>
        <v>15108</v>
      </c>
      <c r="U11" s="105">
        <f>+GETPIVOTDATA(" Total # Prof New",'NEW Counts Pivot Table'!$A$3,"Category",2,"Category2","Four-Year")</f>
        <v>2652</v>
      </c>
      <c r="V11" s="105">
        <f>+GETPIVOTDATA(" Total # Prof New",'NEW Counts Pivot Table'!$A$3,"Category",3,"Category2","Four-Year")</f>
        <v>6677</v>
      </c>
      <c r="W11" s="105">
        <f>+GETPIVOTDATA(" Total # Prof New",'NEW Counts Pivot Table'!$A$3,"Category",4,"Category2","Four-Year")</f>
        <v>1827</v>
      </c>
      <c r="X11" s="105">
        <f>+GETPIVOTDATA(" Total # Prof New",'NEW Counts Pivot Table'!$A$3,"Category",5,"Category2","Four-Year")</f>
        <v>1157</v>
      </c>
      <c r="Y11" s="105">
        <f>+GETPIVOTDATA(" Total # Prof New",'NEW Counts Pivot Table'!$A$3,"Category",6,"Category2","Four-Year")</f>
        <v>572</v>
      </c>
      <c r="Z11" s="107">
        <f>+GETPIVOTDATA(" Total # Prof New",'NEW Counts Pivot Table'!$A$3,"Category2","Four-Year")</f>
        <v>27993</v>
      </c>
      <c r="AA11" s="104">
        <f>+GETPIVOTDATA(" Total # Prof New",'NEW Counts Pivot Table'!$A$3,"Category",7,"Category2","Group2")</f>
        <v>193</v>
      </c>
      <c r="AB11" s="105">
        <f>+GETPIVOTDATA(" Total # Prof New",'NEW Counts Pivot Table'!$A$3,"Category",8,"Category2","Group2")</f>
        <v>3006</v>
      </c>
      <c r="AC11" s="105">
        <f>+GETPIVOTDATA(" Total # Prof New",'NEW Counts Pivot Table'!$A$3,"Category",9,"Category2","Group2")</f>
        <v>1523</v>
      </c>
      <c r="AD11" s="105">
        <f>+GETPIVOTDATA(" Total # Prof New",'NEW Counts Pivot Table'!$A$3,"Category",10,"Category2","Group2")</f>
        <v>365</v>
      </c>
      <c r="AE11" s="105">
        <f>+GETPIVOTDATA(" Total # Prof New",'NEW Counts Pivot Table'!$A$3,"Category","11","Category2","Group2")</f>
        <v>444</v>
      </c>
      <c r="AF11" s="106">
        <f>+GETPIVOTDATA(" Total # Prof New",'NEW Counts Pivot Table'!$A$3,"Category2","Group2")</f>
        <v>5531</v>
      </c>
      <c r="AG11" s="104">
        <f>+GETPIVOTDATA(" Total # Prof New",'NEW Counts Pivot Table'!$A$3,"Category",12,"Category2","Technical Institutes")</f>
        <v>10</v>
      </c>
      <c r="AH11" s="105">
        <f>+GETPIVOTDATA(" Total # Prof New",'NEW Counts Pivot Table'!$A$3,"Category",13,"Category2","Technical Institutes")</f>
        <v>0</v>
      </c>
      <c r="AI11" s="106">
        <f>+GETPIVOTDATA(" Total # Prof New",'NEW Counts Pivot Table'!$A$3,"Category",14,"Category2","Technical Institutes")</f>
        <v>98</v>
      </c>
      <c r="AJ11" s="104">
        <f>+GETPIVOTDATA(" Total # Prof New",'NEW Counts Pivot Table'!$A$3,"Category2","Technical Institutes")</f>
        <v>108</v>
      </c>
    </row>
    <row r="12" spans="1:38">
      <c r="A12" s="30"/>
      <c r="B12" s="38" t="s">
        <v>333</v>
      </c>
      <c r="C12" s="32">
        <f t="shared" si="0"/>
        <v>0.26679458386935001</v>
      </c>
      <c r="D12" s="34">
        <f t="shared" si="0"/>
        <v>0.27574590952839267</v>
      </c>
      <c r="E12" s="34">
        <f t="shared" si="1"/>
        <v>0.25408591264101821</v>
      </c>
      <c r="F12" s="34">
        <f t="shared" si="1"/>
        <v>0.26181125788408899</v>
      </c>
      <c r="G12" s="34">
        <f t="shared" si="1"/>
        <v>0.24608378870673953</v>
      </c>
      <c r="H12" s="68">
        <f t="shared" si="1"/>
        <v>0.25689948892674619</v>
      </c>
      <c r="I12" s="32">
        <f t="shared" si="1"/>
        <v>0.26239614044492093</v>
      </c>
      <c r="J12" s="32">
        <f t="shared" si="1"/>
        <v>6.8462037637897474E-2</v>
      </c>
      <c r="K12" s="34">
        <f t="shared" si="1"/>
        <v>0.11057650168609559</v>
      </c>
      <c r="L12" s="34">
        <f t="shared" si="1"/>
        <v>9.2041522491349476E-2</v>
      </c>
      <c r="M12" s="34">
        <f t="shared" si="1"/>
        <v>6.0639674616380104E-2</v>
      </c>
      <c r="N12" s="32">
        <f t="shared" si="2"/>
        <v>0.10530630194068434</v>
      </c>
      <c r="O12" s="32">
        <f t="shared" si="2"/>
        <v>1.3995801259622114E-2</v>
      </c>
      <c r="P12" s="34">
        <f t="shared" si="2"/>
        <v>0</v>
      </c>
      <c r="Q12" s="68">
        <f t="shared" si="2"/>
        <v>1.8683274021352312E-2</v>
      </c>
      <c r="R12" s="32">
        <f t="shared" si="2"/>
        <v>1.110706482155863E-2</v>
      </c>
      <c r="S12" s="87"/>
      <c r="T12" s="108">
        <f>+GETPIVOTDATA(" Tot # Asc. Prof New",'NEW Counts Pivot Table'!$A$3,"Category",1,"Category2","Four-Year")</f>
        <v>12236</v>
      </c>
      <c r="U12" s="109">
        <f>+GETPIVOTDATA(" Tot # Asc. Prof New",'NEW Counts Pivot Table'!$A$3,"Category",2,"Category2","Four-Year")</f>
        <v>2865</v>
      </c>
      <c r="V12" s="109">
        <f>+GETPIVOTDATA(" Tot # Asc. Prof New",'NEW Counts Pivot Table'!$A$3,"Category",3,"Category2","Four-Year")</f>
        <v>7027</v>
      </c>
      <c r="W12" s="109">
        <f>+GETPIVOTDATA(" Tot # Asc. Prof New",'NEW Counts Pivot Table'!$A$3,"Category",4,"Category2","Four-Year")</f>
        <v>2200</v>
      </c>
      <c r="X12" s="109">
        <f>+GETPIVOTDATA(" Tot # Asc. Prof New",'NEW Counts Pivot Table'!$A$3,"Category",5,"Category2","Four-Year")</f>
        <v>1351</v>
      </c>
      <c r="Y12" s="109">
        <f>+GETPIVOTDATA(" Tot # Asc. Prof New",'NEW Counts Pivot Table'!$A$3,"Category",6,"Category2","Four-Year")</f>
        <v>754</v>
      </c>
      <c r="Z12" s="111">
        <f>+GETPIVOTDATA(" Tot # Asc. Prof New",'NEW Counts Pivot Table'!$A$3,"Category2","Four-Year")</f>
        <v>26433</v>
      </c>
      <c r="AA12" s="108">
        <f>+GETPIVOTDATA(" Tot # Asc. Prof New",'NEW Counts Pivot Table'!$A$3,"Category",7,"Category2","Group2")</f>
        <v>211</v>
      </c>
      <c r="AB12" s="109">
        <f>+GETPIVOTDATA(" Tot # Asc. Prof New",'NEW Counts Pivot Table'!$A$3,"Category",8,"Category2","Group2")</f>
        <v>2397</v>
      </c>
      <c r="AC12" s="109">
        <f>+GETPIVOTDATA(" Tot # Asc. Prof New",'NEW Counts Pivot Table'!$A$3,"Category",9,"Category2","Group2")</f>
        <v>1330</v>
      </c>
      <c r="AD12" s="109">
        <f>+GETPIVOTDATA(" Tot # Asc. Prof New",'NEW Counts Pivot Table'!$A$3,"Category",10,"Category2","Group2")</f>
        <v>328</v>
      </c>
      <c r="AE12" s="109">
        <f>+GETPIVOTDATA(" Tot # Asc. Prof New",'NEW Counts Pivot Table'!$A$3,"Category","11","Category2","Group2")</f>
        <v>667</v>
      </c>
      <c r="AF12" s="110">
        <f>+GETPIVOTDATA(" Tot # Asc. Prof New",'NEW Counts Pivot Table'!$A$3,"Category2","Group2")</f>
        <v>4933</v>
      </c>
      <c r="AG12" s="108">
        <f>+GETPIVOTDATA(" Tot # Asc. Prof New",'NEW Counts Pivot Table'!$A$3,"Category",12,"Category2","Technical Institutes")</f>
        <v>40</v>
      </c>
      <c r="AH12" s="109">
        <f>+GETPIVOTDATA(" Tot # Asc. Prof New",'NEW Counts Pivot Table'!$A$3,"Category",13,"Category2","Technical Institutes")</f>
        <v>0</v>
      </c>
      <c r="AI12" s="110">
        <f>+GETPIVOTDATA(" Tot # Asc. Prof New",'NEW Counts Pivot Table'!$A$3,"Category",14,"Category2","Technical Institutes")</f>
        <v>21</v>
      </c>
      <c r="AJ12" s="108">
        <f>+GETPIVOTDATA(" Tot # Asc. Prof New",'NEW Counts Pivot Table'!$A$3,"Category2","Technical Institutes")</f>
        <v>61</v>
      </c>
    </row>
    <row r="13" spans="1:38">
      <c r="A13" s="30"/>
      <c r="B13" s="38" t="s">
        <v>334</v>
      </c>
      <c r="C13" s="32">
        <f t="shared" si="0"/>
        <v>0.24298454091533481</v>
      </c>
      <c r="D13" s="34">
        <f t="shared" si="0"/>
        <v>0.24908565928777671</v>
      </c>
      <c r="E13" s="34">
        <f t="shared" si="1"/>
        <v>0.29725918426381254</v>
      </c>
      <c r="F13" s="34">
        <f t="shared" si="1"/>
        <v>0.36070451029394263</v>
      </c>
      <c r="G13" s="34">
        <f t="shared" si="1"/>
        <v>0.33278688524590166</v>
      </c>
      <c r="H13" s="68">
        <f t="shared" si="1"/>
        <v>0.33764906303236797</v>
      </c>
      <c r="I13" s="32">
        <f t="shared" si="1"/>
        <v>0.27598598330305646</v>
      </c>
      <c r="J13" s="32">
        <f t="shared" si="1"/>
        <v>9.928617780661908E-2</v>
      </c>
      <c r="K13" s="34">
        <f t="shared" si="1"/>
        <v>8.3036171478920354E-2</v>
      </c>
      <c r="L13" s="34">
        <f t="shared" si="1"/>
        <v>8.2214532871972321E-2</v>
      </c>
      <c r="M13" s="34">
        <f t="shared" si="1"/>
        <v>8.7446847846182285E-2</v>
      </c>
      <c r="N13" s="32">
        <f t="shared" si="2"/>
        <v>9.4995549084947367E-2</v>
      </c>
      <c r="O13" s="32">
        <f t="shared" si="2"/>
        <v>1.2946116165150455E-2</v>
      </c>
      <c r="P13" s="34">
        <f t="shared" si="2"/>
        <v>6.6225165562913907E-4</v>
      </c>
      <c r="Q13" s="68">
        <f t="shared" si="2"/>
        <v>3.3807829181494664E-2</v>
      </c>
      <c r="R13" s="32">
        <f t="shared" si="2"/>
        <v>1.3838310269482883E-2</v>
      </c>
      <c r="S13" s="87"/>
      <c r="T13" s="108">
        <f>+GETPIVOTDATA(" Tot # Ast. Prof New",'NEW Counts Pivot Table'!$A$3,"Category",1,"Category2","Four-Year")</f>
        <v>11144</v>
      </c>
      <c r="U13" s="109">
        <f>+GETPIVOTDATA(" Tot # Ast. Prof New",'NEW Counts Pivot Table'!$A$3,"Category",2,"Category2","Four-Year")</f>
        <v>2588</v>
      </c>
      <c r="V13" s="109">
        <f>+GETPIVOTDATA(" Tot # Ast. Prof New",'NEW Counts Pivot Table'!$A$3,"Category",3,"Category2","Four-Year")</f>
        <v>8221</v>
      </c>
      <c r="W13" s="109">
        <f>+GETPIVOTDATA(" Tot # Ast. Prof New",'NEW Counts Pivot Table'!$A$3,"Category",4,"Category2","Four-Year")</f>
        <v>3031</v>
      </c>
      <c r="X13" s="109">
        <f>+GETPIVOTDATA(" Tot # Ast. Prof New",'NEW Counts Pivot Table'!$A$3,"Category",5,"Category2","Four-Year")</f>
        <v>1827</v>
      </c>
      <c r="Y13" s="109">
        <f>+GETPIVOTDATA(" Tot # Ast. Prof New",'NEW Counts Pivot Table'!$A$3,"Category",6,"Category2","Four-Year")</f>
        <v>991</v>
      </c>
      <c r="Z13" s="111">
        <f>+GETPIVOTDATA(" Tot # Ast. Prof New",'NEW Counts Pivot Table'!$A$3,"Category2","Four-Year")</f>
        <v>27802</v>
      </c>
      <c r="AA13" s="108">
        <f>+GETPIVOTDATA(" Tot # Ast. Prof New",'NEW Counts Pivot Table'!$A$3,"Category",7,"Category2","Group2")</f>
        <v>306</v>
      </c>
      <c r="AB13" s="109">
        <f>+GETPIVOTDATA(" Tot # Ast. Prof New",'NEW Counts Pivot Table'!$A$3,"Category",8,"Category2","Group2")</f>
        <v>1800</v>
      </c>
      <c r="AC13" s="109">
        <f>+GETPIVOTDATA(" Tot # Ast. Prof New",'NEW Counts Pivot Table'!$A$3,"Category",9,"Category2","Group2")</f>
        <v>1188</v>
      </c>
      <c r="AD13" s="109">
        <f>+GETPIVOTDATA(" Tot # Ast. Prof New",'NEW Counts Pivot Table'!$A$3,"Category",10,"Category2","Group2")</f>
        <v>473</v>
      </c>
      <c r="AE13" s="109">
        <f>+GETPIVOTDATA(" Tot # Ast. Prof New",'NEW Counts Pivot Table'!$A$3,"Category","11","Category2","Group2")</f>
        <v>683</v>
      </c>
      <c r="AF13" s="110">
        <f>+GETPIVOTDATA(" Tot # Ast. Prof New",'NEW Counts Pivot Table'!$A$3,"Category2","Group2")</f>
        <v>4450</v>
      </c>
      <c r="AG13" s="108">
        <f>+GETPIVOTDATA(" Tot # Ast. Prof New",'NEW Counts Pivot Table'!$A$3,"Category",12,"Category2","Technical Institutes")</f>
        <v>37</v>
      </c>
      <c r="AH13" s="109">
        <f>+GETPIVOTDATA(" Tot # Ast. Prof New",'NEW Counts Pivot Table'!$A$3,"Category",13,"Category2","Technical Institutes")</f>
        <v>1</v>
      </c>
      <c r="AI13" s="110">
        <f>+GETPIVOTDATA(" Tot # Ast. Prof New",'NEW Counts Pivot Table'!$A$3,"Category",14,"Category2","Technical Institutes")</f>
        <v>38</v>
      </c>
      <c r="AJ13" s="108">
        <f>+GETPIVOTDATA(" Tot # Ast. Prof New",'NEW Counts Pivot Table'!$A$3,"Category2","Technical Institutes")</f>
        <v>76</v>
      </c>
    </row>
    <row r="14" spans="1:38">
      <c r="A14" s="30"/>
      <c r="B14" s="38" t="s">
        <v>335</v>
      </c>
      <c r="C14" s="32">
        <f t="shared" si="0"/>
        <v>7.0361729498724462E-2</v>
      </c>
      <c r="D14" s="34">
        <f t="shared" si="0"/>
        <v>0.10346487006737247</v>
      </c>
      <c r="E14" s="34">
        <f t="shared" si="1"/>
        <v>0.10692074052646804</v>
      </c>
      <c r="F14" s="34">
        <f t="shared" si="1"/>
        <v>0.10781863620135666</v>
      </c>
      <c r="G14" s="34">
        <f t="shared" si="1"/>
        <v>0.1336976320582878</v>
      </c>
      <c r="H14" s="68">
        <f t="shared" si="1"/>
        <v>0.14514480408858604</v>
      </c>
      <c r="I14" s="32">
        <f t="shared" si="1"/>
        <v>9.2567775494604765E-2</v>
      </c>
      <c r="J14" s="32">
        <f t="shared" si="1"/>
        <v>0.20733290071382218</v>
      </c>
      <c r="K14" s="34">
        <f t="shared" si="1"/>
        <v>0.13839361913153392</v>
      </c>
      <c r="L14" s="34">
        <f t="shared" si="1"/>
        <v>0.14782006920415225</v>
      </c>
      <c r="M14" s="34">
        <f t="shared" si="1"/>
        <v>0.16232205583287115</v>
      </c>
      <c r="N14" s="32">
        <f t="shared" si="2"/>
        <v>0.15122437521747575</v>
      </c>
      <c r="O14" s="32">
        <f t="shared" si="2"/>
        <v>4.7935619314205737E-2</v>
      </c>
      <c r="P14" s="34">
        <f t="shared" si="2"/>
        <v>3.1125827814569535E-2</v>
      </c>
      <c r="Q14" s="68">
        <f t="shared" si="2"/>
        <v>0.38879003558718861</v>
      </c>
      <c r="R14" s="32">
        <f t="shared" si="2"/>
        <v>0.11307356154406409</v>
      </c>
      <c r="S14" s="87"/>
      <c r="T14" s="108">
        <f>+GETPIVOTDATA(" Tot # Instr. New",'NEW Counts Pivot Table'!$A$3,"Category",1,"Category2","Four-Year")</f>
        <v>3227</v>
      </c>
      <c r="U14" s="109">
        <f>+GETPIVOTDATA(" Tot # Instr. New",'NEW Counts Pivot Table'!$A$3,"Category",2,"Category2","Four-Year")</f>
        <v>1075</v>
      </c>
      <c r="V14" s="109">
        <f>+GETPIVOTDATA(" Tot # Instr. New",'NEW Counts Pivot Table'!$A$3,"Category",3,"Category2","Four-Year")</f>
        <v>2957</v>
      </c>
      <c r="W14" s="109">
        <f>+GETPIVOTDATA(" Tot # Instr. New",'NEW Counts Pivot Table'!$A$3,"Category",4,"Category2","Four-Year")</f>
        <v>906</v>
      </c>
      <c r="X14" s="109">
        <f>+GETPIVOTDATA(" Tot # Instr. New",'NEW Counts Pivot Table'!$A$3,"Category",5,"Category2","Four-Year")</f>
        <v>734</v>
      </c>
      <c r="Y14" s="109">
        <f>+GETPIVOTDATA(" Tot # Instr. New",'NEW Counts Pivot Table'!$A$3,"Category",6,"Category2","Four-Year")</f>
        <v>426</v>
      </c>
      <c r="Z14" s="111">
        <f>+GETPIVOTDATA(" Tot # Instr. New",'NEW Counts Pivot Table'!$A$3,"Category2","Four-Year")</f>
        <v>9325</v>
      </c>
      <c r="AA14" s="108">
        <f>+GETPIVOTDATA(" Tot # Instr. New",'NEW Counts Pivot Table'!$A$3,"Category",7,"Category2","Group2")</f>
        <v>639</v>
      </c>
      <c r="AB14" s="109">
        <f>+GETPIVOTDATA(" Tot # Instr. New",'NEW Counts Pivot Table'!$A$3,"Category",8,"Category2","Group2")</f>
        <v>3000</v>
      </c>
      <c r="AC14" s="109">
        <f>+GETPIVOTDATA(" Tot # Instr. New",'NEW Counts Pivot Table'!$A$3,"Category",9,"Category2","Group2")</f>
        <v>2136</v>
      </c>
      <c r="AD14" s="109">
        <f>+GETPIVOTDATA(" Tot # Instr. New",'NEW Counts Pivot Table'!$A$3,"Category",10,"Category2","Group2")</f>
        <v>878</v>
      </c>
      <c r="AE14" s="109">
        <f>+GETPIVOTDATA(" Tot # Instr. New",'NEW Counts Pivot Table'!$A$3,"Category","11","Category2","Group2")</f>
        <v>431</v>
      </c>
      <c r="AF14" s="110">
        <f>+GETPIVOTDATA(" Tot # Instr. New",'NEW Counts Pivot Table'!$A$3,"Category2","Group2")</f>
        <v>7084</v>
      </c>
      <c r="AG14" s="108">
        <f>+GETPIVOTDATA(" Tot # Instr. New",'NEW Counts Pivot Table'!$A$3,"Category",12,"Category2","Technical Institutes")</f>
        <v>137</v>
      </c>
      <c r="AH14" s="109">
        <f>+GETPIVOTDATA(" Tot # Instr. New",'NEW Counts Pivot Table'!$A$3,"Category",13,"Category2","Technical Institutes")</f>
        <v>47</v>
      </c>
      <c r="AI14" s="110">
        <f>+GETPIVOTDATA(" Tot # Instr. New",'NEW Counts Pivot Table'!$A$3,"Category",14,"Category2","Technical Institutes")</f>
        <v>437</v>
      </c>
      <c r="AJ14" s="108">
        <f>+GETPIVOTDATA(" Tot # Instr. New",'NEW Counts Pivot Table'!$A$3,"Category2","Technical Institutes")</f>
        <v>621</v>
      </c>
    </row>
    <row r="15" spans="1:38">
      <c r="A15" s="30"/>
      <c r="B15" s="38" t="s">
        <v>315</v>
      </c>
      <c r="C15" s="32">
        <f t="shared" si="0"/>
        <v>8.1699845191112661E-2</v>
      </c>
      <c r="D15" s="34">
        <f t="shared" si="0"/>
        <v>0.1014436958614052</v>
      </c>
      <c r="E15" s="34">
        <f t="shared" si="1"/>
        <v>9.3216661845530804E-2</v>
      </c>
      <c r="F15" s="34">
        <f t="shared" si="1"/>
        <v>4.974413899797691E-2</v>
      </c>
      <c r="G15" s="34">
        <f t="shared" si="1"/>
        <v>7.5045537340619306E-2</v>
      </c>
      <c r="H15" s="68">
        <f t="shared" si="1"/>
        <v>6.5417376490630327E-2</v>
      </c>
      <c r="I15" s="32">
        <f t="shared" si="1"/>
        <v>8.3395376078302913E-2</v>
      </c>
      <c r="J15" s="32">
        <f t="shared" si="1"/>
        <v>1.1680726800778715E-2</v>
      </c>
      <c r="K15" s="34">
        <f t="shared" si="1"/>
        <v>4.9960096506483739E-2</v>
      </c>
      <c r="L15" s="34">
        <f t="shared" si="1"/>
        <v>7.1280276816608992E-2</v>
      </c>
      <c r="M15" s="34">
        <f t="shared" si="1"/>
        <v>3.142909964873359E-2</v>
      </c>
      <c r="N15" s="32">
        <f t="shared" si="2"/>
        <v>4.9525769410579297E-2</v>
      </c>
      <c r="O15" s="32">
        <f t="shared" si="2"/>
        <v>0</v>
      </c>
      <c r="P15" s="236">
        <f t="shared" si="2"/>
        <v>3.3112582781456954E-3</v>
      </c>
      <c r="Q15" s="68">
        <f t="shared" si="2"/>
        <v>0</v>
      </c>
      <c r="R15" s="237">
        <f t="shared" si="2"/>
        <v>9.1041514930808448E-4</v>
      </c>
      <c r="S15" s="87"/>
      <c r="T15" s="108">
        <f>++GETPIVOTDATA(" Tot # Undes. New",'NEW Counts Pivot Table'!$A$3,"Category",1,"Category2","Four-Year")</f>
        <v>3747</v>
      </c>
      <c r="U15" s="109">
        <f>+GETPIVOTDATA(" Tot # Undes. New",'NEW Counts Pivot Table'!$A$3,"Category",2,"Category2","Four-Year")</f>
        <v>1054</v>
      </c>
      <c r="V15" s="109">
        <f>+GETPIVOTDATA(" Tot # Undes. New",'NEW Counts Pivot Table'!$A$3,"Category",3,"Category2","Four-Year")</f>
        <v>2578</v>
      </c>
      <c r="W15" s="109">
        <f>+GETPIVOTDATA(" Tot # Undes. New",'NEW Counts Pivot Table'!$A$3,"Category",4,"Category2","Four-Year")</f>
        <v>418</v>
      </c>
      <c r="X15" s="109">
        <f>+GETPIVOTDATA(" Tot # Undes. New",'NEW Counts Pivot Table'!$A$3,"Category",5,"Category2","Four-Year")</f>
        <v>412</v>
      </c>
      <c r="Y15" s="109">
        <f>+GETPIVOTDATA(" Tot # Undes. New",'NEW Counts Pivot Table'!$A$3,"Category",6,"Category2","Four-Year")</f>
        <v>192</v>
      </c>
      <c r="Z15" s="111">
        <f>+GETPIVOTDATA(" Tot # Undes. New",'NEW Counts Pivot Table'!$A$3,"Category2","Four-Year")</f>
        <v>8401</v>
      </c>
      <c r="AA15" s="108">
        <f>+GETPIVOTDATA(" Tot # Undes. New",'NEW Counts Pivot Table'!$A$3,"Category",7,"Category2","Group2")</f>
        <v>36</v>
      </c>
      <c r="AB15" s="109">
        <f>+GETPIVOTDATA(" Tot # Undes. New",'NEW Counts Pivot Table'!$A$3,"Category",8,"Category2","Group2")</f>
        <v>1083</v>
      </c>
      <c r="AC15" s="109">
        <f>+GETPIVOTDATA(" Tot # Undes. New",'NEW Counts Pivot Table'!$A$3,"Category",9,"Category2","Group2")</f>
        <v>1030</v>
      </c>
      <c r="AD15" s="109">
        <f>+GETPIVOTDATA(" Tot # Undes. New",'NEW Counts Pivot Table'!$A$3,"Category",10,"Category2","Group2")</f>
        <v>170</v>
      </c>
      <c r="AE15" s="109">
        <f>+GETPIVOTDATA(" Tot # Undes. New",'NEW Counts Pivot Table'!$A$3,"Category","11","Category2","Group2")</f>
        <v>1</v>
      </c>
      <c r="AF15" s="110">
        <f>+GETPIVOTDATA(" Tot # Undes. New",'NEW Counts Pivot Table'!$A$3,"Category2","Group2")</f>
        <v>2320</v>
      </c>
      <c r="AG15" s="108">
        <f>+GETPIVOTDATA(" Tot # Undes. New",'NEW Counts Pivot Table'!$A$3,"Category",12,"Category2","Technical Institutes")</f>
        <v>0</v>
      </c>
      <c r="AH15" s="109">
        <f>+GETPIVOTDATA(" Tot # Undes. New",'NEW Counts Pivot Table'!$A$3,"Category",13,"Category2","Technical Institutes")</f>
        <v>5</v>
      </c>
      <c r="AI15" s="110">
        <f>+GETPIVOTDATA(" Tot # Undes. New",'NEW Counts Pivot Table'!$A$3,"Category",14,"Category2","Technical Institutes")</f>
        <v>0</v>
      </c>
      <c r="AJ15" s="108">
        <f>+GETPIVOTDATA(" Tot # Undes. New",'NEW Counts Pivot Table'!$A$3,"Category2","Technical Institutes")</f>
        <v>5</v>
      </c>
    </row>
    <row r="16" spans="1:38">
      <c r="A16" s="30"/>
      <c r="B16" s="38" t="s">
        <v>314</v>
      </c>
      <c r="C16" s="32">
        <f t="shared" si="0"/>
        <v>8.7434315243224391E-3</v>
      </c>
      <c r="D16" s="236">
        <f t="shared" si="0"/>
        <v>1.5014436958614052E-2</v>
      </c>
      <c r="E16" s="34">
        <f t="shared" si="1"/>
        <v>7.0870697136245298E-3</v>
      </c>
      <c r="F16" s="236">
        <f t="shared" si="1"/>
        <v>2.4991074616208496E-3</v>
      </c>
      <c r="G16" s="236">
        <f t="shared" si="1"/>
        <v>1.639344262295082E-3</v>
      </c>
      <c r="H16" s="68">
        <f t="shared" si="1"/>
        <v>0</v>
      </c>
      <c r="I16" s="32">
        <f t="shared" si="1"/>
        <v>7.7727150897882605E-3</v>
      </c>
      <c r="J16" s="32">
        <f t="shared" si="1"/>
        <v>0.55061648280337439</v>
      </c>
      <c r="K16" s="34">
        <f t="shared" si="1"/>
        <v>0.47936320482716943</v>
      </c>
      <c r="L16" s="34">
        <f t="shared" si="1"/>
        <v>0.50124567474048443</v>
      </c>
      <c r="M16" s="34">
        <f t="shared" si="1"/>
        <v>0.59068219633943431</v>
      </c>
      <c r="N16" s="32">
        <f t="shared" si="2"/>
        <v>0.48087600839376399</v>
      </c>
      <c r="O16" s="32">
        <f t="shared" si="2"/>
        <v>0.92162351294611622</v>
      </c>
      <c r="P16" s="34">
        <f t="shared" si="2"/>
        <v>0.96490066225165561</v>
      </c>
      <c r="Q16" s="68">
        <f t="shared" si="2"/>
        <v>0.47153024911032027</v>
      </c>
      <c r="R16" s="32">
        <f t="shared" si="2"/>
        <v>0.8414056809905317</v>
      </c>
      <c r="S16" s="87"/>
      <c r="T16" s="108">
        <f>+GETPIVOTDATA(" Tot # Single Rnk New",'NEW Counts Pivot Table'!$A$3,"Category",1,"Category2","Four-Year")</f>
        <v>401</v>
      </c>
      <c r="U16" s="109">
        <f>+GETPIVOTDATA(" Tot # Single Rnk New",'NEW Counts Pivot Table'!$A$3,"Category",2,"Category2","Four-Year")</f>
        <v>156</v>
      </c>
      <c r="V16" s="109">
        <f>+GETPIVOTDATA(" Tot # Single Rnk New",'NEW Counts Pivot Table'!$A$3,"Category",3,"Category2","Four-Year")</f>
        <v>196</v>
      </c>
      <c r="W16" s="109">
        <f>+GETPIVOTDATA(" Tot # Single Rnk New",'NEW Counts Pivot Table'!$A$3,"Category",4,"Category2","Four-Year")</f>
        <v>21</v>
      </c>
      <c r="X16" s="109">
        <f>+GETPIVOTDATA(" Tot # Single Rnk New",'NEW Counts Pivot Table'!$A$3,"Category",5,"Category2","Four-Year")</f>
        <v>9</v>
      </c>
      <c r="Y16" s="109">
        <f>+GETPIVOTDATA(" Tot # Single Rnk New",'NEW Counts Pivot Table'!$A$3,"Category",6,"Category2","Four-Year")</f>
        <v>0</v>
      </c>
      <c r="Z16" s="111">
        <f>+GETPIVOTDATA(" Tot # Single Rnk New",'NEW Counts Pivot Table'!$A$3,"Category2","Four-Year")</f>
        <v>783</v>
      </c>
      <c r="AA16" s="108">
        <f>+GETPIVOTDATA(" Tot # Single Rnk New",'NEW Counts Pivot Table'!$A$3,"Category",7,"Category2","Group2")</f>
        <v>1697</v>
      </c>
      <c r="AB16" s="109">
        <f>+GETPIVOTDATA(" Tot # Single Rnk New",'NEW Counts Pivot Table'!$A$3,"Category",8,"Category2","Group2")</f>
        <v>10391.299999999999</v>
      </c>
      <c r="AC16" s="109">
        <f>+GETPIVOTDATA(" Tot # Single Rnk New",'NEW Counts Pivot Table'!$A$3,"Category",9,"Category2","Group2")</f>
        <v>7243</v>
      </c>
      <c r="AD16" s="109">
        <f>+GETPIVOTDATA(" Tot # Single Rnk New",'NEW Counts Pivot Table'!$A$3,"Category",10,"Category2","Group2")</f>
        <v>3195</v>
      </c>
      <c r="AE16" s="109">
        <f>+GETPIVOTDATA(" Tot # Single Rnk New",'NEW Counts Pivot Table'!$A$3,"Category","11","Category2","Group2")</f>
        <v>0</v>
      </c>
      <c r="AF16" s="110">
        <f>+GETPIVOTDATA(" Tot # Single Rnk New",'NEW Counts Pivot Table'!$A$3,"Category2","Group2")</f>
        <v>22526.3</v>
      </c>
      <c r="AG16" s="108">
        <f>+GETPIVOTDATA(" Tot # Single Rnk New",'NEW Counts Pivot Table'!$A$3,"Category",12,"Category2","Technical Institutes")</f>
        <v>2634</v>
      </c>
      <c r="AH16" s="109">
        <f>+GETPIVOTDATA(" Tot # Single Rnk New",'NEW Counts Pivot Table'!$A$3,"Category",13,"Category2","Technical Institutes")</f>
        <v>1457</v>
      </c>
      <c r="AI16" s="110">
        <f>+GETPIVOTDATA(" Tot # Single Rnk New",'NEW Counts Pivot Table'!$A$3,"Category",14,"Category2","Technical Institutes")</f>
        <v>530</v>
      </c>
      <c r="AJ16" s="108">
        <f>+GETPIVOTDATA(" Tot # Single Rnk New",'NEW Counts Pivot Table'!$A$3,"Category2","Technical Institutes")</f>
        <v>4621</v>
      </c>
    </row>
    <row r="17" spans="1:38" s="54" customFormat="1">
      <c r="A17" s="191" t="s">
        <v>457</v>
      </c>
      <c r="B17" s="192" t="s">
        <v>316</v>
      </c>
      <c r="C17" s="33">
        <f>IF(T$17&gt;0,(T17/T$17),0)</f>
        <v>1</v>
      </c>
      <c r="D17" s="31">
        <f t="shared" si="1"/>
        <v>1</v>
      </c>
      <c r="E17" s="31">
        <f t="shared" si="1"/>
        <v>1</v>
      </c>
      <c r="F17" s="31">
        <f t="shared" si="1"/>
        <v>1</v>
      </c>
      <c r="G17" s="31">
        <f t="shared" si="1"/>
        <v>1</v>
      </c>
      <c r="H17" s="69">
        <f t="shared" si="1"/>
        <v>1</v>
      </c>
      <c r="I17" s="33">
        <f t="shared" si="1"/>
        <v>1</v>
      </c>
      <c r="J17" s="33">
        <f t="shared" si="1"/>
        <v>1</v>
      </c>
      <c r="K17" s="31">
        <f t="shared" si="1"/>
        <v>1</v>
      </c>
      <c r="L17" s="31">
        <f t="shared" si="1"/>
        <v>1</v>
      </c>
      <c r="M17" s="31">
        <f t="shared" si="1"/>
        <v>1</v>
      </c>
      <c r="N17" s="33">
        <f t="shared" si="2"/>
        <v>1</v>
      </c>
      <c r="O17" s="33">
        <f t="shared" si="2"/>
        <v>1</v>
      </c>
      <c r="P17" s="31">
        <f t="shared" si="2"/>
        <v>1</v>
      </c>
      <c r="Q17" s="69">
        <f t="shared" si="2"/>
        <v>1</v>
      </c>
      <c r="R17" s="33">
        <f t="shared" si="2"/>
        <v>1</v>
      </c>
      <c r="S17" s="88"/>
      <c r="T17" s="112">
        <f>+GETPIVOTDATA(" All Ranks # New",'NEW Counts Pivot Table'!$A$3,"Category",1,"Category2","Four-Year")</f>
        <v>45863</v>
      </c>
      <c r="U17" s="113">
        <f>+GETPIVOTDATA(" All Ranks # New",'NEW Counts Pivot Table'!$A$3,"Category",2,"Category2","Four-Year")</f>
        <v>10390</v>
      </c>
      <c r="V17" s="113">
        <f>+GETPIVOTDATA(" All Ranks # New",'NEW Counts Pivot Table'!$A$3,"Category",3,"Category2","Four-Year")</f>
        <v>27656</v>
      </c>
      <c r="W17" s="113">
        <f>+GETPIVOTDATA(" All Ranks # New",'NEW Counts Pivot Table'!$A$3,"Category",4,"Category2","Four-Year")</f>
        <v>8403</v>
      </c>
      <c r="X17" s="113">
        <f>+GETPIVOTDATA(" All Ranks # New",'NEW Counts Pivot Table'!$A$3,"Category",5,"Category2","Four-Year")</f>
        <v>5490</v>
      </c>
      <c r="Y17" s="113">
        <f>+GETPIVOTDATA(" All Ranks # New",'NEW Counts Pivot Table'!$A$3,"Category",6,"Category2","Four-Year")</f>
        <v>2935</v>
      </c>
      <c r="Z17" s="115">
        <f>+GETPIVOTDATA(" All Ranks # New",'NEW Counts Pivot Table'!$A$3,"Category2","Four-Year")</f>
        <v>100737</v>
      </c>
      <c r="AA17" s="112">
        <f>+GETPIVOTDATA(" All Ranks # New",'NEW Counts Pivot Table'!$A$3,"Category",7,"Category2","Group2")</f>
        <v>3082</v>
      </c>
      <c r="AB17" s="113">
        <f>+GETPIVOTDATA(" All Ranks # New",'NEW Counts Pivot Table'!$A$3,"Category",8,"Category2","Group2")</f>
        <v>21677.3</v>
      </c>
      <c r="AC17" s="113">
        <f>+GETPIVOTDATA(" All Ranks # New",'NEW Counts Pivot Table'!$A$3,"Category",9,"Category2","Group2")</f>
        <v>14450</v>
      </c>
      <c r="AD17" s="113">
        <f>+GETPIVOTDATA(" All Ranks # New",'NEW Counts Pivot Table'!$A$3,"Category",10,"Category2","Group2")</f>
        <v>5409</v>
      </c>
      <c r="AE17" s="113">
        <f>+GETPIVOTDATA(" All Ranks # New",'NEW Counts Pivot Table'!$A$3,"Category","11","Category2","Group2")</f>
        <v>2226</v>
      </c>
      <c r="AF17" s="114">
        <f>+GETPIVOTDATA(" All Ranks # New",'NEW Counts Pivot Table'!$A$3,"Category2","Group2")</f>
        <v>46844.3</v>
      </c>
      <c r="AG17" s="112">
        <f>+GETPIVOTDATA(" All Ranks # New",'NEW Counts Pivot Table'!$A$3,"Category",12,"Category2","Technical Institutes")</f>
        <v>2858</v>
      </c>
      <c r="AH17" s="113">
        <f>+GETPIVOTDATA(" All Ranks # New",'NEW Counts Pivot Table'!$A$3,"Category",13,"Category2","Technical Institutes")</f>
        <v>1510</v>
      </c>
      <c r="AI17" s="114">
        <f>+GETPIVOTDATA(" All Ranks # New",'NEW Counts Pivot Table'!$A$3,"Category",14,"Category2","Technical Institutes")</f>
        <v>1124</v>
      </c>
      <c r="AJ17" s="112">
        <f>+GETPIVOTDATA(" All Ranks # New",'NEW Counts Pivot Table'!$A$3,"Category2","Technical Institutes")</f>
        <v>5492</v>
      </c>
      <c r="AK17" s="116"/>
      <c r="AL17" s="116"/>
    </row>
    <row r="18" spans="1:38">
      <c r="A18" s="38" t="s">
        <v>329</v>
      </c>
      <c r="B18" s="35" t="s">
        <v>332</v>
      </c>
      <c r="C18" s="36">
        <f t="shared" ref="C18:L24" si="3">IF(T$24&gt;0,(T18/T$24),0)</f>
        <v>0.31033415841584161</v>
      </c>
      <c r="D18" s="37">
        <f t="shared" si="3"/>
        <v>0.25082508250825081</v>
      </c>
      <c r="E18" s="37">
        <f t="shared" si="3"/>
        <v>0.21885087153001936</v>
      </c>
      <c r="F18" s="37">
        <f t="shared" si="3"/>
        <v>0.27570789865871831</v>
      </c>
      <c r="G18" s="37">
        <f t="shared" si="3"/>
        <v>0.25</v>
      </c>
      <c r="H18" s="67">
        <f t="shared" si="3"/>
        <v>0.2441860465116279</v>
      </c>
      <c r="I18" s="36">
        <f t="shared" si="3"/>
        <v>0.27691043549712407</v>
      </c>
      <c r="J18" s="36">
        <f t="shared" si="3"/>
        <v>0</v>
      </c>
      <c r="K18" s="37">
        <f t="shared" si="3"/>
        <v>0</v>
      </c>
      <c r="L18" s="37">
        <f t="shared" si="3"/>
        <v>0</v>
      </c>
      <c r="M18" s="37">
        <f t="shared" ref="M18:M24" si="4">IF(AD$24&gt;0,(AD18/AD$24),0)</f>
        <v>0</v>
      </c>
      <c r="N18" s="36">
        <f t="shared" ref="N18:R24" si="5">IF(AF$24&gt;0,(AF18/AF$24),0)</f>
        <v>0</v>
      </c>
      <c r="O18" s="152">
        <f t="shared" si="5"/>
        <v>0</v>
      </c>
      <c r="P18" s="37">
        <f t="shared" si="5"/>
        <v>0</v>
      </c>
      <c r="Q18" s="67">
        <f t="shared" si="5"/>
        <v>0</v>
      </c>
      <c r="R18" s="152">
        <f t="shared" si="5"/>
        <v>0</v>
      </c>
      <c r="S18" s="117"/>
      <c r="T18" s="104">
        <f>+GETPIVOTDATA(" Total # Prof New",'NEW Counts Pivot Table'!$A$3,"State","AL","Category",1,"Category2","Four-Year")</f>
        <v>1003</v>
      </c>
      <c r="U18" s="105">
        <f>+GETPIVOTDATA(" Total # Prof New",'NEW Counts Pivot Table'!$A$3,"State","AL","Category",2,"Category2","Four-Year")</f>
        <v>76</v>
      </c>
      <c r="V18" s="105">
        <f>+GETPIVOTDATA(" Total # Prof New",'NEW Counts Pivot Table'!$A$3,"State","AL","Category",3,"Category2","Four-Year")</f>
        <v>339</v>
      </c>
      <c r="W18" s="105">
        <f>+GETPIVOTDATA(" Total # Prof New",'NEW Counts Pivot Table'!$A$3,"State","AL","Category",4,"Category2","Four-Year")</f>
        <v>185</v>
      </c>
      <c r="X18" s="105">
        <f>+GETPIVOTDATA(" Total # Prof New",'NEW Counts Pivot Table'!$A$3,"State","AL","Category",5,"Category2","Four-Year")</f>
        <v>61</v>
      </c>
      <c r="Y18" s="105">
        <f>+GETPIVOTDATA(" Total # Prof New",'NEW Counts Pivot Table'!$A$3,"State","AL","Category",6,"Category2","Four-Year")</f>
        <v>21</v>
      </c>
      <c r="Z18" s="107">
        <f>+GETPIVOTDATA(" Total # Prof New",'NEW Counts Pivot Table'!$A$3,"State","AL","Category2","Four-Year")</f>
        <v>1685</v>
      </c>
      <c r="AA18" s="104">
        <f>+GETPIVOTDATA(" Total # Prof New",'NEW Counts Pivot Table'!$A$3,"State","AR","Category",7,"Category2","Group2")</f>
        <v>0</v>
      </c>
      <c r="AB18" s="105">
        <f>+GETPIVOTDATA(" Total # Prof New",'NEW Counts Pivot Table'!$A$3,"State","AR","Category",8,"Category2","Group2")</f>
        <v>0</v>
      </c>
      <c r="AC18" s="105">
        <f>+GETPIVOTDATA(" Total # Prof New",'NEW Counts Pivot Table'!$A$3,"State","DE","Category",9,"Category2","Group2")</f>
        <v>0</v>
      </c>
      <c r="AD18" s="105">
        <f>+GETPIVOTDATA(" Total # Prof New",'NEW Counts Pivot Table'!$A$3,"State","DE","Category",10,"Category2","Group2")</f>
        <v>0</v>
      </c>
      <c r="AE18" s="105">
        <f>+GETPIVOTDATA(" Total # Prof New",'NEW Counts Pivot Table'!$A$3,"State","AL","Category","11","Category2","Group2")</f>
        <v>0</v>
      </c>
      <c r="AF18" s="106">
        <f>+GETPIVOTDATA(" Total # Prof New",'NEW Counts Pivot Table'!$A$3,"State","AL","Category2","Group2")</f>
        <v>0</v>
      </c>
      <c r="AG18" s="104">
        <f>+GETPIVOTDATA(" Total # Prof New",'NEW Counts Pivot Table'!$A$3,"State","AL","Category",12,"Category2","Technical Institutes")</f>
        <v>0</v>
      </c>
      <c r="AH18" s="105">
        <f>+GETPIVOTDATA(" Total # Prof New",'NEW Counts Pivot Table'!$A$3,"State","AL","Category",13,"Category2","Technical Institutes")</f>
        <v>0</v>
      </c>
      <c r="AI18" s="106">
        <f>+GETPIVOTDATA(" Total # Prof New",'NEW Counts Pivot Table'!$A$3,"State","AL","Category",14,"Category2","Technical Institutes")</f>
        <v>0</v>
      </c>
      <c r="AJ18" s="104">
        <f>+GETPIVOTDATA(" Total # Prof New",'NEW Counts Pivot Table'!$A$3,"State","AL","Category2","Technical Institutes")</f>
        <v>0</v>
      </c>
    </row>
    <row r="19" spans="1:38">
      <c r="A19" s="30"/>
      <c r="B19" s="38" t="s">
        <v>333</v>
      </c>
      <c r="C19" s="32">
        <f t="shared" si="3"/>
        <v>0.28341584158415839</v>
      </c>
      <c r="D19" s="34">
        <f t="shared" si="3"/>
        <v>0.29372937293729373</v>
      </c>
      <c r="E19" s="34">
        <f t="shared" si="3"/>
        <v>0.22724338282763074</v>
      </c>
      <c r="F19" s="34">
        <f t="shared" si="3"/>
        <v>0.2548435171385991</v>
      </c>
      <c r="G19" s="34">
        <f t="shared" si="3"/>
        <v>0.27049180327868855</v>
      </c>
      <c r="H19" s="68">
        <f t="shared" si="3"/>
        <v>0.23255813953488372</v>
      </c>
      <c r="I19" s="32">
        <f t="shared" si="3"/>
        <v>0.26524239934264587</v>
      </c>
      <c r="J19" s="32">
        <f t="shared" si="3"/>
        <v>0</v>
      </c>
      <c r="K19" s="34">
        <f t="shared" si="3"/>
        <v>0</v>
      </c>
      <c r="L19" s="34">
        <f t="shared" si="3"/>
        <v>0</v>
      </c>
      <c r="M19" s="34">
        <f t="shared" si="4"/>
        <v>0</v>
      </c>
      <c r="N19" s="32">
        <f t="shared" si="5"/>
        <v>0</v>
      </c>
      <c r="O19" s="32">
        <f t="shared" si="5"/>
        <v>0</v>
      </c>
      <c r="P19" s="34">
        <f t="shared" si="5"/>
        <v>0</v>
      </c>
      <c r="Q19" s="68">
        <f t="shared" si="5"/>
        <v>0</v>
      </c>
      <c r="R19" s="32">
        <f t="shared" si="5"/>
        <v>0</v>
      </c>
      <c r="S19" s="87"/>
      <c r="T19" s="108">
        <f>+GETPIVOTDATA(" Tot # Asc. Prof New",'NEW Counts Pivot Table'!$A$3,"State","AL","Category",1,"Category2","Four-Year")</f>
        <v>916</v>
      </c>
      <c r="U19" s="109">
        <f>+GETPIVOTDATA(" Tot # Asc. Prof New",'NEW Counts Pivot Table'!$A$3,"State","AL","Category",2,"Category2","Four-Year")</f>
        <v>89</v>
      </c>
      <c r="V19" s="109">
        <f>+GETPIVOTDATA(" Tot # Asc. Prof New",'NEW Counts Pivot Table'!$A$3,"State","AL","Category",3,"Category2","Four-Year")</f>
        <v>352</v>
      </c>
      <c r="W19" s="109">
        <f>+GETPIVOTDATA(" Tot # Asc. Prof New",'NEW Counts Pivot Table'!$A$3,"State","AL","Category",4,"Category2","Four-Year")</f>
        <v>171</v>
      </c>
      <c r="X19" s="109">
        <f>+GETPIVOTDATA(" Tot # Asc. Prof New",'NEW Counts Pivot Table'!$A$3,"State","AL","Category",5,"Category2","Four-Year")</f>
        <v>66</v>
      </c>
      <c r="Y19" s="109">
        <f>+GETPIVOTDATA(" Tot # Asc. Prof New",'NEW Counts Pivot Table'!$A$3,"State","AL","Category",6,"Category2","Four-Year")</f>
        <v>20</v>
      </c>
      <c r="Z19" s="111">
        <f>+GETPIVOTDATA(" Tot # Asc. Prof New",'NEW Counts Pivot Table'!$A$3,"State","AL","Category2","Four-Year")</f>
        <v>1614</v>
      </c>
      <c r="AA19" s="108">
        <f>+GETPIVOTDATA(" Tot # Asc. Prof New",'NEW Counts Pivot Table'!$A$3,"State","AR","Category",7,"Category2","Group2")</f>
        <v>0</v>
      </c>
      <c r="AB19" s="109">
        <f>+GETPIVOTDATA(" Tot # Asc. Prof New",'NEW Counts Pivot Table'!$A$3,"State","AR","Category",8,"Category2","Group2")</f>
        <v>0</v>
      </c>
      <c r="AC19" s="109">
        <f>+GETPIVOTDATA(" Tot # Asc. Prof New",'NEW Counts Pivot Table'!$A$3,"State","DE","Category",9,"Category2","Group2")</f>
        <v>0</v>
      </c>
      <c r="AD19" s="109">
        <f>+GETPIVOTDATA(" Tot # Asc. Prof New",'NEW Counts Pivot Table'!$A$3,"State","DE","Category",10,"Category2","Group2")</f>
        <v>0</v>
      </c>
      <c r="AE19" s="109">
        <f>+GETPIVOTDATA(" Tot # Asc. Prof New",'NEW Counts Pivot Table'!$A$3,"State","AL","Category","11","Category2","Group2")</f>
        <v>0</v>
      </c>
      <c r="AF19" s="110">
        <f>+GETPIVOTDATA(" Tot # Asc. Prof New",'NEW Counts Pivot Table'!$A$3,"State","AL","Category2","Group2")</f>
        <v>0</v>
      </c>
      <c r="AG19" s="108">
        <f>+GETPIVOTDATA(" Tot # Asc. Prof New",'NEW Counts Pivot Table'!$A$3,"State","AL","Category",12,"Category2","Technical Institutes")</f>
        <v>0</v>
      </c>
      <c r="AH19" s="109">
        <f>+GETPIVOTDATA(" Tot # Asc. Prof New",'NEW Counts Pivot Table'!$A$3,"State","AL","Category",13,"Category2","Technical Institutes")</f>
        <v>0</v>
      </c>
      <c r="AI19" s="110">
        <f>+GETPIVOTDATA(" Tot # Asc. Prof New",'NEW Counts Pivot Table'!$A$3,"State","AL","Category",14,"Category2","Technical Institutes")</f>
        <v>0</v>
      </c>
      <c r="AJ19" s="108">
        <f>+GETPIVOTDATA(" Tot # Asc. Prof New",'NEW Counts Pivot Table'!$A$3,"State","AL","Category2","Technical Institutes")</f>
        <v>0</v>
      </c>
    </row>
    <row r="20" spans="1:38">
      <c r="A20" s="30"/>
      <c r="B20" s="38" t="s">
        <v>334</v>
      </c>
      <c r="C20" s="32">
        <f t="shared" si="3"/>
        <v>0.28001237623762376</v>
      </c>
      <c r="D20" s="34">
        <f t="shared" si="3"/>
        <v>0.28052805280528054</v>
      </c>
      <c r="E20" s="34">
        <f t="shared" si="3"/>
        <v>0.33053582956746286</v>
      </c>
      <c r="F20" s="34">
        <f t="shared" si="3"/>
        <v>0.33084947839046197</v>
      </c>
      <c r="G20" s="34">
        <f t="shared" si="3"/>
        <v>0.39754098360655737</v>
      </c>
      <c r="H20" s="68">
        <f t="shared" si="3"/>
        <v>0.48837209302325579</v>
      </c>
      <c r="I20" s="32">
        <f t="shared" si="3"/>
        <v>0.30616269515201316</v>
      </c>
      <c r="J20" s="32">
        <f t="shared" si="3"/>
        <v>0</v>
      </c>
      <c r="K20" s="34">
        <f t="shared" si="3"/>
        <v>0</v>
      </c>
      <c r="L20" s="34">
        <f t="shared" si="3"/>
        <v>0</v>
      </c>
      <c r="M20" s="34">
        <f t="shared" si="4"/>
        <v>0</v>
      </c>
      <c r="N20" s="32">
        <f t="shared" si="5"/>
        <v>0</v>
      </c>
      <c r="O20" s="32">
        <f t="shared" si="5"/>
        <v>0</v>
      </c>
      <c r="P20" s="34">
        <f t="shared" si="5"/>
        <v>0</v>
      </c>
      <c r="Q20" s="68">
        <f t="shared" si="5"/>
        <v>0</v>
      </c>
      <c r="R20" s="32">
        <f t="shared" si="5"/>
        <v>0</v>
      </c>
      <c r="S20" s="87"/>
      <c r="T20" s="108">
        <f>+GETPIVOTDATA(" Tot # Ast. Prof New",'NEW Counts Pivot Table'!$A$3,"State","AL","Category",1,"Category2","Four-Year")</f>
        <v>905</v>
      </c>
      <c r="U20" s="109">
        <f>+GETPIVOTDATA(" Tot # Ast. Prof New",'NEW Counts Pivot Table'!$A$3,"State","AL","Category",2,"Category2","Four-Year")</f>
        <v>85</v>
      </c>
      <c r="V20" s="109">
        <f>+GETPIVOTDATA(" Tot # Ast. Prof New",'NEW Counts Pivot Table'!$A$3,"State","AL","Category",3,"Category2","Four-Year")</f>
        <v>512</v>
      </c>
      <c r="W20" s="109">
        <f>+GETPIVOTDATA(" Tot # Ast. Prof New",'NEW Counts Pivot Table'!$A$3,"State","AL","Category",4,"Category2","Four-Year")</f>
        <v>222</v>
      </c>
      <c r="X20" s="109">
        <f>+GETPIVOTDATA(" Tot # Ast. Prof New",'NEW Counts Pivot Table'!$A$3,"State","AL","Category",5,"Category2","Four-Year")</f>
        <v>97</v>
      </c>
      <c r="Y20" s="109">
        <f>+GETPIVOTDATA(" Tot # Ast. Prof New",'NEW Counts Pivot Table'!$A$3,"State","AL","Category",6,"Category2","Four-Year")</f>
        <v>42</v>
      </c>
      <c r="Z20" s="111">
        <f>+GETPIVOTDATA(" Tot # Ast. Prof New",'NEW Counts Pivot Table'!$A$3,"State","AL","Category2","Four-Year")</f>
        <v>1863</v>
      </c>
      <c r="AA20" s="108">
        <f>+GETPIVOTDATA(" Tot # Ast. Prof New",'NEW Counts Pivot Table'!$A$3,"State","AR","Category",7,"Category2","Group2")</f>
        <v>0</v>
      </c>
      <c r="AB20" s="109">
        <f>+GETPIVOTDATA(" Tot # Ast. Prof New",'NEW Counts Pivot Table'!$A$3,"State","AR","Category",8,"Category2","Group2")</f>
        <v>0</v>
      </c>
      <c r="AC20" s="109">
        <f>+GETPIVOTDATA(" Tot # Ast. Prof New",'NEW Counts Pivot Table'!$A$3,"State","DE","Category",9,"Category2","Group2")</f>
        <v>0</v>
      </c>
      <c r="AD20" s="109">
        <f>+GETPIVOTDATA(" Tot # Ast. Prof New",'NEW Counts Pivot Table'!$A$3,"State","DE","Category",10,"Category2","Group2")</f>
        <v>0</v>
      </c>
      <c r="AE20" s="109">
        <f>+GETPIVOTDATA(" Tot # Ast. Prof New",'NEW Counts Pivot Table'!$A$3,"State","AL","Category","11","Category2","Group2")</f>
        <v>0</v>
      </c>
      <c r="AF20" s="110">
        <f>+GETPIVOTDATA(" Tot # Ast. Prof New",'NEW Counts Pivot Table'!$A$3,"State","AL","Category2","Group2")</f>
        <v>0</v>
      </c>
      <c r="AG20" s="108">
        <f>+GETPIVOTDATA(" Tot # Ast. Prof New",'NEW Counts Pivot Table'!$A$3,"State","AL","Category",12,"Category2","Technical Institutes")</f>
        <v>0</v>
      </c>
      <c r="AH20" s="109">
        <f>+GETPIVOTDATA(" Tot # Ast. Prof New",'NEW Counts Pivot Table'!$A$3,"State","AL","Category",13,"Category2","Technical Institutes")</f>
        <v>0</v>
      </c>
      <c r="AI20" s="110">
        <f>+GETPIVOTDATA(" Tot # Ast. Prof New",'NEW Counts Pivot Table'!$A$3,"State","AL","Category",14,"Category2","Technical Institutes")</f>
        <v>0</v>
      </c>
      <c r="AJ20" s="108">
        <f>+GETPIVOTDATA(" Tot # Ast. Prof New",'NEW Counts Pivot Table'!$A$3,"State","AL","Category2","Technical Institutes")</f>
        <v>0</v>
      </c>
    </row>
    <row r="21" spans="1:38">
      <c r="A21" s="30"/>
      <c r="B21" s="38" t="s">
        <v>335</v>
      </c>
      <c r="C21" s="32">
        <f t="shared" si="3"/>
        <v>0.11819306930693069</v>
      </c>
      <c r="D21" s="34">
        <f t="shared" si="3"/>
        <v>4.2904290429042903E-2</v>
      </c>
      <c r="E21" s="34">
        <f t="shared" si="3"/>
        <v>0.17817947062621045</v>
      </c>
      <c r="F21" s="34">
        <f t="shared" si="3"/>
        <v>0.13561847988077497</v>
      </c>
      <c r="G21" s="34">
        <f t="shared" si="3"/>
        <v>4.9180327868852458E-2</v>
      </c>
      <c r="H21" s="68">
        <f t="shared" si="3"/>
        <v>3.4883720930232558E-2</v>
      </c>
      <c r="I21" s="32">
        <f t="shared" si="3"/>
        <v>0.12769104354971242</v>
      </c>
      <c r="J21" s="32">
        <f t="shared" si="3"/>
        <v>0</v>
      </c>
      <c r="K21" s="34">
        <f t="shared" si="3"/>
        <v>0</v>
      </c>
      <c r="L21" s="34">
        <f t="shared" si="3"/>
        <v>0</v>
      </c>
      <c r="M21" s="34">
        <f t="shared" si="4"/>
        <v>0</v>
      </c>
      <c r="N21" s="32">
        <f t="shared" si="5"/>
        <v>0</v>
      </c>
      <c r="O21" s="32">
        <f t="shared" si="5"/>
        <v>0</v>
      </c>
      <c r="P21" s="34">
        <f t="shared" si="5"/>
        <v>0</v>
      </c>
      <c r="Q21" s="68">
        <f t="shared" si="5"/>
        <v>0</v>
      </c>
      <c r="R21" s="32">
        <f t="shared" si="5"/>
        <v>0</v>
      </c>
      <c r="S21" s="87"/>
      <c r="T21" s="108">
        <f>+GETPIVOTDATA(" Tot # Instr. New",'NEW Counts Pivot Table'!$A$3,"State","AL","Category",1,"Category2","Four-Year")</f>
        <v>382</v>
      </c>
      <c r="U21" s="109">
        <f>+GETPIVOTDATA(" Tot # Instr. New",'NEW Counts Pivot Table'!$A$3,"State","AL","Category",2,"Category2","Four-Year")</f>
        <v>13</v>
      </c>
      <c r="V21" s="109">
        <f>+GETPIVOTDATA(" Tot # Instr. New",'NEW Counts Pivot Table'!$A$3,"State","AL","Category",3,"Category2","Four-Year")</f>
        <v>276</v>
      </c>
      <c r="W21" s="109">
        <f>+GETPIVOTDATA(" Tot # Instr. New",'NEW Counts Pivot Table'!$A$3,"State","AL","Category",4,"Category2","Four-Year")</f>
        <v>91</v>
      </c>
      <c r="X21" s="109">
        <f>+GETPIVOTDATA(" Tot # Instr. New",'NEW Counts Pivot Table'!$A$3,"State","AL","Category",5,"Category2","Four-Year")</f>
        <v>12</v>
      </c>
      <c r="Y21" s="109">
        <f>+GETPIVOTDATA(" Tot # Instr. New",'NEW Counts Pivot Table'!$A$3,"State","AL","Category",6,"Category2","Four-Year")</f>
        <v>3</v>
      </c>
      <c r="Z21" s="111">
        <f>+GETPIVOTDATA(" Tot # Instr. New",'NEW Counts Pivot Table'!$A$3,"State","AL","Category2","Four-Year")</f>
        <v>777</v>
      </c>
      <c r="AA21" s="108">
        <f>+GETPIVOTDATA(" Tot # Instr. New",'NEW Counts Pivot Table'!$A$3,"State","AR","Category",7,"Category2","Group2")</f>
        <v>0</v>
      </c>
      <c r="AB21" s="109">
        <f>+GETPIVOTDATA(" Tot # Instr. New",'NEW Counts Pivot Table'!$A$3,"State","AR","Category",8,"Category2","Group2")</f>
        <v>0</v>
      </c>
      <c r="AC21" s="109">
        <f>+GETPIVOTDATA(" Tot # Instr. New",'NEW Counts Pivot Table'!$A$3,"State","DE","Category",9,"Category2","Group2")</f>
        <v>0</v>
      </c>
      <c r="AD21" s="109">
        <f>+GETPIVOTDATA(" Tot # Instr. New",'NEW Counts Pivot Table'!$A$3,"State","DE","Category",10,"Category2","Group2")</f>
        <v>0</v>
      </c>
      <c r="AE21" s="109">
        <f>+GETPIVOTDATA(" Tot # Instr. New",'NEW Counts Pivot Table'!$A$3,"State","AL","Category","11","Category2","Group2")</f>
        <v>0</v>
      </c>
      <c r="AF21" s="110">
        <f>+GETPIVOTDATA(" Tot # Instr. New",'NEW Counts Pivot Table'!$A$3,"State","AL","Category2","Group2")</f>
        <v>0</v>
      </c>
      <c r="AG21" s="108">
        <f>+GETPIVOTDATA(" Tot # Instr. New",'NEW Counts Pivot Table'!$A$3,"State","AL","Category",12,"Category2","Technical Institutes")</f>
        <v>0</v>
      </c>
      <c r="AH21" s="109">
        <f>+GETPIVOTDATA(" Tot # Instr. New",'NEW Counts Pivot Table'!$A$3,"State","AL","Category",13,"Category2","Technical Institutes")</f>
        <v>0</v>
      </c>
      <c r="AI21" s="110">
        <f>+GETPIVOTDATA(" Tot # Instr. New",'NEW Counts Pivot Table'!$A$3,"State","AL","Category",14,"Category2","Technical Institutes")</f>
        <v>0</v>
      </c>
      <c r="AJ21" s="108">
        <f>+GETPIVOTDATA(" Tot # Instr. New",'NEW Counts Pivot Table'!$A$3,"State","AL","Category2","Technical Institutes")</f>
        <v>0</v>
      </c>
    </row>
    <row r="22" spans="1:38">
      <c r="A22" s="30"/>
      <c r="B22" s="38" t="s">
        <v>315</v>
      </c>
      <c r="C22" s="32">
        <f t="shared" si="3"/>
        <v>8.0445544554455448E-3</v>
      </c>
      <c r="D22" s="34">
        <f t="shared" si="3"/>
        <v>0.132013201320132</v>
      </c>
      <c r="E22" s="34">
        <f t="shared" si="3"/>
        <v>4.5190445448676564E-2</v>
      </c>
      <c r="F22" s="236">
        <f t="shared" si="3"/>
        <v>2.9806259314456036E-3</v>
      </c>
      <c r="G22" s="34">
        <f t="shared" si="3"/>
        <v>3.2786885245901641E-2</v>
      </c>
      <c r="H22" s="68">
        <f t="shared" si="3"/>
        <v>0</v>
      </c>
      <c r="I22" s="32">
        <f t="shared" si="3"/>
        <v>2.3993426458504521E-2</v>
      </c>
      <c r="J22" s="32">
        <f t="shared" si="3"/>
        <v>0</v>
      </c>
      <c r="K22" s="34">
        <f t="shared" si="3"/>
        <v>0</v>
      </c>
      <c r="L22" s="34">
        <f t="shared" si="3"/>
        <v>0</v>
      </c>
      <c r="M22" s="34">
        <f t="shared" si="4"/>
        <v>0</v>
      </c>
      <c r="N22" s="32">
        <f t="shared" si="5"/>
        <v>0</v>
      </c>
      <c r="O22" s="32">
        <f t="shared" si="5"/>
        <v>0</v>
      </c>
      <c r="P22" s="34">
        <f t="shared" si="5"/>
        <v>0</v>
      </c>
      <c r="Q22" s="68">
        <f t="shared" si="5"/>
        <v>0</v>
      </c>
      <c r="R22" s="32">
        <f t="shared" si="5"/>
        <v>0</v>
      </c>
      <c r="S22" s="87"/>
      <c r="T22" s="108">
        <f>++GETPIVOTDATA(" Tot # Undes. New",'NEW Counts Pivot Table'!$A$3,"State","AL","Category",1,"Category2","Four-Year")</f>
        <v>26</v>
      </c>
      <c r="U22" s="109">
        <f>+GETPIVOTDATA(" Tot # Undes. New",'NEW Counts Pivot Table'!$A$3,"State","AL","Category",2,"Category2","Four-Year")</f>
        <v>40</v>
      </c>
      <c r="V22" s="109">
        <f>+GETPIVOTDATA(" Tot # Undes. New",'NEW Counts Pivot Table'!$A$3,"State","AL","Category",3,"Category2","Four-Year")</f>
        <v>70</v>
      </c>
      <c r="W22" s="109">
        <f>+GETPIVOTDATA(" Tot # Undes. New",'NEW Counts Pivot Table'!$A$3,"State","AL","Category",4,"Category2","Four-Year")</f>
        <v>2</v>
      </c>
      <c r="X22" s="109">
        <f>+GETPIVOTDATA(" Tot # Undes. New",'NEW Counts Pivot Table'!$A$3,"State","AL","Category",5,"Category2","Four-Year")</f>
        <v>8</v>
      </c>
      <c r="Y22" s="109">
        <f>+GETPIVOTDATA(" Tot # Undes. New",'NEW Counts Pivot Table'!$A$3,"State","AL","Category",6,"Category2","Four-Year")</f>
        <v>0</v>
      </c>
      <c r="Z22" s="111">
        <f>+GETPIVOTDATA(" Tot # Undes. New",'NEW Counts Pivot Table'!$A$3,"State","AL","Category2","Four-Year")</f>
        <v>146</v>
      </c>
      <c r="AA22" s="108">
        <f>+GETPIVOTDATA(" Tot # Undes. New",'NEW Counts Pivot Table'!$A$3,"State","AR","Category",7,"Category2","Group2")</f>
        <v>0</v>
      </c>
      <c r="AB22" s="109">
        <f>+GETPIVOTDATA(" Tot # Undes. New",'NEW Counts Pivot Table'!$A$3,"State","AR","Category",8,"Category2","Group2")</f>
        <v>0</v>
      </c>
      <c r="AC22" s="109">
        <f>+GETPIVOTDATA(" Tot # Undes. New",'NEW Counts Pivot Table'!$A$3,"State","DE","Category",9,"Category2","Group2")</f>
        <v>0</v>
      </c>
      <c r="AD22" s="109">
        <f>+GETPIVOTDATA(" Tot # Undes. New",'NEW Counts Pivot Table'!$A$3,"State","DE","Category",10,"Category2","Group2")</f>
        <v>0</v>
      </c>
      <c r="AE22" s="109">
        <f>+GETPIVOTDATA(" Tot # Undes. New",'NEW Counts Pivot Table'!$A$3,"State","AL","Category","11","Category2","Group2")</f>
        <v>0</v>
      </c>
      <c r="AF22" s="110">
        <f>+GETPIVOTDATA(" Tot # Undes. New",'NEW Counts Pivot Table'!$A$3,"State","AL","Category2","Group2")</f>
        <v>0</v>
      </c>
      <c r="AG22" s="108">
        <f>+GETPIVOTDATA(" Tot # Undes. New",'NEW Counts Pivot Table'!$A$3,"State","AL","Category",12,"Category2","Technical Institutes")</f>
        <v>0</v>
      </c>
      <c r="AH22" s="109">
        <f>+GETPIVOTDATA(" Tot # Undes. New",'NEW Counts Pivot Table'!$A$3,"State","AL","Category",13,"Category2","Technical Institutes")</f>
        <v>0</v>
      </c>
      <c r="AI22" s="110">
        <f>+GETPIVOTDATA(" Tot # Undes. New",'NEW Counts Pivot Table'!$A$3,"State","AL","Category",14,"Category2","Technical Institutes")</f>
        <v>0</v>
      </c>
      <c r="AJ22" s="108">
        <f>+GETPIVOTDATA(" Tot # Undes. New",'NEW Counts Pivot Table'!$A$3,"State","AL","Category2","Technical Institutes")</f>
        <v>0</v>
      </c>
    </row>
    <row r="23" spans="1:38">
      <c r="A23" s="30"/>
      <c r="B23" s="38" t="s">
        <v>314</v>
      </c>
      <c r="C23" s="32">
        <f t="shared" si="3"/>
        <v>0</v>
      </c>
      <c r="D23" s="34">
        <f t="shared" si="3"/>
        <v>0</v>
      </c>
      <c r="E23" s="185">
        <f t="shared" si="3"/>
        <v>0</v>
      </c>
      <c r="F23" s="34">
        <f t="shared" si="3"/>
        <v>0</v>
      </c>
      <c r="G23" s="236">
        <f t="shared" si="3"/>
        <v>0</v>
      </c>
      <c r="H23" s="68">
        <f t="shared" si="3"/>
        <v>0</v>
      </c>
      <c r="I23" s="184">
        <f t="shared" si="3"/>
        <v>0</v>
      </c>
      <c r="J23" s="32">
        <f t="shared" si="3"/>
        <v>0</v>
      </c>
      <c r="K23" s="34">
        <f t="shared" si="3"/>
        <v>1</v>
      </c>
      <c r="L23" s="34">
        <f t="shared" si="3"/>
        <v>1</v>
      </c>
      <c r="M23" s="34">
        <f t="shared" si="4"/>
        <v>1</v>
      </c>
      <c r="N23" s="32">
        <f t="shared" si="5"/>
        <v>1</v>
      </c>
      <c r="O23" s="32">
        <f t="shared" si="5"/>
        <v>1</v>
      </c>
      <c r="P23" s="34">
        <f t="shared" si="5"/>
        <v>1</v>
      </c>
      <c r="Q23" s="68">
        <f t="shared" si="5"/>
        <v>0</v>
      </c>
      <c r="R23" s="32">
        <f t="shared" si="5"/>
        <v>1</v>
      </c>
      <c r="S23" s="87"/>
      <c r="T23" s="108">
        <f>+GETPIVOTDATA(" Tot # Single Rnk New",'NEW Counts Pivot Table'!$A$3,"State","AL","Category",1,"Category2","Four-Year")</f>
        <v>0</v>
      </c>
      <c r="U23" s="109">
        <f>+GETPIVOTDATA(" Tot # Single Rnk New",'NEW Counts Pivot Table'!$A$3,"State","AL","Category",2,"Category2","Four-Year")</f>
        <v>0</v>
      </c>
      <c r="V23" s="109">
        <f>+GETPIVOTDATA(" Tot # Single Rnk New",'NEW Counts Pivot Table'!$A$3,"State","AL","Category",3,"Category2","Four-Year")</f>
        <v>0</v>
      </c>
      <c r="W23" s="109">
        <f>+GETPIVOTDATA(" Tot # Single Rnk New",'NEW Counts Pivot Table'!$A$3,"State","AL","Category",4,"Category2","Four-Year")</f>
        <v>0</v>
      </c>
      <c r="X23" s="109">
        <f>+GETPIVOTDATA(" Tot # Single Rnk New",'NEW Counts Pivot Table'!$A$3,"State","AL","Category",5,"Category2","Four-Year")</f>
        <v>0</v>
      </c>
      <c r="Y23" s="109">
        <f>+GETPIVOTDATA(" Tot # Single Rnk New",'NEW Counts Pivot Table'!$A$3,"State","AL","Category",6,"Category2","Four-Year")</f>
        <v>0</v>
      </c>
      <c r="Z23" s="111">
        <f>+GETPIVOTDATA(" Tot # Single Rnk New",'NEW Counts Pivot Table'!$A$3,"State","AL","Category2","Four-Year")</f>
        <v>0</v>
      </c>
      <c r="AA23" s="108">
        <f>+GETPIVOTDATA(" Tot # Single Rnk New",'NEW Counts Pivot Table'!$A$3,"State","AR","Category",7,"Category2","Group2")</f>
        <v>0</v>
      </c>
      <c r="AB23" s="109">
        <f>+GETPIVOTDATA(" Tot # Single Rnk New",'NEW Counts Pivot Table'!$A$3,"State","AR","Category",8,"Category2","Group2")</f>
        <v>171</v>
      </c>
      <c r="AC23" s="109">
        <f>+GETPIVOTDATA(" Tot # Single Rnk New",'NEW Counts Pivot Table'!$A$3,"State","DE","Category",9,"Category2","Group2")</f>
        <v>300</v>
      </c>
      <c r="AD23" s="109">
        <f>+GETPIVOTDATA(" Tot # Single Rnk New",'NEW Counts Pivot Table'!$A$3,"State","DE","Category",10,"Category2","Group2")</f>
        <v>84</v>
      </c>
      <c r="AE23" s="109">
        <f>+GETPIVOTDATA(" Tot # Single Rnk New",'NEW Counts Pivot Table'!$A$3,"State","AL","Category","11","Category2","Group2")</f>
        <v>0</v>
      </c>
      <c r="AF23" s="110">
        <f>+GETPIVOTDATA(" Tot # Single Rnk New",'NEW Counts Pivot Table'!$A$3,"State","AL","Category2","Group2")</f>
        <v>1773</v>
      </c>
      <c r="AG23" s="108">
        <f>+GETPIVOTDATA(" Tot # Single Rnk New",'NEW Counts Pivot Table'!$A$3,"State","AL","Category",12,"Category2","Technical Institutes")</f>
        <v>76</v>
      </c>
      <c r="AH23" s="109">
        <f>+GETPIVOTDATA(" Tot # Single Rnk New",'NEW Counts Pivot Table'!$A$3,"State","AL","Category",13,"Category2","Technical Institutes")</f>
        <v>85</v>
      </c>
      <c r="AI23" s="110">
        <f>+GETPIVOTDATA(" Tot # Single Rnk New",'NEW Counts Pivot Table'!$A$3,"State","AL","Category",14,"Category2","Technical Institutes")</f>
        <v>0</v>
      </c>
      <c r="AJ23" s="108">
        <f>+GETPIVOTDATA(" Tot # Single Rnk New",'NEW Counts Pivot Table'!$A$3,"State","AL","Category2","Technical Institutes")</f>
        <v>161</v>
      </c>
    </row>
    <row r="24" spans="1:38" s="54" customFormat="1">
      <c r="A24" s="191"/>
      <c r="B24" s="192" t="s">
        <v>316</v>
      </c>
      <c r="C24" s="33">
        <f t="shared" si="3"/>
        <v>1</v>
      </c>
      <c r="D24" s="31">
        <f t="shared" si="3"/>
        <v>1</v>
      </c>
      <c r="E24" s="31">
        <f t="shared" si="3"/>
        <v>1</v>
      </c>
      <c r="F24" s="31">
        <f t="shared" si="3"/>
        <v>1</v>
      </c>
      <c r="G24" s="31">
        <f t="shared" si="3"/>
        <v>1</v>
      </c>
      <c r="H24" s="69">
        <f t="shared" si="3"/>
        <v>1</v>
      </c>
      <c r="I24" s="33">
        <f t="shared" si="3"/>
        <v>1</v>
      </c>
      <c r="J24" s="33">
        <f t="shared" si="3"/>
        <v>0</v>
      </c>
      <c r="K24" s="31">
        <f t="shared" si="3"/>
        <v>1</v>
      </c>
      <c r="L24" s="31">
        <f t="shared" si="3"/>
        <v>1</v>
      </c>
      <c r="M24" s="31">
        <f t="shared" si="4"/>
        <v>1</v>
      </c>
      <c r="N24" s="33">
        <f t="shared" si="5"/>
        <v>1</v>
      </c>
      <c r="O24" s="33">
        <f t="shared" si="5"/>
        <v>1</v>
      </c>
      <c r="P24" s="31">
        <f t="shared" si="5"/>
        <v>1</v>
      </c>
      <c r="Q24" s="69">
        <f t="shared" si="5"/>
        <v>0</v>
      </c>
      <c r="R24" s="33">
        <f t="shared" si="5"/>
        <v>1</v>
      </c>
      <c r="S24" s="88"/>
      <c r="T24" s="112">
        <f>+GETPIVOTDATA(" All Ranks # New",'NEW Counts Pivot Table'!$A$3,"State","AL","Category",1,"Category2","Four-Year")</f>
        <v>3232</v>
      </c>
      <c r="U24" s="113">
        <f>+GETPIVOTDATA(" All Ranks # New",'NEW Counts Pivot Table'!$A$3,"State","AL","Category",2,"Category2","Four-Year")</f>
        <v>303</v>
      </c>
      <c r="V24" s="113">
        <f>+GETPIVOTDATA(" All Ranks # New",'NEW Counts Pivot Table'!$A$3,"State","AL","Category",3,"Category2","Four-Year")</f>
        <v>1549</v>
      </c>
      <c r="W24" s="113">
        <f>+GETPIVOTDATA(" All Ranks # New",'NEW Counts Pivot Table'!$A$3,"State","AL","Category",4,"Category2","Four-Year")</f>
        <v>671</v>
      </c>
      <c r="X24" s="113">
        <f>+GETPIVOTDATA(" All Ranks # New",'NEW Counts Pivot Table'!$A$3,"State","AL","Category",5,"Category2","Four-Year")</f>
        <v>244</v>
      </c>
      <c r="Y24" s="113">
        <f>+GETPIVOTDATA(" All Ranks # New",'NEW Counts Pivot Table'!$A$3,"State","AL","Category",6,"Category2","Four-Year")</f>
        <v>86</v>
      </c>
      <c r="Z24" s="115">
        <f>+GETPIVOTDATA(" All Ranks # New",'NEW Counts Pivot Table'!$A$3,"State","AL","Category2","Four-Year")</f>
        <v>6085</v>
      </c>
      <c r="AA24" s="112">
        <f>+GETPIVOTDATA(" All Ranks # New",'NEW Counts Pivot Table'!$A$3,"State","AR","Category",7,"Category2","Group2")</f>
        <v>0</v>
      </c>
      <c r="AB24" s="113">
        <f>+GETPIVOTDATA(" All Ranks # New",'NEW Counts Pivot Table'!$A$3,"State","AR","Category",8,"Category2","Group2")</f>
        <v>171</v>
      </c>
      <c r="AC24" s="113">
        <f>+GETPIVOTDATA(" All Ranks # New",'NEW Counts Pivot Table'!$A$3,"State","DE","Category",9,"Category2","Group2")</f>
        <v>300</v>
      </c>
      <c r="AD24" s="113">
        <f>+GETPIVOTDATA(" All Ranks # New",'NEW Counts Pivot Table'!$A$3,"State","DE","Category",10,"Category2","Group2")</f>
        <v>84</v>
      </c>
      <c r="AE24" s="113">
        <f>+GETPIVOTDATA(" All Ranks # New",'NEW Counts Pivot Table'!$A$3,"State","AL","Category","11","Category2","Group2")</f>
        <v>0</v>
      </c>
      <c r="AF24" s="114">
        <f>+GETPIVOTDATA(" All Ranks # New",'NEW Counts Pivot Table'!$A$3,"State","AL","Category2","Group2")</f>
        <v>1773</v>
      </c>
      <c r="AG24" s="112">
        <f>+GETPIVOTDATA(" All Ranks # New",'NEW Counts Pivot Table'!$A$3,"State","AL","Category",12,"Category2","Technical Institutes")</f>
        <v>76</v>
      </c>
      <c r="AH24" s="113">
        <f>+GETPIVOTDATA(" All Ranks # New",'NEW Counts Pivot Table'!$A$3,"State","AL","Category",13,"Category2","Technical Institutes")</f>
        <v>85</v>
      </c>
      <c r="AI24" s="114">
        <f>+GETPIVOTDATA(" All Ranks # New",'NEW Counts Pivot Table'!$A$3,"State","AL","Category",14,"Category2","Technical Institutes")</f>
        <v>0</v>
      </c>
      <c r="AJ24" s="112">
        <f>+GETPIVOTDATA(" All Ranks # New",'NEW Counts Pivot Table'!$A$3,"State","AL","Category2","Technical Institutes")</f>
        <v>161</v>
      </c>
      <c r="AK24" s="116"/>
      <c r="AL24" s="116"/>
    </row>
    <row r="25" spans="1:38">
      <c r="A25" s="38" t="s">
        <v>338</v>
      </c>
      <c r="B25" s="35" t="s">
        <v>332</v>
      </c>
      <c r="C25" s="36">
        <f t="shared" ref="C25:L31" si="6">IF(T$31&gt;0,(T25/T$31),0)</f>
        <v>0.37710084033613445</v>
      </c>
      <c r="D25" s="37">
        <f t="shared" si="6"/>
        <v>0</v>
      </c>
      <c r="E25" s="37">
        <f t="shared" si="6"/>
        <v>0.22938829787234041</v>
      </c>
      <c r="F25" s="37">
        <f t="shared" si="6"/>
        <v>0.2412280701754386</v>
      </c>
      <c r="G25" s="37">
        <f t="shared" si="6"/>
        <v>0.13141025641025642</v>
      </c>
      <c r="H25" s="67">
        <f t="shared" si="6"/>
        <v>0.10353535353535354</v>
      </c>
      <c r="I25" s="36">
        <f t="shared" si="6"/>
        <v>0.24751381215469614</v>
      </c>
      <c r="J25" s="36">
        <f t="shared" si="6"/>
        <v>0</v>
      </c>
      <c r="K25" s="37">
        <f t="shared" si="6"/>
        <v>0</v>
      </c>
      <c r="L25" s="37">
        <f t="shared" si="6"/>
        <v>0</v>
      </c>
      <c r="M25" s="37">
        <f t="shared" ref="M25:M31" si="7">IF(AD$31&gt;0,(AD25/AD$31),0)</f>
        <v>0</v>
      </c>
      <c r="N25" s="152">
        <f t="shared" ref="N25:R31" si="8">IF(AF$31&gt;0,(AF25/AF$31),0)</f>
        <v>3.5063113604488078E-3</v>
      </c>
      <c r="O25" s="152">
        <f t="shared" si="8"/>
        <v>0</v>
      </c>
      <c r="P25" s="37">
        <f t="shared" si="8"/>
        <v>0</v>
      </c>
      <c r="Q25" s="67">
        <f t="shared" si="8"/>
        <v>0</v>
      </c>
      <c r="R25" s="152">
        <f t="shared" si="8"/>
        <v>0</v>
      </c>
      <c r="S25" s="117"/>
      <c r="T25" s="104">
        <f>+GETPIVOTDATA(" Total # Prof New",'NEW Counts Pivot Table'!$A$3,"State","AR","Category",1,"Category2","Four-Year")</f>
        <v>359</v>
      </c>
      <c r="U25" s="105">
        <f>+GETPIVOTDATA(" Total # Prof New",'NEW Counts Pivot Table'!$A$3,"State","AR","Category",2,"Category2","Four-Year")</f>
        <v>0</v>
      </c>
      <c r="V25" s="105">
        <f>+GETPIVOTDATA(" Total # Prof New",'NEW Counts Pivot Table'!$A$3,"State","AR","Category",3,"Category2","Four-Year")</f>
        <v>345</v>
      </c>
      <c r="W25" s="105">
        <f>+GETPIVOTDATA(" Total # Prof New",'NEW Counts Pivot Table'!$A$3,"State","AR","Category",4,"Category2","Four-Year")</f>
        <v>110</v>
      </c>
      <c r="X25" s="105">
        <f>+GETPIVOTDATA(" Total # Prof New",'NEW Counts Pivot Table'!$A$3,"State","AR","Category",5,"Category2","Four-Year")</f>
        <v>41</v>
      </c>
      <c r="Y25" s="105">
        <f>+GETPIVOTDATA(" Total # Prof New",'NEW Counts Pivot Table'!$A$3,"State","AR","Category",6,"Category2","Four-Year")</f>
        <v>41</v>
      </c>
      <c r="Z25" s="107">
        <f>+GETPIVOTDATA(" Total # Prof New",'NEW Counts Pivot Table'!$A$3,"State","AR","Category2","Four-Year")</f>
        <v>896</v>
      </c>
      <c r="AA25" s="104">
        <f>+GETPIVOTDATA(" Total # Prof New",'NEW Counts Pivot Table'!$A$3,"State","AR","Category",7,"Category2","Group2")</f>
        <v>0</v>
      </c>
      <c r="AB25" s="105">
        <f>+GETPIVOTDATA(" Total # Prof New",'NEW Counts Pivot Table'!$A$3,"State","AR","Category",8,"Category2","Group2")</f>
        <v>0</v>
      </c>
      <c r="AC25" s="105">
        <f>+GETPIVOTDATA(" Total # Prof New",'NEW Counts Pivot Table'!$A$3,"State","DE","Category",9,"Category2","Group2")</f>
        <v>0</v>
      </c>
      <c r="AD25" s="105">
        <f>+GETPIVOTDATA(" Total # Prof New",'NEW Counts Pivot Table'!$A$3,"State","DE","Category",10,"Category2","Group2")</f>
        <v>0</v>
      </c>
      <c r="AE25" s="105">
        <f>+GETPIVOTDATA(" Total # Prof New",'NEW Counts Pivot Table'!$A$3,"State","AR","Category","11","Category2","Group2")</f>
        <v>0</v>
      </c>
      <c r="AF25" s="106">
        <f>+GETPIVOTDATA(" Total # Prof New",'NEW Counts Pivot Table'!$A$3,"State","AR","Category2","Group2")</f>
        <v>5</v>
      </c>
      <c r="AG25" s="104">
        <f>+GETPIVOTDATA(" Total # Prof New",'NEW Counts Pivot Table'!$A$3,"State","AR","Category",12,"Category2","Technical Institutes")</f>
        <v>0</v>
      </c>
      <c r="AH25" s="105">
        <f>+GETPIVOTDATA(" Total # Prof New",'NEW Counts Pivot Table'!$A$3,"State","AR","Category",13,"Category2","Technical Institutes")</f>
        <v>0</v>
      </c>
      <c r="AI25" s="106">
        <f>+GETPIVOTDATA(" Total # Prof New",'NEW Counts Pivot Table'!$A$3,"State","AR","Category",14,"Category2","Technical Institutes")</f>
        <v>0</v>
      </c>
      <c r="AJ25" s="104">
        <f>+GETPIVOTDATA(" Total # Prof New",'NEW Counts Pivot Table'!$A$3,"State","AR","Category2","Technical Institutes")</f>
        <v>0</v>
      </c>
    </row>
    <row r="26" spans="1:38">
      <c r="A26" s="30"/>
      <c r="B26" s="38" t="s">
        <v>333</v>
      </c>
      <c r="C26" s="32">
        <f t="shared" si="6"/>
        <v>0.22899159663865545</v>
      </c>
      <c r="D26" s="34">
        <f t="shared" si="6"/>
        <v>0</v>
      </c>
      <c r="E26" s="34">
        <f t="shared" si="6"/>
        <v>0.24468085106382978</v>
      </c>
      <c r="F26" s="34">
        <f t="shared" si="6"/>
        <v>0.24342105263157895</v>
      </c>
      <c r="G26" s="34">
        <f t="shared" si="6"/>
        <v>0.20833333333333334</v>
      </c>
      <c r="H26" s="68">
        <f t="shared" si="6"/>
        <v>0.20707070707070707</v>
      </c>
      <c r="I26" s="32">
        <f t="shared" si="6"/>
        <v>0.23314917127071824</v>
      </c>
      <c r="J26" s="32">
        <f t="shared" si="6"/>
        <v>0</v>
      </c>
      <c r="K26" s="34">
        <f t="shared" si="6"/>
        <v>0</v>
      </c>
      <c r="L26" s="34">
        <f t="shared" si="6"/>
        <v>0</v>
      </c>
      <c r="M26" s="34">
        <f t="shared" si="7"/>
        <v>0</v>
      </c>
      <c r="N26" s="32">
        <f t="shared" si="8"/>
        <v>6.311360448807854E-3</v>
      </c>
      <c r="O26" s="32">
        <f t="shared" si="8"/>
        <v>0</v>
      </c>
      <c r="P26" s="34">
        <f t="shared" si="8"/>
        <v>0</v>
      </c>
      <c r="Q26" s="68">
        <f t="shared" si="8"/>
        <v>0</v>
      </c>
      <c r="R26" s="32">
        <f t="shared" si="8"/>
        <v>0</v>
      </c>
      <c r="S26" s="87"/>
      <c r="T26" s="108">
        <f>+GETPIVOTDATA(" Tot # Asc. Prof New",'NEW Counts Pivot Table'!$A$3,"State","AR","Category",1,"Category2","Four-Year")</f>
        <v>218</v>
      </c>
      <c r="U26" s="109">
        <f>+GETPIVOTDATA(" Tot # Asc. Prof New",'NEW Counts Pivot Table'!$A$3,"State","AR","Category",2,"Category2","Four-Year")</f>
        <v>0</v>
      </c>
      <c r="V26" s="109">
        <f>+GETPIVOTDATA(" Tot # Asc. Prof New",'NEW Counts Pivot Table'!$A$3,"State","AR","Category",3,"Category2","Four-Year")</f>
        <v>368</v>
      </c>
      <c r="W26" s="109">
        <f>+GETPIVOTDATA(" Tot # Asc. Prof New",'NEW Counts Pivot Table'!$A$3,"State","AR","Category",4,"Category2","Four-Year")</f>
        <v>111</v>
      </c>
      <c r="X26" s="109">
        <f>+GETPIVOTDATA(" Tot # Asc. Prof New",'NEW Counts Pivot Table'!$A$3,"State","AR","Category",5,"Category2","Four-Year")</f>
        <v>65</v>
      </c>
      <c r="Y26" s="109">
        <f>+GETPIVOTDATA(" Tot # Asc. Prof New",'NEW Counts Pivot Table'!$A$3,"State","AR","Category",6,"Category2","Four-Year")</f>
        <v>82</v>
      </c>
      <c r="Z26" s="111">
        <f>+GETPIVOTDATA(" Tot # Asc. Prof New",'NEW Counts Pivot Table'!$A$3,"State","AR","Category2","Four-Year")</f>
        <v>844</v>
      </c>
      <c r="AA26" s="108">
        <f>+GETPIVOTDATA(" Tot # Asc. Prof New",'NEW Counts Pivot Table'!$A$3,"State","AR","Category",7,"Category2","Group2")</f>
        <v>0</v>
      </c>
      <c r="AB26" s="109">
        <f>+GETPIVOTDATA(" Tot # Asc. Prof New",'NEW Counts Pivot Table'!$A$3,"State","AR","Category",8,"Category2","Group2")</f>
        <v>0</v>
      </c>
      <c r="AC26" s="109">
        <f>+GETPIVOTDATA(" Tot # Asc. Prof New",'NEW Counts Pivot Table'!$A$3,"State","DE","Category",9,"Category2","Group2")</f>
        <v>0</v>
      </c>
      <c r="AD26" s="109">
        <f>+GETPIVOTDATA(" Tot # Asc. Prof New",'NEW Counts Pivot Table'!$A$3,"State","DE","Category",10,"Category2","Group2")</f>
        <v>0</v>
      </c>
      <c r="AE26" s="109">
        <f>+GETPIVOTDATA(" Tot # Asc. Prof New",'NEW Counts Pivot Table'!$A$3,"State","AR","Category","11","Category2","Group2")</f>
        <v>0</v>
      </c>
      <c r="AF26" s="110">
        <f>+GETPIVOTDATA(" Tot # Asc. Prof New",'NEW Counts Pivot Table'!$A$3,"State","AR","Category2","Group2")</f>
        <v>9</v>
      </c>
      <c r="AG26" s="108">
        <f>+GETPIVOTDATA(" Tot # Asc. Prof New",'NEW Counts Pivot Table'!$A$3,"State","AR","Category",12,"Category2","Technical Institutes")</f>
        <v>0</v>
      </c>
      <c r="AH26" s="109">
        <f>+GETPIVOTDATA(" Tot # Asc. Prof New",'NEW Counts Pivot Table'!$A$3,"State","AR","Category",13,"Category2","Technical Institutes")</f>
        <v>0</v>
      </c>
      <c r="AI26" s="110">
        <f>+GETPIVOTDATA(" Tot # Asc. Prof New",'NEW Counts Pivot Table'!$A$3,"State","AR","Category",14,"Category2","Technical Institutes")</f>
        <v>0</v>
      </c>
      <c r="AJ26" s="108">
        <f>+GETPIVOTDATA(" Tot # Asc. Prof New",'NEW Counts Pivot Table'!$A$3,"State","AR","Category2","Technical Institutes")</f>
        <v>0</v>
      </c>
    </row>
    <row r="27" spans="1:38">
      <c r="A27" s="30"/>
      <c r="B27" s="38" t="s">
        <v>334</v>
      </c>
      <c r="C27" s="32">
        <f t="shared" si="6"/>
        <v>0.17857142857142858</v>
      </c>
      <c r="D27" s="34">
        <f t="shared" si="6"/>
        <v>0</v>
      </c>
      <c r="E27" s="34">
        <f t="shared" si="6"/>
        <v>0.28523936170212766</v>
      </c>
      <c r="F27" s="34">
        <f t="shared" si="6"/>
        <v>0.31798245614035087</v>
      </c>
      <c r="G27" s="34">
        <f t="shared" si="6"/>
        <v>0.31730769230769229</v>
      </c>
      <c r="H27" s="68">
        <f t="shared" si="6"/>
        <v>0.38131313131313133</v>
      </c>
      <c r="I27" s="32">
        <f t="shared" si="6"/>
        <v>0.27458563535911601</v>
      </c>
      <c r="J27" s="32">
        <f t="shared" si="6"/>
        <v>0</v>
      </c>
      <c r="K27" s="34">
        <f t="shared" si="6"/>
        <v>0</v>
      </c>
      <c r="L27" s="34">
        <f t="shared" si="6"/>
        <v>0</v>
      </c>
      <c r="M27" s="34">
        <f t="shared" si="7"/>
        <v>0</v>
      </c>
      <c r="N27" s="32">
        <f t="shared" si="8"/>
        <v>4.6283309957924262E-2</v>
      </c>
      <c r="O27" s="32">
        <f t="shared" si="8"/>
        <v>0</v>
      </c>
      <c r="P27" s="34">
        <f t="shared" si="8"/>
        <v>0</v>
      </c>
      <c r="Q27" s="68">
        <f t="shared" si="8"/>
        <v>0</v>
      </c>
      <c r="R27" s="32">
        <f t="shared" si="8"/>
        <v>0</v>
      </c>
      <c r="S27" s="87"/>
      <c r="T27" s="108">
        <f>+GETPIVOTDATA(" Tot # Ast. Prof New",'NEW Counts Pivot Table'!$A$3,"State","AR","Category",1,"Category2","Four-Year")</f>
        <v>170</v>
      </c>
      <c r="U27" s="109">
        <f>+GETPIVOTDATA(" Tot # Ast. Prof New",'NEW Counts Pivot Table'!$A$3,"State","AR","Category",2,"Category2","Four-Year")</f>
        <v>0</v>
      </c>
      <c r="V27" s="109">
        <f>+GETPIVOTDATA(" Tot # Ast. Prof New",'NEW Counts Pivot Table'!$A$3,"State","AR","Category",3,"Category2","Four-Year")</f>
        <v>429</v>
      </c>
      <c r="W27" s="109">
        <f>+GETPIVOTDATA(" Tot # Ast. Prof New",'NEW Counts Pivot Table'!$A$3,"State","AR","Category",4,"Category2","Four-Year")</f>
        <v>145</v>
      </c>
      <c r="X27" s="109">
        <f>+GETPIVOTDATA(" Tot # Ast. Prof New",'NEW Counts Pivot Table'!$A$3,"State","AR","Category",5,"Category2","Four-Year")</f>
        <v>99</v>
      </c>
      <c r="Y27" s="109">
        <f>+GETPIVOTDATA(" Tot # Ast. Prof New",'NEW Counts Pivot Table'!$A$3,"State","AR","Category",6,"Category2","Four-Year")</f>
        <v>151</v>
      </c>
      <c r="Z27" s="111">
        <f>+GETPIVOTDATA(" Tot # Ast. Prof New",'NEW Counts Pivot Table'!$A$3,"State","AR","Category2","Four-Year")</f>
        <v>994</v>
      </c>
      <c r="AA27" s="108">
        <f>+GETPIVOTDATA(" Tot # Ast. Prof New",'NEW Counts Pivot Table'!$A$3,"State","AR","Category",7,"Category2","Group2")</f>
        <v>0</v>
      </c>
      <c r="AB27" s="109">
        <f>+GETPIVOTDATA(" Tot # Ast. Prof New",'NEW Counts Pivot Table'!$A$3,"State","AR","Category",8,"Category2","Group2")</f>
        <v>0</v>
      </c>
      <c r="AC27" s="109">
        <f>+GETPIVOTDATA(" Tot # Ast. Prof New",'NEW Counts Pivot Table'!$A$3,"State","DE","Category",9,"Category2","Group2")</f>
        <v>0</v>
      </c>
      <c r="AD27" s="109">
        <f>+GETPIVOTDATA(" Tot # Ast. Prof New",'NEW Counts Pivot Table'!$A$3,"State","DE","Category",10,"Category2","Group2")</f>
        <v>0</v>
      </c>
      <c r="AE27" s="109">
        <f>+GETPIVOTDATA(" Tot # Ast. Prof New",'NEW Counts Pivot Table'!$A$3,"State","AR","Category","11","Category2","Group2")</f>
        <v>0</v>
      </c>
      <c r="AF27" s="110">
        <f>+GETPIVOTDATA(" Tot # Ast. Prof New",'NEW Counts Pivot Table'!$A$3,"State","AR","Category2","Group2")</f>
        <v>66</v>
      </c>
      <c r="AG27" s="108">
        <f>+GETPIVOTDATA(" Tot # Ast. Prof New",'NEW Counts Pivot Table'!$A$3,"State","AR","Category",12,"Category2","Technical Institutes")</f>
        <v>0</v>
      </c>
      <c r="AH27" s="109">
        <f>+GETPIVOTDATA(" Tot # Ast. Prof New",'NEW Counts Pivot Table'!$A$3,"State","AR","Category",13,"Category2","Technical Institutes")</f>
        <v>0</v>
      </c>
      <c r="AI27" s="110">
        <f>+GETPIVOTDATA(" Tot # Ast. Prof New",'NEW Counts Pivot Table'!$A$3,"State","AR","Category",14,"Category2","Technical Institutes")</f>
        <v>0</v>
      </c>
      <c r="AJ27" s="108">
        <f>+GETPIVOTDATA(" Tot # Ast. Prof New",'NEW Counts Pivot Table'!$A$3,"State","AR","Category2","Technical Institutes")</f>
        <v>0</v>
      </c>
    </row>
    <row r="28" spans="1:38">
      <c r="A28" s="30"/>
      <c r="B28" s="38" t="s">
        <v>335</v>
      </c>
      <c r="C28" s="32">
        <f t="shared" si="6"/>
        <v>0.13550420168067226</v>
      </c>
      <c r="D28" s="34">
        <f t="shared" si="6"/>
        <v>0</v>
      </c>
      <c r="E28" s="34">
        <f t="shared" si="6"/>
        <v>0.19680851063829788</v>
      </c>
      <c r="F28" s="34">
        <f t="shared" si="6"/>
        <v>0.1206140350877193</v>
      </c>
      <c r="G28" s="34">
        <f t="shared" si="6"/>
        <v>0.20833333333333334</v>
      </c>
      <c r="H28" s="68">
        <f t="shared" si="6"/>
        <v>0.29040404040404039</v>
      </c>
      <c r="I28" s="32">
        <f t="shared" si="6"/>
        <v>0.18232044198895028</v>
      </c>
      <c r="J28" s="32">
        <f t="shared" si="6"/>
        <v>0</v>
      </c>
      <c r="K28" s="34">
        <f t="shared" si="6"/>
        <v>0</v>
      </c>
      <c r="L28" s="34">
        <f t="shared" si="6"/>
        <v>0</v>
      </c>
      <c r="M28" s="34">
        <f t="shared" si="7"/>
        <v>0</v>
      </c>
      <c r="N28" s="32">
        <f t="shared" si="8"/>
        <v>0.10589060308555399</v>
      </c>
      <c r="O28" s="32">
        <f t="shared" si="8"/>
        <v>0</v>
      </c>
      <c r="P28" s="34">
        <f t="shared" si="8"/>
        <v>0</v>
      </c>
      <c r="Q28" s="68">
        <f t="shared" si="8"/>
        <v>0</v>
      </c>
      <c r="R28" s="32">
        <f t="shared" si="8"/>
        <v>0</v>
      </c>
      <c r="S28" s="87"/>
      <c r="T28" s="108">
        <f>+GETPIVOTDATA(" Tot # Instr. New",'NEW Counts Pivot Table'!$A$3,"State","AR","Category",1,"Category2","Four-Year")</f>
        <v>129</v>
      </c>
      <c r="U28" s="109">
        <f>+GETPIVOTDATA(" Tot # Instr. New",'NEW Counts Pivot Table'!$A$3,"State","AR","Category",2,"Category2","Four-Year")</f>
        <v>0</v>
      </c>
      <c r="V28" s="109">
        <f>+GETPIVOTDATA(" Tot # Instr. New",'NEW Counts Pivot Table'!$A$3,"State","AR","Category",3,"Category2","Four-Year")</f>
        <v>296</v>
      </c>
      <c r="W28" s="109">
        <f>+GETPIVOTDATA(" Tot # Instr. New",'NEW Counts Pivot Table'!$A$3,"State","AR","Category",4,"Category2","Four-Year")</f>
        <v>55</v>
      </c>
      <c r="X28" s="109">
        <f>+GETPIVOTDATA(" Tot # Instr. New",'NEW Counts Pivot Table'!$A$3,"State","AR","Category",5,"Category2","Four-Year")</f>
        <v>65</v>
      </c>
      <c r="Y28" s="109">
        <f>+GETPIVOTDATA(" Tot # Instr. New",'NEW Counts Pivot Table'!$A$3,"State","AR","Category",6,"Category2","Four-Year")</f>
        <v>115</v>
      </c>
      <c r="Z28" s="111">
        <f>+GETPIVOTDATA(" Tot # Instr. New",'NEW Counts Pivot Table'!$A$3,"State","AR","Category2","Four-Year")</f>
        <v>660</v>
      </c>
      <c r="AA28" s="108">
        <f>+GETPIVOTDATA(" Tot # Instr. New",'NEW Counts Pivot Table'!$A$3,"State","AR","Category",7,"Category2","Group2")</f>
        <v>0</v>
      </c>
      <c r="AB28" s="109">
        <f>+GETPIVOTDATA(" Tot # Instr. New",'NEW Counts Pivot Table'!$A$3,"State","AR","Category",8,"Category2","Group2")</f>
        <v>0</v>
      </c>
      <c r="AC28" s="109">
        <f>+GETPIVOTDATA(" Tot # Instr. New",'NEW Counts Pivot Table'!$A$3,"State","DE","Category",9,"Category2","Group2")</f>
        <v>0</v>
      </c>
      <c r="AD28" s="109">
        <f>+GETPIVOTDATA(" Tot # Instr. New",'NEW Counts Pivot Table'!$A$3,"State","DE","Category",10,"Category2","Group2")</f>
        <v>0</v>
      </c>
      <c r="AE28" s="109">
        <f>+GETPIVOTDATA(" Tot # Instr. New",'NEW Counts Pivot Table'!$A$3,"State","AR","Category","11","Category2","Group2")</f>
        <v>0</v>
      </c>
      <c r="AF28" s="110">
        <f>+GETPIVOTDATA(" Tot # Instr. New",'NEW Counts Pivot Table'!$A$3,"State","AR","Category2","Group2")</f>
        <v>151</v>
      </c>
      <c r="AG28" s="108">
        <f>+GETPIVOTDATA(" Tot # Instr. New",'NEW Counts Pivot Table'!$A$3,"State","AR","Category",12,"Category2","Technical Institutes")</f>
        <v>0</v>
      </c>
      <c r="AH28" s="109">
        <f>+GETPIVOTDATA(" Tot # Instr. New",'NEW Counts Pivot Table'!$A$3,"State","AR","Category",13,"Category2","Technical Institutes")</f>
        <v>0</v>
      </c>
      <c r="AI28" s="110">
        <f>+GETPIVOTDATA(" Tot # Instr. New",'NEW Counts Pivot Table'!$A$3,"State","AR","Category",14,"Category2","Technical Institutes")</f>
        <v>0</v>
      </c>
      <c r="AJ28" s="108">
        <f>+GETPIVOTDATA(" Tot # Instr. New",'NEW Counts Pivot Table'!$A$3,"State","AR","Category2","Technical Institutes")</f>
        <v>0</v>
      </c>
    </row>
    <row r="29" spans="1:38">
      <c r="A29" s="30"/>
      <c r="B29" s="38" t="s">
        <v>315</v>
      </c>
      <c r="C29" s="32">
        <f t="shared" si="6"/>
        <v>7.9831932773109238E-2</v>
      </c>
      <c r="D29" s="34">
        <f t="shared" si="6"/>
        <v>0</v>
      </c>
      <c r="E29" s="34">
        <f t="shared" si="6"/>
        <v>4.3882978723404256E-2</v>
      </c>
      <c r="F29" s="34">
        <f t="shared" si="6"/>
        <v>7.6754385964912283E-2</v>
      </c>
      <c r="G29" s="34">
        <f t="shared" si="6"/>
        <v>0.13461538461538461</v>
      </c>
      <c r="H29" s="68">
        <f t="shared" si="6"/>
        <v>1.7676767676767676E-2</v>
      </c>
      <c r="I29" s="32">
        <f t="shared" si="6"/>
        <v>6.2430939226519336E-2</v>
      </c>
      <c r="J29" s="32">
        <f t="shared" si="6"/>
        <v>0</v>
      </c>
      <c r="K29" s="34">
        <f t="shared" si="6"/>
        <v>0</v>
      </c>
      <c r="L29" s="34">
        <f t="shared" si="6"/>
        <v>0</v>
      </c>
      <c r="M29" s="34">
        <f t="shared" si="7"/>
        <v>0</v>
      </c>
      <c r="N29" s="32">
        <f t="shared" si="8"/>
        <v>0</v>
      </c>
      <c r="O29" s="32">
        <f t="shared" si="8"/>
        <v>0</v>
      </c>
      <c r="P29" s="34">
        <f t="shared" si="8"/>
        <v>0</v>
      </c>
      <c r="Q29" s="68">
        <f t="shared" si="8"/>
        <v>0</v>
      </c>
      <c r="R29" s="32">
        <f t="shared" si="8"/>
        <v>0</v>
      </c>
      <c r="S29" s="87"/>
      <c r="T29" s="108">
        <f>++GETPIVOTDATA(" Tot # Undes. New",'NEW Counts Pivot Table'!$A$3,"State","AR","Category",1,"Category2","Four-Year")</f>
        <v>76</v>
      </c>
      <c r="U29" s="109">
        <f>+GETPIVOTDATA(" Tot # Undes. New",'NEW Counts Pivot Table'!$A$3,"State","AR","Category",2,"Category2","Four-Year")</f>
        <v>0</v>
      </c>
      <c r="V29" s="109">
        <f>+GETPIVOTDATA(" Tot # Undes. New",'NEW Counts Pivot Table'!$A$3,"State","AR","Category",3,"Category2","Four-Year")</f>
        <v>66</v>
      </c>
      <c r="W29" s="109">
        <f>+GETPIVOTDATA(" Tot # Undes. New",'NEW Counts Pivot Table'!$A$3,"State","AR","Category",4,"Category2","Four-Year")</f>
        <v>35</v>
      </c>
      <c r="X29" s="109">
        <f>+GETPIVOTDATA(" Tot # Undes. New",'NEW Counts Pivot Table'!$A$3,"State","AR","Category",5,"Category2","Four-Year")</f>
        <v>42</v>
      </c>
      <c r="Y29" s="109">
        <f>+GETPIVOTDATA(" Tot # Undes. New",'NEW Counts Pivot Table'!$A$3,"State","AR","Category",6,"Category2","Four-Year")</f>
        <v>7</v>
      </c>
      <c r="Z29" s="111">
        <f>+GETPIVOTDATA(" Tot # Undes. New",'NEW Counts Pivot Table'!$A$3,"State","AR","Category2","Four-Year")</f>
        <v>226</v>
      </c>
      <c r="AA29" s="108">
        <f>+GETPIVOTDATA(" Tot # Undes. New",'NEW Counts Pivot Table'!$A$3,"State","AR","Category",7,"Category2","Group2")</f>
        <v>0</v>
      </c>
      <c r="AB29" s="109">
        <f>+GETPIVOTDATA(" Tot # Undes. New",'NEW Counts Pivot Table'!$A$3,"State","AR","Category",8,"Category2","Group2")</f>
        <v>0</v>
      </c>
      <c r="AC29" s="109">
        <f>+GETPIVOTDATA(" Tot # Undes. New",'NEW Counts Pivot Table'!$A$3,"State","DE","Category",9,"Category2","Group2")</f>
        <v>0</v>
      </c>
      <c r="AD29" s="109">
        <f>+GETPIVOTDATA(" Tot # Undes. New",'NEW Counts Pivot Table'!$A$3,"State","DE","Category",10,"Category2","Group2")</f>
        <v>0</v>
      </c>
      <c r="AE29" s="109">
        <f>+GETPIVOTDATA(" Tot # Undes. New",'NEW Counts Pivot Table'!$A$3,"State","AR","Category","11","Category2","Group2")</f>
        <v>0</v>
      </c>
      <c r="AF29" s="110">
        <f>+GETPIVOTDATA(" Tot # Undes. New",'NEW Counts Pivot Table'!$A$3,"State","AR","Category2","Group2")</f>
        <v>0</v>
      </c>
      <c r="AG29" s="108">
        <f>+GETPIVOTDATA(" Tot # Undes. New",'NEW Counts Pivot Table'!$A$3,"State","AR","Category",12,"Category2","Technical Institutes")</f>
        <v>0</v>
      </c>
      <c r="AH29" s="109">
        <f>+GETPIVOTDATA(" Tot # Undes. New",'NEW Counts Pivot Table'!$A$3,"State","AR","Category",13,"Category2","Technical Institutes")</f>
        <v>0</v>
      </c>
      <c r="AI29" s="110">
        <f>+GETPIVOTDATA(" Tot # Undes. New",'NEW Counts Pivot Table'!$A$3,"State","AR","Category",14,"Category2","Technical Institutes")</f>
        <v>0</v>
      </c>
      <c r="AJ29" s="108">
        <f>+GETPIVOTDATA(" Tot # Undes. New",'NEW Counts Pivot Table'!$A$3,"State","AR","Category2","Technical Institutes")</f>
        <v>0</v>
      </c>
    </row>
    <row r="30" spans="1:38">
      <c r="A30" s="30"/>
      <c r="B30" s="38" t="s">
        <v>314</v>
      </c>
      <c r="C30" s="32">
        <f t="shared" si="6"/>
        <v>0</v>
      </c>
      <c r="D30" s="34">
        <f t="shared" si="6"/>
        <v>0</v>
      </c>
      <c r="E30" s="185">
        <f t="shared" si="6"/>
        <v>0</v>
      </c>
      <c r="F30" s="34">
        <f t="shared" si="6"/>
        <v>0</v>
      </c>
      <c r="G30" s="185">
        <f t="shared" si="6"/>
        <v>0</v>
      </c>
      <c r="H30" s="68">
        <f t="shared" si="6"/>
        <v>0</v>
      </c>
      <c r="I30" s="184">
        <f t="shared" si="6"/>
        <v>0</v>
      </c>
      <c r="J30" s="32">
        <f t="shared" si="6"/>
        <v>0</v>
      </c>
      <c r="K30" s="34">
        <f t="shared" si="6"/>
        <v>1</v>
      </c>
      <c r="L30" s="34">
        <f t="shared" si="6"/>
        <v>1</v>
      </c>
      <c r="M30" s="34">
        <f t="shared" si="7"/>
        <v>1</v>
      </c>
      <c r="N30" s="32">
        <f t="shared" si="8"/>
        <v>0.8380084151472651</v>
      </c>
      <c r="O30" s="32">
        <f t="shared" si="8"/>
        <v>0</v>
      </c>
      <c r="P30" s="34">
        <f t="shared" si="8"/>
        <v>0</v>
      </c>
      <c r="Q30" s="68">
        <f t="shared" si="8"/>
        <v>0</v>
      </c>
      <c r="R30" s="32">
        <f t="shared" si="8"/>
        <v>0</v>
      </c>
      <c r="S30" s="87"/>
      <c r="T30" s="108">
        <f>+GETPIVOTDATA(" Tot # Single Rnk New",'NEW Counts Pivot Table'!$A$3,"State","AR","Category",1,"Category2","Four-Year")</f>
        <v>0</v>
      </c>
      <c r="U30" s="109">
        <f>+GETPIVOTDATA(" Tot # Single Rnk New",'NEW Counts Pivot Table'!$A$3,"State","AR","Category",2,"Category2","Four-Year")</f>
        <v>0</v>
      </c>
      <c r="V30" s="109">
        <f>+GETPIVOTDATA(" Tot # Single Rnk New",'NEW Counts Pivot Table'!$A$3,"State","AR","Category",3,"Category2","Four-Year")</f>
        <v>0</v>
      </c>
      <c r="W30" s="109">
        <f>+GETPIVOTDATA(" Tot # Single Rnk New",'NEW Counts Pivot Table'!$A$3,"State","AR","Category",4,"Category2","Four-Year")</f>
        <v>0</v>
      </c>
      <c r="X30" s="109">
        <f>+GETPIVOTDATA(" Tot # Single Rnk New",'NEW Counts Pivot Table'!$A$3,"State","AR","Category",5,"Category2","Four-Year")</f>
        <v>0</v>
      </c>
      <c r="Y30" s="109">
        <f>+GETPIVOTDATA(" Tot # Single Rnk New",'NEW Counts Pivot Table'!$A$3,"State","AR","Category",6,"Category2","Four-Year")</f>
        <v>0</v>
      </c>
      <c r="Z30" s="111">
        <f>+GETPIVOTDATA(" Tot # Single Rnk New",'NEW Counts Pivot Table'!$A$3,"State","AR","Category2","Four-Year")</f>
        <v>0</v>
      </c>
      <c r="AA30" s="108">
        <f>+GETPIVOTDATA(" Tot # Single Rnk New",'NEW Counts Pivot Table'!$A$3,"State","AR","Category",7,"Category2","Group2")</f>
        <v>0</v>
      </c>
      <c r="AB30" s="109">
        <f>+GETPIVOTDATA(" Tot # Single Rnk New",'NEW Counts Pivot Table'!$A$3,"State","AR","Category",8,"Category2","Group2")</f>
        <v>171</v>
      </c>
      <c r="AC30" s="109">
        <f>+GETPIVOTDATA(" Tot # Single Rnk New",'NEW Counts Pivot Table'!$A$3,"State","DE","Category",9,"Category2","Group2")</f>
        <v>300</v>
      </c>
      <c r="AD30" s="109">
        <f>+GETPIVOTDATA(" Tot # Single Rnk New",'NEW Counts Pivot Table'!$A$3,"State","DE","Category",10,"Category2","Group2")</f>
        <v>84</v>
      </c>
      <c r="AE30" s="109">
        <f>+GETPIVOTDATA(" Tot # Single Rnk New",'NEW Counts Pivot Table'!$A$3,"State","AR","Category","11","Category2","Group2")</f>
        <v>0</v>
      </c>
      <c r="AF30" s="110">
        <f>+GETPIVOTDATA(" Tot # Single Rnk New",'NEW Counts Pivot Table'!$A$3,"State","AR","Category2","Group2")</f>
        <v>1195</v>
      </c>
      <c r="AG30" s="108">
        <f>+GETPIVOTDATA(" Tot # Single Rnk New",'NEW Counts Pivot Table'!$A$3,"State","AR","Category",12,"Category2","Technical Institutes")</f>
        <v>0</v>
      </c>
      <c r="AH30" s="109">
        <f>+GETPIVOTDATA(" Tot # Single Rnk New",'NEW Counts Pivot Table'!$A$3,"State","AR","Category",13,"Category2","Technical Institutes")</f>
        <v>0</v>
      </c>
      <c r="AI30" s="110">
        <f>+GETPIVOTDATA(" Tot # Single Rnk New",'NEW Counts Pivot Table'!$A$3,"State","AR","Category",14,"Category2","Technical Institutes")</f>
        <v>0</v>
      </c>
      <c r="AJ30" s="108">
        <f>+GETPIVOTDATA(" Tot # Single Rnk New",'NEW Counts Pivot Table'!$A$3,"State","AR","Category2","Technical Institutes")</f>
        <v>0</v>
      </c>
    </row>
    <row r="31" spans="1:38" s="54" customFormat="1">
      <c r="A31" s="191"/>
      <c r="B31" s="192" t="s">
        <v>316</v>
      </c>
      <c r="C31" s="33">
        <f t="shared" si="6"/>
        <v>1</v>
      </c>
      <c r="D31" s="31">
        <f t="shared" si="6"/>
        <v>0</v>
      </c>
      <c r="E31" s="31">
        <f t="shared" si="6"/>
        <v>1</v>
      </c>
      <c r="F31" s="31">
        <f t="shared" si="6"/>
        <v>1</v>
      </c>
      <c r="G31" s="31">
        <f t="shared" si="6"/>
        <v>1</v>
      </c>
      <c r="H31" s="69">
        <f t="shared" si="6"/>
        <v>1</v>
      </c>
      <c r="I31" s="33">
        <f t="shared" si="6"/>
        <v>1</v>
      </c>
      <c r="J31" s="33">
        <f t="shared" si="6"/>
        <v>0</v>
      </c>
      <c r="K31" s="31">
        <f t="shared" si="6"/>
        <v>1</v>
      </c>
      <c r="L31" s="31">
        <f t="shared" si="6"/>
        <v>1</v>
      </c>
      <c r="M31" s="31">
        <f t="shared" si="7"/>
        <v>1</v>
      </c>
      <c r="N31" s="33">
        <f t="shared" si="8"/>
        <v>1</v>
      </c>
      <c r="O31" s="33">
        <f t="shared" si="8"/>
        <v>0</v>
      </c>
      <c r="P31" s="31">
        <f t="shared" si="8"/>
        <v>0</v>
      </c>
      <c r="Q31" s="69">
        <f t="shared" si="8"/>
        <v>0</v>
      </c>
      <c r="R31" s="33">
        <f t="shared" si="8"/>
        <v>0</v>
      </c>
      <c r="S31" s="88"/>
      <c r="T31" s="112">
        <f>+GETPIVOTDATA(" All Ranks # New",'NEW Counts Pivot Table'!$A$3,"State","AR","Category",1,"Category2","Four-Year")</f>
        <v>952</v>
      </c>
      <c r="U31" s="113">
        <f>+GETPIVOTDATA(" All Ranks # New",'NEW Counts Pivot Table'!$A$3,"State","AR","Category",2,"Category2","Four-Year")</f>
        <v>0</v>
      </c>
      <c r="V31" s="113">
        <f>+GETPIVOTDATA(" All Ranks # New",'NEW Counts Pivot Table'!$A$3,"State","AR","Category",3,"Category2","Four-Year")</f>
        <v>1504</v>
      </c>
      <c r="W31" s="113">
        <f>+GETPIVOTDATA(" All Ranks # New",'NEW Counts Pivot Table'!$A$3,"State","AR","Category",4,"Category2","Four-Year")</f>
        <v>456</v>
      </c>
      <c r="X31" s="113">
        <f>+GETPIVOTDATA(" All Ranks # New",'NEW Counts Pivot Table'!$A$3,"State","AR","Category",5,"Category2","Four-Year")</f>
        <v>312</v>
      </c>
      <c r="Y31" s="113">
        <f>+GETPIVOTDATA(" All Ranks # New",'NEW Counts Pivot Table'!$A$3,"State","AR","Category",6,"Category2","Four-Year")</f>
        <v>396</v>
      </c>
      <c r="Z31" s="115">
        <f>+GETPIVOTDATA(" All Ranks # New",'NEW Counts Pivot Table'!$A$3,"State","AR","Category2","Four-Year")</f>
        <v>3620</v>
      </c>
      <c r="AA31" s="112">
        <f>+GETPIVOTDATA(" All Ranks # New",'NEW Counts Pivot Table'!$A$3,"State","AR","Category",7,"Category2","Group2")</f>
        <v>0</v>
      </c>
      <c r="AB31" s="113">
        <f>+GETPIVOTDATA(" All Ranks # New",'NEW Counts Pivot Table'!$A$3,"State","AR","Category",8,"Category2","Group2")</f>
        <v>171</v>
      </c>
      <c r="AC31" s="113">
        <f>+GETPIVOTDATA(" All Ranks # New",'NEW Counts Pivot Table'!$A$3,"State","DE","Category",9,"Category2","Group2")</f>
        <v>300</v>
      </c>
      <c r="AD31" s="113">
        <f>+GETPIVOTDATA(" All Ranks # New",'NEW Counts Pivot Table'!$A$3,"State","DE","Category",10,"Category2","Group2")</f>
        <v>84</v>
      </c>
      <c r="AE31" s="113">
        <f>+GETPIVOTDATA(" All Ranks # New",'NEW Counts Pivot Table'!$A$3,"State","AR","Category","11","Category2","Group2")</f>
        <v>0</v>
      </c>
      <c r="AF31" s="114">
        <f>+GETPIVOTDATA(" All Ranks # New",'NEW Counts Pivot Table'!$A$3,"State","AR","Category2","Group2")</f>
        <v>1426</v>
      </c>
      <c r="AG31" s="112">
        <f>+GETPIVOTDATA(" All Ranks # New",'NEW Counts Pivot Table'!$A$3,"State","AR","Category",12,"Category2","Technical Institutes")</f>
        <v>0</v>
      </c>
      <c r="AH31" s="113">
        <f>+GETPIVOTDATA(" All Ranks # New",'NEW Counts Pivot Table'!$A$3,"State","AR","Category",13,"Category2","Technical Institutes")</f>
        <v>0</v>
      </c>
      <c r="AI31" s="114">
        <f>+GETPIVOTDATA(" All Ranks # New",'NEW Counts Pivot Table'!$A$3,"State","AR","Category",14,"Category2","Technical Institutes")</f>
        <v>0</v>
      </c>
      <c r="AJ31" s="112">
        <f>+GETPIVOTDATA(" All Ranks # New",'NEW Counts Pivot Table'!$A$3,"State","AR","Category2","Technical Institutes")</f>
        <v>0</v>
      </c>
      <c r="AK31" s="116"/>
      <c r="AL31" s="116"/>
    </row>
    <row r="32" spans="1:38">
      <c r="A32" s="38" t="s">
        <v>339</v>
      </c>
      <c r="B32" s="35" t="s">
        <v>332</v>
      </c>
      <c r="C32" s="36">
        <f t="shared" ref="C32:L38" si="9">IF(T$38&gt;0,(T32/T$38),0)</f>
        <v>0.33658969804618116</v>
      </c>
      <c r="D32" s="37">
        <f t="shared" si="9"/>
        <v>0</v>
      </c>
      <c r="E32" s="37">
        <f t="shared" si="9"/>
        <v>0</v>
      </c>
      <c r="F32" s="37">
        <f t="shared" si="9"/>
        <v>0.18181818181818182</v>
      </c>
      <c r="G32" s="37">
        <f t="shared" si="9"/>
        <v>0</v>
      </c>
      <c r="H32" s="67">
        <f t="shared" si="9"/>
        <v>0</v>
      </c>
      <c r="I32" s="36">
        <f t="shared" si="9"/>
        <v>0.31344410876132933</v>
      </c>
      <c r="J32" s="36">
        <f t="shared" si="9"/>
        <v>0</v>
      </c>
      <c r="K32" s="37">
        <f t="shared" si="9"/>
        <v>0</v>
      </c>
      <c r="L32" s="37">
        <f t="shared" si="9"/>
        <v>0</v>
      </c>
      <c r="M32" s="37">
        <f t="shared" ref="M32:M38" si="10">IF(AD$38&gt;0,(AD32/AD$38),0)</f>
        <v>0</v>
      </c>
      <c r="N32" s="36">
        <f t="shared" ref="N32:R38" si="11">IF(AF$38&gt;0,(AF32/AF$38),0)</f>
        <v>0</v>
      </c>
      <c r="O32" s="152">
        <f t="shared" si="11"/>
        <v>0</v>
      </c>
      <c r="P32" s="37">
        <f t="shared" si="11"/>
        <v>0</v>
      </c>
      <c r="Q32" s="67">
        <f t="shared" si="11"/>
        <v>0</v>
      </c>
      <c r="R32" s="152">
        <f t="shared" si="11"/>
        <v>0</v>
      </c>
      <c r="S32" s="117"/>
      <c r="T32" s="104">
        <f>+GETPIVOTDATA(" Total # Prof New",'NEW Counts Pivot Table'!$A$3,"State","DE","Category",1,"Category2","Four-Year")</f>
        <v>379</v>
      </c>
      <c r="U32" s="105">
        <f>+GETPIVOTDATA(" Total # Prof New",'NEW Counts Pivot Table'!$A$3,"State","DE","Category",2,"Category2","Four-Year")</f>
        <v>0</v>
      </c>
      <c r="V32" s="105">
        <f>+GETPIVOTDATA(" Total # Prof New",'NEW Counts Pivot Table'!$A$3,"State","DE","Category",3,"Category2","Four-Year")</f>
        <v>0</v>
      </c>
      <c r="W32" s="105">
        <f>+GETPIVOTDATA(" Total # Prof New",'NEW Counts Pivot Table'!$A$3,"State","DE","Category",4,"Category2","Four-Year")</f>
        <v>36</v>
      </c>
      <c r="X32" s="105">
        <f>+GETPIVOTDATA(" Total # Prof New",'NEW Counts Pivot Table'!$A$3,"State","DE","Category",5,"Category2","Four-Year")</f>
        <v>0</v>
      </c>
      <c r="Y32" s="105">
        <f>+GETPIVOTDATA(" Total # Prof New",'NEW Counts Pivot Table'!$A$3,"State","DE","Category",6,"Category2","Four-Year")</f>
        <v>0</v>
      </c>
      <c r="Z32" s="107">
        <f>+GETPIVOTDATA(" Total # Prof New",'NEW Counts Pivot Table'!$A$3,"State","DE","Category2","Four-Year")</f>
        <v>415</v>
      </c>
      <c r="AA32" s="104">
        <f>+GETPIVOTDATA(" Total # Prof New",'NEW Counts Pivot Table'!$A$3,"State","AR","Category",7,"Category2","Group2")</f>
        <v>0</v>
      </c>
      <c r="AB32" s="105">
        <f>+GETPIVOTDATA(" Total # Prof New",'NEW Counts Pivot Table'!$A$3,"State","AR","Category",8,"Category2","Group2")</f>
        <v>0</v>
      </c>
      <c r="AC32" s="105">
        <f>+GETPIVOTDATA(" Total # Prof New",'NEW Counts Pivot Table'!$A$3,"State","DE","Category",9,"Category2","Group2")</f>
        <v>0</v>
      </c>
      <c r="AD32" s="105">
        <f>+GETPIVOTDATA(" Total # Prof New",'NEW Counts Pivot Table'!$A$3,"State","DE","Category",10,"Category2","Group2")</f>
        <v>0</v>
      </c>
      <c r="AE32" s="105">
        <f>+GETPIVOTDATA(" Total # Prof New",'NEW Counts Pivot Table'!$A$3,"State","DE","Category","11","Category2","Group2")</f>
        <v>0</v>
      </c>
      <c r="AF32" s="106">
        <f>+GETPIVOTDATA(" Total # Prof New",'NEW Counts Pivot Table'!$A$3,"State","DE","Category2","Group2")</f>
        <v>0</v>
      </c>
      <c r="AG32" s="104">
        <f>+GETPIVOTDATA(" Total # Prof New",'NEW Counts Pivot Table'!$A$3,"State","DE","Category",12,"Category2","Technical Institutes")</f>
        <v>0</v>
      </c>
      <c r="AH32" s="105">
        <f>+GETPIVOTDATA(" Total # Prof New",'NEW Counts Pivot Table'!$A$3,"State","DE","Category",13,"Category2","Technical Institutes")</f>
        <v>0</v>
      </c>
      <c r="AI32" s="106">
        <f>+GETPIVOTDATA(" Total # Prof New",'NEW Counts Pivot Table'!$A$3,"State","DE","Category",14,"Category2","Technical Institutes")</f>
        <v>0</v>
      </c>
      <c r="AJ32" s="104">
        <f>+GETPIVOTDATA(" Total # Prof New",'NEW Counts Pivot Table'!$A$3,"State","DE","Category2","Technical Institutes")</f>
        <v>0</v>
      </c>
    </row>
    <row r="33" spans="1:38">
      <c r="A33" s="30"/>
      <c r="B33" s="38" t="s">
        <v>333</v>
      </c>
      <c r="C33" s="32">
        <f t="shared" si="9"/>
        <v>0.31083481349911191</v>
      </c>
      <c r="D33" s="34">
        <f t="shared" si="9"/>
        <v>0</v>
      </c>
      <c r="E33" s="34">
        <f t="shared" si="9"/>
        <v>0</v>
      </c>
      <c r="F33" s="34">
        <f t="shared" si="9"/>
        <v>0.43434343434343436</v>
      </c>
      <c r="G33" s="34">
        <f t="shared" si="9"/>
        <v>0</v>
      </c>
      <c r="H33" s="68">
        <f t="shared" si="9"/>
        <v>0</v>
      </c>
      <c r="I33" s="32">
        <f t="shared" si="9"/>
        <v>0.32930513595166161</v>
      </c>
      <c r="J33" s="32">
        <f t="shared" si="9"/>
        <v>0</v>
      </c>
      <c r="K33" s="34">
        <f t="shared" si="9"/>
        <v>0</v>
      </c>
      <c r="L33" s="34">
        <f t="shared" si="9"/>
        <v>0</v>
      </c>
      <c r="M33" s="34">
        <f t="shared" si="10"/>
        <v>0</v>
      </c>
      <c r="N33" s="32">
        <f t="shared" si="11"/>
        <v>0</v>
      </c>
      <c r="O33" s="32">
        <f t="shared" si="11"/>
        <v>0</v>
      </c>
      <c r="P33" s="34">
        <f t="shared" si="11"/>
        <v>0</v>
      </c>
      <c r="Q33" s="68">
        <f t="shared" si="11"/>
        <v>0</v>
      </c>
      <c r="R33" s="32">
        <f t="shared" si="11"/>
        <v>0</v>
      </c>
      <c r="S33" s="87"/>
      <c r="T33" s="108">
        <f>+GETPIVOTDATA(" Tot # Asc. Prof New",'NEW Counts Pivot Table'!$A$3,"State","DE","Category",1,"Category2","Four-Year")</f>
        <v>350</v>
      </c>
      <c r="U33" s="109">
        <f>+GETPIVOTDATA(" Tot # Asc. Prof New",'NEW Counts Pivot Table'!$A$3,"State","DE","Category",2,"Category2","Four-Year")</f>
        <v>0</v>
      </c>
      <c r="V33" s="109">
        <f>+GETPIVOTDATA(" Tot # Asc. Prof New",'NEW Counts Pivot Table'!$A$3,"State","DE","Category",3,"Category2","Four-Year")</f>
        <v>0</v>
      </c>
      <c r="W33" s="109">
        <f>+GETPIVOTDATA(" Tot # Asc. Prof New",'NEW Counts Pivot Table'!$A$3,"State","DE","Category",4,"Category2","Four-Year")</f>
        <v>86</v>
      </c>
      <c r="X33" s="109">
        <f>+GETPIVOTDATA(" Tot # Asc. Prof New",'NEW Counts Pivot Table'!$A$3,"State","DE","Category",5,"Category2","Four-Year")</f>
        <v>0</v>
      </c>
      <c r="Y33" s="109">
        <f>+GETPIVOTDATA(" Tot # Asc. Prof New",'NEW Counts Pivot Table'!$A$3,"State","DE","Category",6,"Category2","Four-Year")</f>
        <v>0</v>
      </c>
      <c r="Z33" s="111">
        <f>+GETPIVOTDATA(" Tot # Asc. Prof New",'NEW Counts Pivot Table'!$A$3,"State","DE","Category2","Four-Year")</f>
        <v>436</v>
      </c>
      <c r="AA33" s="108">
        <f>+GETPIVOTDATA(" Tot # Asc. Prof New",'NEW Counts Pivot Table'!$A$3,"State","AR","Category",7,"Category2","Group2")</f>
        <v>0</v>
      </c>
      <c r="AB33" s="109">
        <f>+GETPIVOTDATA(" Tot # Asc. Prof New",'NEW Counts Pivot Table'!$A$3,"State","AR","Category",8,"Category2","Group2")</f>
        <v>0</v>
      </c>
      <c r="AC33" s="109">
        <f>+GETPIVOTDATA(" Tot # Asc. Prof New",'NEW Counts Pivot Table'!$A$3,"State","DE","Category",9,"Category2","Group2")</f>
        <v>0</v>
      </c>
      <c r="AD33" s="109">
        <f>+GETPIVOTDATA(" Tot # Asc. Prof New",'NEW Counts Pivot Table'!$A$3,"State","DE","Category",10,"Category2","Group2")</f>
        <v>0</v>
      </c>
      <c r="AE33" s="109">
        <f>+GETPIVOTDATA(" Tot # Asc. Prof New",'NEW Counts Pivot Table'!$A$3,"State","DE","Category","11","Category2","Group2")</f>
        <v>0</v>
      </c>
      <c r="AF33" s="110">
        <f>+GETPIVOTDATA(" Tot # Asc. Prof New",'NEW Counts Pivot Table'!$A$3,"State","DE","Category2","Group2")</f>
        <v>0</v>
      </c>
      <c r="AG33" s="108">
        <f>+GETPIVOTDATA(" Tot # Asc. Prof New",'NEW Counts Pivot Table'!$A$3,"State","DE","Category",12,"Category2","Technical Institutes")</f>
        <v>0</v>
      </c>
      <c r="AH33" s="109">
        <f>+GETPIVOTDATA(" Tot # Asc. Prof New",'NEW Counts Pivot Table'!$A$3,"State","DE","Category",13,"Category2","Technical Institutes")</f>
        <v>0</v>
      </c>
      <c r="AI33" s="110">
        <f>+GETPIVOTDATA(" Tot # Asc. Prof New",'NEW Counts Pivot Table'!$A$3,"State","DE","Category",14,"Category2","Technical Institutes")</f>
        <v>0</v>
      </c>
      <c r="AJ33" s="108">
        <f>+GETPIVOTDATA(" Tot # Asc. Prof New",'NEW Counts Pivot Table'!$A$3,"State","DE","Category2","Technical Institutes")</f>
        <v>0</v>
      </c>
    </row>
    <row r="34" spans="1:38">
      <c r="A34" s="30"/>
      <c r="B34" s="38" t="s">
        <v>334</v>
      </c>
      <c r="C34" s="32">
        <f t="shared" si="9"/>
        <v>0.25754884547069273</v>
      </c>
      <c r="D34" s="34">
        <f t="shared" si="9"/>
        <v>0</v>
      </c>
      <c r="E34" s="34">
        <f t="shared" si="9"/>
        <v>0</v>
      </c>
      <c r="F34" s="34">
        <f t="shared" si="9"/>
        <v>0.31818181818181818</v>
      </c>
      <c r="G34" s="34">
        <f t="shared" si="9"/>
        <v>0</v>
      </c>
      <c r="H34" s="68">
        <f t="shared" si="9"/>
        <v>0</v>
      </c>
      <c r="I34" s="32">
        <f t="shared" si="9"/>
        <v>0.26661631419939574</v>
      </c>
      <c r="J34" s="32">
        <f t="shared" si="9"/>
        <v>0</v>
      </c>
      <c r="K34" s="34">
        <f t="shared" si="9"/>
        <v>0</v>
      </c>
      <c r="L34" s="34">
        <f t="shared" si="9"/>
        <v>0</v>
      </c>
      <c r="M34" s="34">
        <f t="shared" si="10"/>
        <v>0</v>
      </c>
      <c r="N34" s="32">
        <f t="shared" si="11"/>
        <v>0</v>
      </c>
      <c r="O34" s="32">
        <f t="shared" si="11"/>
        <v>0</v>
      </c>
      <c r="P34" s="34">
        <f t="shared" si="11"/>
        <v>0</v>
      </c>
      <c r="Q34" s="68">
        <f t="shared" si="11"/>
        <v>0</v>
      </c>
      <c r="R34" s="32">
        <f t="shared" si="11"/>
        <v>0</v>
      </c>
      <c r="S34" s="87"/>
      <c r="T34" s="108">
        <f>+GETPIVOTDATA(" Tot # Ast. Prof New",'NEW Counts Pivot Table'!$A$3,"State","DE","Category",1,"Category2","Four-Year")</f>
        <v>290</v>
      </c>
      <c r="U34" s="109">
        <f>+GETPIVOTDATA(" Tot # Ast. Prof New",'NEW Counts Pivot Table'!$A$3,"State","DE","Category",2,"Category2","Four-Year")</f>
        <v>0</v>
      </c>
      <c r="V34" s="109">
        <f>+GETPIVOTDATA(" Tot # Ast. Prof New",'NEW Counts Pivot Table'!$A$3,"State","DE","Category",3,"Category2","Four-Year")</f>
        <v>0</v>
      </c>
      <c r="W34" s="109">
        <f>+GETPIVOTDATA(" Tot # Ast. Prof New",'NEW Counts Pivot Table'!$A$3,"State","DE","Category",4,"Category2","Four-Year")</f>
        <v>63</v>
      </c>
      <c r="X34" s="109">
        <f>+GETPIVOTDATA(" Tot # Ast. Prof New",'NEW Counts Pivot Table'!$A$3,"State","DE","Category",5,"Category2","Four-Year")</f>
        <v>0</v>
      </c>
      <c r="Y34" s="109">
        <f>+GETPIVOTDATA(" Tot # Ast. Prof New",'NEW Counts Pivot Table'!$A$3,"State","DE","Category",6,"Category2","Four-Year")</f>
        <v>0</v>
      </c>
      <c r="Z34" s="111">
        <f>+GETPIVOTDATA(" Tot # Ast. Prof New",'NEW Counts Pivot Table'!$A$3,"State","DE","Category2","Four-Year")</f>
        <v>353</v>
      </c>
      <c r="AA34" s="108">
        <f>+GETPIVOTDATA(" Tot # Ast. Prof New",'NEW Counts Pivot Table'!$A$3,"State","AR","Category",7,"Category2","Group2")</f>
        <v>0</v>
      </c>
      <c r="AB34" s="109">
        <f>+GETPIVOTDATA(" Tot # Ast. Prof New",'NEW Counts Pivot Table'!$A$3,"State","AR","Category",8,"Category2","Group2")</f>
        <v>0</v>
      </c>
      <c r="AC34" s="109">
        <f>+GETPIVOTDATA(" Tot # Ast. Prof New",'NEW Counts Pivot Table'!$A$3,"State","DE","Category",9,"Category2","Group2")</f>
        <v>0</v>
      </c>
      <c r="AD34" s="109">
        <f>+GETPIVOTDATA(" Tot # Ast. Prof New",'NEW Counts Pivot Table'!$A$3,"State","DE","Category",10,"Category2","Group2")</f>
        <v>0</v>
      </c>
      <c r="AE34" s="109">
        <f>+GETPIVOTDATA(" Tot # Ast. Prof New",'NEW Counts Pivot Table'!$A$3,"State","DE","Category","11","Category2","Group2")</f>
        <v>0</v>
      </c>
      <c r="AF34" s="110">
        <f>+GETPIVOTDATA(" Tot # Ast. Prof New",'NEW Counts Pivot Table'!$A$3,"State","DE","Category2","Group2")</f>
        <v>0</v>
      </c>
      <c r="AG34" s="108">
        <f>+GETPIVOTDATA(" Tot # Ast. Prof New",'NEW Counts Pivot Table'!$A$3,"State","DE","Category",12,"Category2","Technical Institutes")</f>
        <v>0</v>
      </c>
      <c r="AH34" s="109">
        <f>+GETPIVOTDATA(" Tot # Ast. Prof New",'NEW Counts Pivot Table'!$A$3,"State","DE","Category",13,"Category2","Technical Institutes")</f>
        <v>0</v>
      </c>
      <c r="AI34" s="110">
        <f>+GETPIVOTDATA(" Tot # Ast. Prof New",'NEW Counts Pivot Table'!$A$3,"State","DE","Category",14,"Category2","Technical Institutes")</f>
        <v>0</v>
      </c>
      <c r="AJ34" s="108">
        <f>+GETPIVOTDATA(" Tot # Ast. Prof New",'NEW Counts Pivot Table'!$A$3,"State","DE","Category2","Technical Institutes")</f>
        <v>0</v>
      </c>
    </row>
    <row r="35" spans="1:38">
      <c r="A35" s="30"/>
      <c r="B35" s="38" t="s">
        <v>335</v>
      </c>
      <c r="C35" s="32">
        <f t="shared" si="9"/>
        <v>9.5026642984014212E-2</v>
      </c>
      <c r="D35" s="34">
        <f t="shared" si="9"/>
        <v>0</v>
      </c>
      <c r="E35" s="34">
        <f t="shared" si="9"/>
        <v>0</v>
      </c>
      <c r="F35" s="34">
        <f t="shared" si="9"/>
        <v>5.5555555555555552E-2</v>
      </c>
      <c r="G35" s="34">
        <f t="shared" si="9"/>
        <v>0</v>
      </c>
      <c r="H35" s="68">
        <f t="shared" si="9"/>
        <v>0</v>
      </c>
      <c r="I35" s="32">
        <f t="shared" si="9"/>
        <v>8.9123867069486398E-2</v>
      </c>
      <c r="J35" s="32">
        <f t="shared" si="9"/>
        <v>0</v>
      </c>
      <c r="K35" s="34">
        <f t="shared" si="9"/>
        <v>0</v>
      </c>
      <c r="L35" s="34">
        <f t="shared" si="9"/>
        <v>0</v>
      </c>
      <c r="M35" s="34">
        <f t="shared" si="10"/>
        <v>0</v>
      </c>
      <c r="N35" s="32">
        <f t="shared" si="11"/>
        <v>0</v>
      </c>
      <c r="O35" s="32">
        <f t="shared" si="11"/>
        <v>0</v>
      </c>
      <c r="P35" s="34">
        <f t="shared" si="11"/>
        <v>0</v>
      </c>
      <c r="Q35" s="68">
        <f t="shared" si="11"/>
        <v>0</v>
      </c>
      <c r="R35" s="32">
        <f t="shared" si="11"/>
        <v>0</v>
      </c>
      <c r="S35" s="87"/>
      <c r="T35" s="108">
        <f>+GETPIVOTDATA(" Tot # Instr. New",'NEW Counts Pivot Table'!$A$3,"State","DE","Category",1,"Category2","Four-Year")</f>
        <v>107</v>
      </c>
      <c r="U35" s="109">
        <f>+GETPIVOTDATA(" Tot # Instr. New",'NEW Counts Pivot Table'!$A$3,"State","DE","Category",2,"Category2","Four-Year")</f>
        <v>0</v>
      </c>
      <c r="V35" s="109">
        <f>+GETPIVOTDATA(" Tot # Instr. New",'NEW Counts Pivot Table'!$A$3,"State","DE","Category",3,"Category2","Four-Year")</f>
        <v>0</v>
      </c>
      <c r="W35" s="109">
        <f>+GETPIVOTDATA(" Tot # Instr. New",'NEW Counts Pivot Table'!$A$3,"State","DE","Category",4,"Category2","Four-Year")</f>
        <v>11</v>
      </c>
      <c r="X35" s="109">
        <f>+GETPIVOTDATA(" Tot # Instr. New",'NEW Counts Pivot Table'!$A$3,"State","DE","Category",5,"Category2","Four-Year")</f>
        <v>0</v>
      </c>
      <c r="Y35" s="109">
        <f>+GETPIVOTDATA(" Tot # Instr. New",'NEW Counts Pivot Table'!$A$3,"State","DE","Category",6,"Category2","Four-Year")</f>
        <v>0</v>
      </c>
      <c r="Z35" s="111">
        <f>+GETPIVOTDATA(" Tot # Instr. New",'NEW Counts Pivot Table'!$A$3,"State","DE","Category2","Four-Year")</f>
        <v>118</v>
      </c>
      <c r="AA35" s="108">
        <f>+GETPIVOTDATA(" Tot # Instr. New",'NEW Counts Pivot Table'!$A$3,"State","AR","Category",7,"Category2","Group2")</f>
        <v>0</v>
      </c>
      <c r="AB35" s="109">
        <f>+GETPIVOTDATA(" Tot # Instr. New",'NEW Counts Pivot Table'!$A$3,"State","AR","Category",8,"Category2","Group2")</f>
        <v>0</v>
      </c>
      <c r="AC35" s="109">
        <f>+GETPIVOTDATA(" Tot # Instr. New",'NEW Counts Pivot Table'!$A$3,"State","DE","Category",9,"Category2","Group2")</f>
        <v>0</v>
      </c>
      <c r="AD35" s="109">
        <f>+GETPIVOTDATA(" Tot # Instr. New",'NEW Counts Pivot Table'!$A$3,"State","DE","Category",10,"Category2","Group2")</f>
        <v>0</v>
      </c>
      <c r="AE35" s="109">
        <f>+GETPIVOTDATA(" Tot # Instr. New",'NEW Counts Pivot Table'!$A$3,"State","DE","Category","11","Category2","Group2")</f>
        <v>0</v>
      </c>
      <c r="AF35" s="110">
        <f>+GETPIVOTDATA(" Tot # Instr. New",'NEW Counts Pivot Table'!$A$3,"State","DE","Category2","Group2")</f>
        <v>0</v>
      </c>
      <c r="AG35" s="108">
        <f>+GETPIVOTDATA(" Tot # Instr. New",'NEW Counts Pivot Table'!$A$3,"State","DE","Category",12,"Category2","Technical Institutes")</f>
        <v>0</v>
      </c>
      <c r="AH35" s="109">
        <f>+GETPIVOTDATA(" Tot # Instr. New",'NEW Counts Pivot Table'!$A$3,"State","DE","Category",13,"Category2","Technical Institutes")</f>
        <v>0</v>
      </c>
      <c r="AI35" s="110">
        <f>+GETPIVOTDATA(" Tot # Instr. New",'NEW Counts Pivot Table'!$A$3,"State","DE","Category",14,"Category2","Technical Institutes")</f>
        <v>0</v>
      </c>
      <c r="AJ35" s="108">
        <f>+GETPIVOTDATA(" Tot # Instr. New",'NEW Counts Pivot Table'!$A$3,"State","DE","Category2","Technical Institutes")</f>
        <v>0</v>
      </c>
    </row>
    <row r="36" spans="1:38">
      <c r="A36" s="30"/>
      <c r="B36" s="38" t="s">
        <v>315</v>
      </c>
      <c r="C36" s="237">
        <f t="shared" si="9"/>
        <v>0</v>
      </c>
      <c r="D36" s="34">
        <f t="shared" si="9"/>
        <v>0</v>
      </c>
      <c r="E36" s="34">
        <f t="shared" si="9"/>
        <v>0</v>
      </c>
      <c r="F36" s="34">
        <f t="shared" si="9"/>
        <v>1.0101010101010102E-2</v>
      </c>
      <c r="G36" s="34">
        <f t="shared" si="9"/>
        <v>0</v>
      </c>
      <c r="H36" s="68">
        <f t="shared" si="9"/>
        <v>0</v>
      </c>
      <c r="I36" s="237">
        <f t="shared" si="9"/>
        <v>1.5105740181268882E-3</v>
      </c>
      <c r="J36" s="32">
        <f t="shared" si="9"/>
        <v>0</v>
      </c>
      <c r="K36" s="34">
        <f t="shared" si="9"/>
        <v>0</v>
      </c>
      <c r="L36" s="34">
        <f t="shared" si="9"/>
        <v>0</v>
      </c>
      <c r="M36" s="34">
        <f t="shared" si="10"/>
        <v>0</v>
      </c>
      <c r="N36" s="32">
        <f t="shared" si="11"/>
        <v>0</v>
      </c>
      <c r="O36" s="32">
        <f t="shared" si="11"/>
        <v>0</v>
      </c>
      <c r="P36" s="34">
        <f t="shared" si="11"/>
        <v>0</v>
      </c>
      <c r="Q36" s="68">
        <f t="shared" si="11"/>
        <v>0</v>
      </c>
      <c r="R36" s="32">
        <f t="shared" si="11"/>
        <v>0</v>
      </c>
      <c r="S36" s="87"/>
      <c r="T36" s="108">
        <f>++GETPIVOTDATA(" Tot # Undes. New",'NEW Counts Pivot Table'!$A$3,"State","DE","Category",1,"Category2","Four-Year")</f>
        <v>0</v>
      </c>
      <c r="U36" s="109">
        <f>+GETPIVOTDATA(" Tot # Undes. New",'NEW Counts Pivot Table'!$A$3,"State","DE","Category",2,"Category2","Four-Year")</f>
        <v>0</v>
      </c>
      <c r="V36" s="109">
        <f>+GETPIVOTDATA(" Tot # Undes. New",'NEW Counts Pivot Table'!$A$3,"State","DE","Category",3,"Category2","Four-Year")</f>
        <v>0</v>
      </c>
      <c r="W36" s="109">
        <f>+GETPIVOTDATA(" Tot # Undes. New",'NEW Counts Pivot Table'!$A$3,"State","DE","Category",4,"Category2","Four-Year")</f>
        <v>2</v>
      </c>
      <c r="X36" s="109">
        <f>+GETPIVOTDATA(" Tot # Undes. New",'NEW Counts Pivot Table'!$A$3,"State","DE","Category",5,"Category2","Four-Year")</f>
        <v>0</v>
      </c>
      <c r="Y36" s="109">
        <f>+GETPIVOTDATA(" Tot # Undes. New",'NEW Counts Pivot Table'!$A$3,"State","DE","Category",6,"Category2","Four-Year")</f>
        <v>0</v>
      </c>
      <c r="Z36" s="111">
        <f>+GETPIVOTDATA(" Tot # Undes. New",'NEW Counts Pivot Table'!$A$3,"State","DE","Category2","Four-Year")</f>
        <v>2</v>
      </c>
      <c r="AA36" s="108">
        <f>+GETPIVOTDATA(" Tot # Undes. New",'NEW Counts Pivot Table'!$A$3,"State","AR","Category",7,"Category2","Group2")</f>
        <v>0</v>
      </c>
      <c r="AB36" s="109">
        <f>+GETPIVOTDATA(" Tot # Undes. New",'NEW Counts Pivot Table'!$A$3,"State","AR","Category",8,"Category2","Group2")</f>
        <v>0</v>
      </c>
      <c r="AC36" s="109">
        <f>+GETPIVOTDATA(" Tot # Undes. New",'NEW Counts Pivot Table'!$A$3,"State","DE","Category",9,"Category2","Group2")</f>
        <v>0</v>
      </c>
      <c r="AD36" s="109">
        <f>+GETPIVOTDATA(" Tot # Undes. New",'NEW Counts Pivot Table'!$A$3,"State","DE","Category",10,"Category2","Group2")</f>
        <v>0</v>
      </c>
      <c r="AE36" s="109">
        <f>+GETPIVOTDATA(" Tot # Undes. New",'NEW Counts Pivot Table'!$A$3,"State","DE","Category","11","Category2","Group2")</f>
        <v>0</v>
      </c>
      <c r="AF36" s="110">
        <f>+GETPIVOTDATA(" Tot # Undes. New",'NEW Counts Pivot Table'!$A$3,"State","DE","Category2","Group2")</f>
        <v>0</v>
      </c>
      <c r="AG36" s="108">
        <f>+GETPIVOTDATA(" Tot # Undes. New",'NEW Counts Pivot Table'!$A$3,"State","DE","Category",12,"Category2","Technical Institutes")</f>
        <v>0</v>
      </c>
      <c r="AH36" s="109">
        <f>+GETPIVOTDATA(" Tot # Undes. New",'NEW Counts Pivot Table'!$A$3,"State","DE","Category",13,"Category2","Technical Institutes")</f>
        <v>0</v>
      </c>
      <c r="AI36" s="110">
        <f>+GETPIVOTDATA(" Tot # Undes. New",'NEW Counts Pivot Table'!$A$3,"State","DE","Category",14,"Category2","Technical Institutes")</f>
        <v>0</v>
      </c>
      <c r="AJ36" s="108">
        <f>+GETPIVOTDATA(" Tot # Undes. New",'NEW Counts Pivot Table'!$A$3,"State","DE","Category2","Technical Institutes")</f>
        <v>0</v>
      </c>
    </row>
    <row r="37" spans="1:38">
      <c r="A37" s="30"/>
      <c r="B37" s="38" t="s">
        <v>314</v>
      </c>
      <c r="C37" s="32">
        <f t="shared" si="9"/>
        <v>0</v>
      </c>
      <c r="D37" s="34">
        <f t="shared" si="9"/>
        <v>0</v>
      </c>
      <c r="E37" s="185">
        <f t="shared" si="9"/>
        <v>0</v>
      </c>
      <c r="F37" s="34">
        <f t="shared" si="9"/>
        <v>0</v>
      </c>
      <c r="G37" s="185">
        <f t="shared" si="9"/>
        <v>0</v>
      </c>
      <c r="H37" s="68">
        <f t="shared" si="9"/>
        <v>0</v>
      </c>
      <c r="I37" s="184">
        <f t="shared" si="9"/>
        <v>0</v>
      </c>
      <c r="J37" s="32">
        <f t="shared" si="9"/>
        <v>0</v>
      </c>
      <c r="K37" s="34">
        <f t="shared" si="9"/>
        <v>1</v>
      </c>
      <c r="L37" s="34">
        <f t="shared" si="9"/>
        <v>1</v>
      </c>
      <c r="M37" s="34">
        <f t="shared" si="10"/>
        <v>1</v>
      </c>
      <c r="N37" s="32">
        <f t="shared" si="11"/>
        <v>1</v>
      </c>
      <c r="O37" s="32">
        <f t="shared" si="11"/>
        <v>0</v>
      </c>
      <c r="P37" s="34">
        <f t="shared" si="11"/>
        <v>0</v>
      </c>
      <c r="Q37" s="68">
        <f t="shared" si="11"/>
        <v>0</v>
      </c>
      <c r="R37" s="32">
        <f t="shared" si="11"/>
        <v>0</v>
      </c>
      <c r="S37" s="87"/>
      <c r="T37" s="108">
        <f>+GETPIVOTDATA(" Tot # Single Rnk New",'NEW Counts Pivot Table'!$A$3,"State","DE","Category",1,"Category2","Four-Year")</f>
        <v>0</v>
      </c>
      <c r="U37" s="109">
        <f>+GETPIVOTDATA(" Tot # Single Rnk New",'NEW Counts Pivot Table'!$A$3,"State","DE","Category",2,"Category2","Four-Year")</f>
        <v>0</v>
      </c>
      <c r="V37" s="109">
        <f>+GETPIVOTDATA(" Tot # Single Rnk New",'NEW Counts Pivot Table'!$A$3,"State","DE","Category",3,"Category2","Four-Year")</f>
        <v>0</v>
      </c>
      <c r="W37" s="109">
        <f>+GETPIVOTDATA(" Tot # Single Rnk New",'NEW Counts Pivot Table'!$A$3,"State","DE","Category",4,"Category2","Four-Year")</f>
        <v>0</v>
      </c>
      <c r="X37" s="109">
        <f>+GETPIVOTDATA(" Tot # Single Rnk New",'NEW Counts Pivot Table'!$A$3,"State","DE","Category",5,"Category2","Four-Year")</f>
        <v>0</v>
      </c>
      <c r="Y37" s="109">
        <f>+GETPIVOTDATA(" Tot # Single Rnk New",'NEW Counts Pivot Table'!$A$3,"State","DE","Category",6,"Category2","Four-Year")</f>
        <v>0</v>
      </c>
      <c r="Z37" s="111">
        <f>+GETPIVOTDATA(" Tot # Single Rnk New",'NEW Counts Pivot Table'!$A$3,"State","DE","Category2","Four-Year")</f>
        <v>0</v>
      </c>
      <c r="AA37" s="108">
        <f>+GETPIVOTDATA(" Tot # Single Rnk New",'NEW Counts Pivot Table'!$A$3,"State","AR","Category",7,"Category2","Group2")</f>
        <v>0</v>
      </c>
      <c r="AB37" s="109">
        <f>+GETPIVOTDATA(" Tot # Single Rnk New",'NEW Counts Pivot Table'!$A$3,"State","AR","Category",8,"Category2","Group2")</f>
        <v>171</v>
      </c>
      <c r="AC37" s="109">
        <f>+GETPIVOTDATA(" Tot # Single Rnk New",'NEW Counts Pivot Table'!$A$3,"State","DE","Category",9,"Category2","Group2")</f>
        <v>300</v>
      </c>
      <c r="AD37" s="109">
        <f>+GETPIVOTDATA(" Tot # Single Rnk New",'NEW Counts Pivot Table'!$A$3,"State","DE","Category",10,"Category2","Group2")</f>
        <v>84</v>
      </c>
      <c r="AE37" s="109">
        <f>+GETPIVOTDATA(" Tot # Single Rnk New",'NEW Counts Pivot Table'!$A$3,"State","DE","Category","11","Category2","Group2")</f>
        <v>0</v>
      </c>
      <c r="AF37" s="110">
        <f>+GETPIVOTDATA(" Tot # Single Rnk New",'NEW Counts Pivot Table'!$A$3,"State","DE","Category2","Group2")</f>
        <v>384</v>
      </c>
      <c r="AG37" s="108">
        <f>+GETPIVOTDATA(" Tot # Single Rnk New",'NEW Counts Pivot Table'!$A$3,"State","DE","Category",12,"Category2","Technical Institutes")</f>
        <v>0</v>
      </c>
      <c r="AH37" s="109">
        <f>+GETPIVOTDATA(" Tot # Single Rnk New",'NEW Counts Pivot Table'!$A$3,"State","DE","Category",13,"Category2","Technical Institutes")</f>
        <v>0</v>
      </c>
      <c r="AI37" s="110">
        <f>+GETPIVOTDATA(" Tot # Single Rnk New",'NEW Counts Pivot Table'!$A$3,"State","DE","Category",14,"Category2","Technical Institutes")</f>
        <v>0</v>
      </c>
      <c r="AJ37" s="108">
        <f>+GETPIVOTDATA(" Tot # Single Rnk New",'NEW Counts Pivot Table'!$A$3,"State","DE","Category2","Technical Institutes")</f>
        <v>0</v>
      </c>
    </row>
    <row r="38" spans="1:38" s="54" customFormat="1">
      <c r="A38" s="191"/>
      <c r="B38" s="192" t="s">
        <v>316</v>
      </c>
      <c r="C38" s="33">
        <f t="shared" si="9"/>
        <v>1</v>
      </c>
      <c r="D38" s="31">
        <f t="shared" si="9"/>
        <v>0</v>
      </c>
      <c r="E38" s="31">
        <f t="shared" si="9"/>
        <v>0</v>
      </c>
      <c r="F38" s="31">
        <f t="shared" si="9"/>
        <v>1</v>
      </c>
      <c r="G38" s="31">
        <f t="shared" si="9"/>
        <v>0</v>
      </c>
      <c r="H38" s="69">
        <f t="shared" si="9"/>
        <v>0</v>
      </c>
      <c r="I38" s="33">
        <f t="shared" si="9"/>
        <v>1</v>
      </c>
      <c r="J38" s="33">
        <f t="shared" si="9"/>
        <v>0</v>
      </c>
      <c r="K38" s="31">
        <f t="shared" si="9"/>
        <v>1</v>
      </c>
      <c r="L38" s="31">
        <f t="shared" si="9"/>
        <v>1</v>
      </c>
      <c r="M38" s="31">
        <f t="shared" si="10"/>
        <v>1</v>
      </c>
      <c r="N38" s="33">
        <f t="shared" si="11"/>
        <v>1</v>
      </c>
      <c r="O38" s="33">
        <f t="shared" si="11"/>
        <v>0</v>
      </c>
      <c r="P38" s="31">
        <f t="shared" si="11"/>
        <v>0</v>
      </c>
      <c r="Q38" s="69">
        <f t="shared" si="11"/>
        <v>0</v>
      </c>
      <c r="R38" s="33">
        <f t="shared" si="11"/>
        <v>0</v>
      </c>
      <c r="S38" s="88"/>
      <c r="T38" s="112">
        <f>+GETPIVOTDATA(" All Ranks # New",'NEW Counts Pivot Table'!$A$3,"State","DE","Category",1,"Category2","Four-Year")</f>
        <v>1126</v>
      </c>
      <c r="U38" s="113">
        <f>+GETPIVOTDATA(" All Ranks # New",'NEW Counts Pivot Table'!$A$3,"State","DE","Category",2,"Category2","Four-Year")</f>
        <v>0</v>
      </c>
      <c r="V38" s="113">
        <f>+GETPIVOTDATA(" All Ranks # New",'NEW Counts Pivot Table'!$A$3,"State","DE","Category",3,"Category2","Four-Year")</f>
        <v>0</v>
      </c>
      <c r="W38" s="113">
        <f>+GETPIVOTDATA(" All Ranks # New",'NEW Counts Pivot Table'!$A$3,"State","DE","Category",4,"Category2","Four-Year")</f>
        <v>198</v>
      </c>
      <c r="X38" s="113">
        <f>+GETPIVOTDATA(" All Ranks # New",'NEW Counts Pivot Table'!$A$3,"State","DE","Category",5,"Category2","Four-Year")</f>
        <v>0</v>
      </c>
      <c r="Y38" s="113">
        <f>+GETPIVOTDATA(" All Ranks # New",'NEW Counts Pivot Table'!$A$3,"State","DE","Category",6,"Category2","Four-Year")</f>
        <v>0</v>
      </c>
      <c r="Z38" s="115">
        <f>+GETPIVOTDATA(" All Ranks # New",'NEW Counts Pivot Table'!$A$3,"State","DE","Category2","Four-Year")</f>
        <v>1324</v>
      </c>
      <c r="AA38" s="112">
        <f>+GETPIVOTDATA(" All Ranks # New",'NEW Counts Pivot Table'!$A$3,"State","AR","Category",7,"Category2","Group2")</f>
        <v>0</v>
      </c>
      <c r="AB38" s="113">
        <f>+GETPIVOTDATA(" All Ranks # New",'NEW Counts Pivot Table'!$A$3,"State","AR","Category",8,"Category2","Group2")</f>
        <v>171</v>
      </c>
      <c r="AC38" s="113">
        <f>+GETPIVOTDATA(" All Ranks # New",'NEW Counts Pivot Table'!$A$3,"State","DE","Category",9,"Category2","Group2")</f>
        <v>300</v>
      </c>
      <c r="AD38" s="113">
        <f>+GETPIVOTDATA(" All Ranks # New",'NEW Counts Pivot Table'!$A$3,"State","DE","Category",10,"Category2","Group2")</f>
        <v>84</v>
      </c>
      <c r="AE38" s="113">
        <f>+GETPIVOTDATA(" All Ranks # New",'NEW Counts Pivot Table'!$A$3,"State","DE","Category","11","Category2","Group2")</f>
        <v>0</v>
      </c>
      <c r="AF38" s="114">
        <f>+GETPIVOTDATA(" All Ranks # New",'NEW Counts Pivot Table'!$A$3,"State","DE","Category2","Group2")</f>
        <v>384</v>
      </c>
      <c r="AG38" s="112">
        <f>+GETPIVOTDATA(" All Ranks # New",'NEW Counts Pivot Table'!$A$3,"State","DE","Category",12,"Category2","Technical Institutes")</f>
        <v>0</v>
      </c>
      <c r="AH38" s="113">
        <f>+GETPIVOTDATA(" All Ranks # New",'NEW Counts Pivot Table'!$A$3,"State","DE","Category",13,"Category2","Technical Institutes")</f>
        <v>0</v>
      </c>
      <c r="AI38" s="114">
        <f>+GETPIVOTDATA(" All Ranks # New",'NEW Counts Pivot Table'!$A$3,"State","DE","Category",14,"Category2","Technical Institutes")</f>
        <v>0</v>
      </c>
      <c r="AJ38" s="112">
        <f>+GETPIVOTDATA(" All Ranks # New",'NEW Counts Pivot Table'!$A$3,"State","DE","Category2","Technical Institutes")</f>
        <v>0</v>
      </c>
      <c r="AK38" s="116"/>
      <c r="AL38" s="116"/>
    </row>
    <row r="39" spans="1:38">
      <c r="A39" s="38" t="s">
        <v>347</v>
      </c>
      <c r="B39" s="35" t="s">
        <v>332</v>
      </c>
      <c r="C39" s="36">
        <f t="shared" ref="C39:L45" si="12">IF(T$45&gt;0,(T39/T$45),0)</f>
        <v>0.29625114294422433</v>
      </c>
      <c r="D39" s="37">
        <f t="shared" si="12"/>
        <v>0.24935400516795866</v>
      </c>
      <c r="E39" s="37">
        <f t="shared" si="12"/>
        <v>0.22926093514328807</v>
      </c>
      <c r="F39" s="37">
        <f t="shared" si="12"/>
        <v>0.17158176943699732</v>
      </c>
      <c r="G39" s="37">
        <f t="shared" si="12"/>
        <v>0</v>
      </c>
      <c r="H39" s="67">
        <f t="shared" si="12"/>
        <v>0.3380281690140845</v>
      </c>
      <c r="I39" s="36">
        <f t="shared" si="12"/>
        <v>0.2777289699099495</v>
      </c>
      <c r="J39" s="36">
        <f t="shared" si="12"/>
        <v>0</v>
      </c>
      <c r="K39" s="37">
        <f t="shared" si="12"/>
        <v>0</v>
      </c>
      <c r="L39" s="37">
        <f t="shared" si="12"/>
        <v>0</v>
      </c>
      <c r="M39" s="37">
        <f t="shared" ref="M39:M45" si="13">IF(AD$45&gt;0,(AD39/AD$45),0)</f>
        <v>0</v>
      </c>
      <c r="N39" s="36">
        <f t="shared" ref="N39:R45" si="14">IF(AF$45&gt;0,(AF39/AF$45),0)</f>
        <v>0</v>
      </c>
      <c r="O39" s="152">
        <f t="shared" si="14"/>
        <v>0</v>
      </c>
      <c r="P39" s="37">
        <f t="shared" si="14"/>
        <v>0</v>
      </c>
      <c r="Q39" s="67">
        <f t="shared" si="14"/>
        <v>0</v>
      </c>
      <c r="R39" s="152">
        <f t="shared" si="14"/>
        <v>0</v>
      </c>
      <c r="S39" s="117"/>
      <c r="T39" s="104">
        <f>+GETPIVOTDATA(" Total # Prof New",'NEW Counts Pivot Table'!$A$3,"State","FL","Category",1,"Category2","Four-Year")</f>
        <v>1944</v>
      </c>
      <c r="U39" s="105">
        <f>+GETPIVOTDATA(" Total # Prof New",'NEW Counts Pivot Table'!$A$3,"State","FL","Category",2,"Category2","Four-Year")</f>
        <v>193</v>
      </c>
      <c r="V39" s="105">
        <f>+GETPIVOTDATA(" Total # Prof New",'NEW Counts Pivot Table'!$A$3,"State","FL","Category",3,"Category2","Four-Year")</f>
        <v>304</v>
      </c>
      <c r="W39" s="105">
        <f>+GETPIVOTDATA(" Total # Prof New",'NEW Counts Pivot Table'!$A$3,"State","FL","Category",4,"Category2","Four-Year")</f>
        <v>64</v>
      </c>
      <c r="X39" s="105">
        <f>+GETPIVOTDATA(" Total # Prof New",'NEW Counts Pivot Table'!$A$3,"State","FL","Category",5,"Category2","Four-Year")</f>
        <v>0</v>
      </c>
      <c r="Y39" s="105">
        <f>+GETPIVOTDATA(" Total # Prof New",'NEW Counts Pivot Table'!$A$3,"State","FL","Category",6,"Category2","Four-Year")</f>
        <v>24</v>
      </c>
      <c r="Z39" s="107">
        <f>+GETPIVOTDATA(" Total # Prof New",'NEW Counts Pivot Table'!$A$3,"State","FL","Category2","Four-Year")</f>
        <v>2529</v>
      </c>
      <c r="AA39" s="104">
        <f>+GETPIVOTDATA(" Total # Prof New",'NEW Counts Pivot Table'!$A$3,"State","AR","Category",7,"Category2","Group2")</f>
        <v>0</v>
      </c>
      <c r="AB39" s="105">
        <f>+GETPIVOTDATA(" Total # Prof New",'NEW Counts Pivot Table'!$A$3,"State","AR","Category",8,"Category2","Group2")</f>
        <v>0</v>
      </c>
      <c r="AC39" s="105">
        <f>+GETPIVOTDATA(" Total # Prof New",'NEW Counts Pivot Table'!$A$3,"State","DE","Category",9,"Category2","Group2")</f>
        <v>0</v>
      </c>
      <c r="AD39" s="105">
        <f>+GETPIVOTDATA(" Total # Prof New",'NEW Counts Pivot Table'!$A$3,"State","DE","Category",10,"Category2","Group2")</f>
        <v>0</v>
      </c>
      <c r="AE39" s="105">
        <f>+GETPIVOTDATA(" Total # Prof New",'NEW Counts Pivot Table'!$A$3,"State","FL","Category","11","Category2","Group2")</f>
        <v>0</v>
      </c>
      <c r="AF39" s="106">
        <f>+GETPIVOTDATA(" Total # Prof New",'NEW Counts Pivot Table'!$A$3,"State","FL","Category2","Group2")</f>
        <v>0</v>
      </c>
      <c r="AG39" s="104">
        <f>+GETPIVOTDATA(" Total # Prof New",'NEW Counts Pivot Table'!$A$3,"State","FL","Category",12,"Category2","Technical Institutes")</f>
        <v>0</v>
      </c>
      <c r="AH39" s="105">
        <f>+GETPIVOTDATA(" Total # Prof New",'NEW Counts Pivot Table'!$A$3,"State","FL","Category",13,"Category2","Technical Institutes")</f>
        <v>0</v>
      </c>
      <c r="AI39" s="106">
        <f>+GETPIVOTDATA(" Total # Prof New",'NEW Counts Pivot Table'!$A$3,"State","FL","Category",14,"Category2","Technical Institutes")</f>
        <v>0</v>
      </c>
      <c r="AJ39" s="104">
        <f>+GETPIVOTDATA(" Total # Prof New",'NEW Counts Pivot Table'!$A$3,"State","FL","Category2","Technical Institutes")</f>
        <v>0</v>
      </c>
    </row>
    <row r="40" spans="1:38">
      <c r="A40" s="30"/>
      <c r="B40" s="38" t="s">
        <v>333</v>
      </c>
      <c r="C40" s="32">
        <f t="shared" si="12"/>
        <v>0.28588844864370616</v>
      </c>
      <c r="D40" s="34">
        <f t="shared" si="12"/>
        <v>0.29715762273901808</v>
      </c>
      <c r="E40" s="34">
        <f t="shared" si="12"/>
        <v>0.30392156862745096</v>
      </c>
      <c r="F40" s="34">
        <f t="shared" si="12"/>
        <v>0.2546916890080429</v>
      </c>
      <c r="G40" s="34">
        <f t="shared" si="12"/>
        <v>0</v>
      </c>
      <c r="H40" s="68">
        <f t="shared" si="12"/>
        <v>0.3380281690140845</v>
      </c>
      <c r="I40" s="32">
        <f t="shared" si="12"/>
        <v>0.28860092246870195</v>
      </c>
      <c r="J40" s="32">
        <f t="shared" si="12"/>
        <v>0</v>
      </c>
      <c r="K40" s="34">
        <f t="shared" si="12"/>
        <v>0</v>
      </c>
      <c r="L40" s="34">
        <f t="shared" si="12"/>
        <v>0</v>
      </c>
      <c r="M40" s="34">
        <f t="shared" si="13"/>
        <v>0</v>
      </c>
      <c r="N40" s="32">
        <f t="shared" si="14"/>
        <v>0</v>
      </c>
      <c r="O40" s="32">
        <f t="shared" si="14"/>
        <v>0</v>
      </c>
      <c r="P40" s="34">
        <f t="shared" si="14"/>
        <v>0</v>
      </c>
      <c r="Q40" s="68">
        <f t="shared" si="14"/>
        <v>0</v>
      </c>
      <c r="R40" s="32">
        <f t="shared" si="14"/>
        <v>0</v>
      </c>
      <c r="S40" s="87"/>
      <c r="T40" s="108">
        <f>+GETPIVOTDATA(" Tot # Asc. Prof New",'NEW Counts Pivot Table'!$A$3,"State","FL","Category",1,"Category2","Four-Year")</f>
        <v>1876</v>
      </c>
      <c r="U40" s="109">
        <f>+GETPIVOTDATA(" Tot # Asc. Prof New",'NEW Counts Pivot Table'!$A$3,"State","FL","Category",2,"Category2","Four-Year")</f>
        <v>230</v>
      </c>
      <c r="V40" s="109">
        <f>+GETPIVOTDATA(" Tot # Asc. Prof New",'NEW Counts Pivot Table'!$A$3,"State","FL","Category",3,"Category2","Four-Year")</f>
        <v>403</v>
      </c>
      <c r="W40" s="109">
        <f>+GETPIVOTDATA(" Tot # Asc. Prof New",'NEW Counts Pivot Table'!$A$3,"State","FL","Category",4,"Category2","Four-Year")</f>
        <v>95</v>
      </c>
      <c r="X40" s="109">
        <f>+GETPIVOTDATA(" Tot # Asc. Prof New",'NEW Counts Pivot Table'!$A$3,"State","FL","Category",5,"Category2","Four-Year")</f>
        <v>0</v>
      </c>
      <c r="Y40" s="109">
        <f>+GETPIVOTDATA(" Tot # Asc. Prof New",'NEW Counts Pivot Table'!$A$3,"State","FL","Category",6,"Category2","Four-Year")</f>
        <v>24</v>
      </c>
      <c r="Z40" s="111">
        <f>+GETPIVOTDATA(" Tot # Asc. Prof New",'NEW Counts Pivot Table'!$A$3,"State","FL","Category2","Four-Year")</f>
        <v>2628</v>
      </c>
      <c r="AA40" s="108">
        <f>+GETPIVOTDATA(" Tot # Asc. Prof New",'NEW Counts Pivot Table'!$A$3,"State","AR","Category",7,"Category2","Group2")</f>
        <v>0</v>
      </c>
      <c r="AB40" s="109">
        <f>+GETPIVOTDATA(" Tot # Asc. Prof New",'NEW Counts Pivot Table'!$A$3,"State","AR","Category",8,"Category2","Group2")</f>
        <v>0</v>
      </c>
      <c r="AC40" s="109">
        <f>+GETPIVOTDATA(" Tot # Asc. Prof New",'NEW Counts Pivot Table'!$A$3,"State","DE","Category",9,"Category2","Group2")</f>
        <v>0</v>
      </c>
      <c r="AD40" s="109">
        <f>+GETPIVOTDATA(" Tot # Asc. Prof New",'NEW Counts Pivot Table'!$A$3,"State","DE","Category",10,"Category2","Group2")</f>
        <v>0</v>
      </c>
      <c r="AE40" s="109">
        <f>+GETPIVOTDATA(" Tot # Asc. Prof New",'NEW Counts Pivot Table'!$A$3,"State","FL","Category","11","Category2","Group2")</f>
        <v>0</v>
      </c>
      <c r="AF40" s="110">
        <f>+GETPIVOTDATA(" Tot # Asc. Prof New",'NEW Counts Pivot Table'!$A$3,"State","FL","Category2","Group2")</f>
        <v>0</v>
      </c>
      <c r="AG40" s="108">
        <f>+GETPIVOTDATA(" Tot # Asc. Prof New",'NEW Counts Pivot Table'!$A$3,"State","FL","Category",12,"Category2","Technical Institutes")</f>
        <v>0</v>
      </c>
      <c r="AH40" s="109">
        <f>+GETPIVOTDATA(" Tot # Asc. Prof New",'NEW Counts Pivot Table'!$A$3,"State","FL","Category",13,"Category2","Technical Institutes")</f>
        <v>0</v>
      </c>
      <c r="AI40" s="110">
        <f>+GETPIVOTDATA(" Tot # Asc. Prof New",'NEW Counts Pivot Table'!$A$3,"State","FL","Category",14,"Category2","Technical Institutes")</f>
        <v>0</v>
      </c>
      <c r="AJ40" s="108">
        <f>+GETPIVOTDATA(" Tot # Asc. Prof New",'NEW Counts Pivot Table'!$A$3,"State","FL","Category2","Technical Institutes")</f>
        <v>0</v>
      </c>
    </row>
    <row r="41" spans="1:38">
      <c r="A41" s="30"/>
      <c r="B41" s="38" t="s">
        <v>334</v>
      </c>
      <c r="C41" s="32">
        <f t="shared" si="12"/>
        <v>0.23559890277354464</v>
      </c>
      <c r="D41" s="34">
        <f t="shared" si="12"/>
        <v>0.2144702842377261</v>
      </c>
      <c r="E41" s="34">
        <f t="shared" si="12"/>
        <v>0.29260935143288086</v>
      </c>
      <c r="F41" s="34">
        <f t="shared" si="12"/>
        <v>0.33243967828418231</v>
      </c>
      <c r="G41" s="34">
        <f t="shared" si="12"/>
        <v>0</v>
      </c>
      <c r="H41" s="68">
        <f t="shared" si="12"/>
        <v>0.30985915492957744</v>
      </c>
      <c r="I41" s="32">
        <f t="shared" si="12"/>
        <v>0.24665056007028333</v>
      </c>
      <c r="J41" s="32">
        <f t="shared" si="12"/>
        <v>0</v>
      </c>
      <c r="K41" s="34">
        <f t="shared" si="12"/>
        <v>0</v>
      </c>
      <c r="L41" s="34">
        <f t="shared" si="12"/>
        <v>0</v>
      </c>
      <c r="M41" s="34">
        <f t="shared" si="13"/>
        <v>0</v>
      </c>
      <c r="N41" s="32">
        <f t="shared" si="14"/>
        <v>0</v>
      </c>
      <c r="O41" s="32">
        <f t="shared" si="14"/>
        <v>0</v>
      </c>
      <c r="P41" s="34">
        <f t="shared" si="14"/>
        <v>0</v>
      </c>
      <c r="Q41" s="68">
        <f t="shared" si="14"/>
        <v>0</v>
      </c>
      <c r="R41" s="32">
        <f t="shared" si="14"/>
        <v>0</v>
      </c>
      <c r="S41" s="87"/>
      <c r="T41" s="108">
        <f>+GETPIVOTDATA(" Tot # Ast. Prof New",'NEW Counts Pivot Table'!$A$3,"State","FL","Category",1,"Category2","Four-Year")</f>
        <v>1546</v>
      </c>
      <c r="U41" s="109">
        <f>+GETPIVOTDATA(" Tot # Ast. Prof New",'NEW Counts Pivot Table'!$A$3,"State","FL","Category",2,"Category2","Four-Year")</f>
        <v>166</v>
      </c>
      <c r="V41" s="109">
        <f>+GETPIVOTDATA(" Tot # Ast. Prof New",'NEW Counts Pivot Table'!$A$3,"State","FL","Category",3,"Category2","Four-Year")</f>
        <v>388</v>
      </c>
      <c r="W41" s="109">
        <f>+GETPIVOTDATA(" Tot # Ast. Prof New",'NEW Counts Pivot Table'!$A$3,"State","FL","Category",4,"Category2","Four-Year")</f>
        <v>124</v>
      </c>
      <c r="X41" s="109">
        <f>+GETPIVOTDATA(" Tot # Ast. Prof New",'NEW Counts Pivot Table'!$A$3,"State","FL","Category",5,"Category2","Four-Year")</f>
        <v>0</v>
      </c>
      <c r="Y41" s="109">
        <f>+GETPIVOTDATA(" Tot # Ast. Prof New",'NEW Counts Pivot Table'!$A$3,"State","FL","Category",6,"Category2","Four-Year")</f>
        <v>22</v>
      </c>
      <c r="Z41" s="111">
        <f>+GETPIVOTDATA(" Tot # Ast. Prof New",'NEW Counts Pivot Table'!$A$3,"State","FL","Category2","Four-Year")</f>
        <v>2246</v>
      </c>
      <c r="AA41" s="108">
        <f>+GETPIVOTDATA(" Tot # Ast. Prof New",'NEW Counts Pivot Table'!$A$3,"State","AR","Category",7,"Category2","Group2")</f>
        <v>0</v>
      </c>
      <c r="AB41" s="109">
        <f>+GETPIVOTDATA(" Tot # Ast. Prof New",'NEW Counts Pivot Table'!$A$3,"State","AR","Category",8,"Category2","Group2")</f>
        <v>0</v>
      </c>
      <c r="AC41" s="109">
        <f>+GETPIVOTDATA(" Tot # Ast. Prof New",'NEW Counts Pivot Table'!$A$3,"State","DE","Category",9,"Category2","Group2")</f>
        <v>0</v>
      </c>
      <c r="AD41" s="109">
        <f>+GETPIVOTDATA(" Tot # Ast. Prof New",'NEW Counts Pivot Table'!$A$3,"State","DE","Category",10,"Category2","Group2")</f>
        <v>0</v>
      </c>
      <c r="AE41" s="109">
        <f>+GETPIVOTDATA(" Tot # Ast. Prof New",'NEW Counts Pivot Table'!$A$3,"State","FL","Category","11","Category2","Group2")</f>
        <v>0</v>
      </c>
      <c r="AF41" s="110">
        <f>+GETPIVOTDATA(" Tot # Ast. Prof New",'NEW Counts Pivot Table'!$A$3,"State","FL","Category2","Group2")</f>
        <v>0</v>
      </c>
      <c r="AG41" s="108">
        <f>+GETPIVOTDATA(" Tot # Ast. Prof New",'NEW Counts Pivot Table'!$A$3,"State","FL","Category",12,"Category2","Technical Institutes")</f>
        <v>0</v>
      </c>
      <c r="AH41" s="109">
        <f>+GETPIVOTDATA(" Tot # Ast. Prof New",'NEW Counts Pivot Table'!$A$3,"State","FL","Category",13,"Category2","Technical Institutes")</f>
        <v>0</v>
      </c>
      <c r="AI41" s="110">
        <f>+GETPIVOTDATA(" Tot # Ast. Prof New",'NEW Counts Pivot Table'!$A$3,"State","FL","Category",14,"Category2","Technical Institutes")</f>
        <v>0</v>
      </c>
      <c r="AJ41" s="108">
        <f>+GETPIVOTDATA(" Tot # Ast. Prof New",'NEW Counts Pivot Table'!$A$3,"State","FL","Category2","Technical Institutes")</f>
        <v>0</v>
      </c>
    </row>
    <row r="42" spans="1:38">
      <c r="A42" s="30"/>
      <c r="B42" s="38" t="s">
        <v>335</v>
      </c>
      <c r="C42" s="32">
        <f t="shared" si="12"/>
        <v>0.10042669917708016</v>
      </c>
      <c r="D42" s="34">
        <f t="shared" si="12"/>
        <v>0.23514211886304909</v>
      </c>
      <c r="E42" s="34">
        <f t="shared" si="12"/>
        <v>0.14027149321266968</v>
      </c>
      <c r="F42" s="34">
        <f t="shared" si="12"/>
        <v>0.24128686327077747</v>
      </c>
      <c r="G42" s="34">
        <f t="shared" si="12"/>
        <v>0</v>
      </c>
      <c r="H42" s="68">
        <f t="shared" si="12"/>
        <v>1.4084507042253521E-2</v>
      </c>
      <c r="I42" s="32">
        <f t="shared" si="12"/>
        <v>0.12277619152207336</v>
      </c>
      <c r="J42" s="32">
        <f t="shared" si="12"/>
        <v>0</v>
      </c>
      <c r="K42" s="34">
        <f t="shared" si="12"/>
        <v>0</v>
      </c>
      <c r="L42" s="34">
        <f t="shared" si="12"/>
        <v>0</v>
      </c>
      <c r="M42" s="34">
        <f t="shared" si="13"/>
        <v>0</v>
      </c>
      <c r="N42" s="32">
        <f t="shared" si="14"/>
        <v>0</v>
      </c>
      <c r="O42" s="32">
        <f t="shared" si="14"/>
        <v>0</v>
      </c>
      <c r="P42" s="34">
        <f t="shared" si="14"/>
        <v>0</v>
      </c>
      <c r="Q42" s="68">
        <f t="shared" si="14"/>
        <v>0</v>
      </c>
      <c r="R42" s="32">
        <f t="shared" si="14"/>
        <v>0</v>
      </c>
      <c r="S42" s="87"/>
      <c r="T42" s="108">
        <f>+GETPIVOTDATA(" Tot # Instr. New",'NEW Counts Pivot Table'!$A$3,"State","FL","Category",1,"Category2","Four-Year")</f>
        <v>659</v>
      </c>
      <c r="U42" s="109">
        <f>+GETPIVOTDATA(" Tot # Instr. New",'NEW Counts Pivot Table'!$A$3,"State","FL","Category",2,"Category2","Four-Year")</f>
        <v>182</v>
      </c>
      <c r="V42" s="109">
        <f>+GETPIVOTDATA(" Tot # Instr. New",'NEW Counts Pivot Table'!$A$3,"State","FL","Category",3,"Category2","Four-Year")</f>
        <v>186</v>
      </c>
      <c r="W42" s="109">
        <f>+GETPIVOTDATA(" Tot # Instr. New",'NEW Counts Pivot Table'!$A$3,"State","FL","Category",4,"Category2","Four-Year")</f>
        <v>90</v>
      </c>
      <c r="X42" s="109">
        <f>+GETPIVOTDATA(" Tot # Instr. New",'NEW Counts Pivot Table'!$A$3,"State","FL","Category",5,"Category2","Four-Year")</f>
        <v>0</v>
      </c>
      <c r="Y42" s="109">
        <f>+GETPIVOTDATA(" Tot # Instr. New",'NEW Counts Pivot Table'!$A$3,"State","FL","Category",6,"Category2","Four-Year")</f>
        <v>1</v>
      </c>
      <c r="Z42" s="111">
        <f>+GETPIVOTDATA(" Tot # Instr. New",'NEW Counts Pivot Table'!$A$3,"State","FL","Category2","Four-Year")</f>
        <v>1118</v>
      </c>
      <c r="AA42" s="108">
        <f>+GETPIVOTDATA(" Tot # Instr. New",'NEW Counts Pivot Table'!$A$3,"State","AR","Category",7,"Category2","Group2")</f>
        <v>0</v>
      </c>
      <c r="AB42" s="109">
        <f>+GETPIVOTDATA(" Tot # Instr. New",'NEW Counts Pivot Table'!$A$3,"State","AR","Category",8,"Category2","Group2")</f>
        <v>0</v>
      </c>
      <c r="AC42" s="109">
        <f>+GETPIVOTDATA(" Tot # Instr. New",'NEW Counts Pivot Table'!$A$3,"State","DE","Category",9,"Category2","Group2")</f>
        <v>0</v>
      </c>
      <c r="AD42" s="109">
        <f>+GETPIVOTDATA(" Tot # Instr. New",'NEW Counts Pivot Table'!$A$3,"State","DE","Category",10,"Category2","Group2")</f>
        <v>0</v>
      </c>
      <c r="AE42" s="109">
        <f>+GETPIVOTDATA(" Tot # Instr. New",'NEW Counts Pivot Table'!$A$3,"State","FL","Category","11","Category2","Group2")</f>
        <v>0</v>
      </c>
      <c r="AF42" s="110">
        <f>+GETPIVOTDATA(" Tot # Instr. New",'NEW Counts Pivot Table'!$A$3,"State","FL","Category2","Group2")</f>
        <v>0</v>
      </c>
      <c r="AG42" s="108">
        <f>+GETPIVOTDATA(" Tot # Instr. New",'NEW Counts Pivot Table'!$A$3,"State","FL","Category",12,"Category2","Technical Institutes")</f>
        <v>0</v>
      </c>
      <c r="AH42" s="109">
        <f>+GETPIVOTDATA(" Tot # Instr. New",'NEW Counts Pivot Table'!$A$3,"State","FL","Category",13,"Category2","Technical Institutes")</f>
        <v>0</v>
      </c>
      <c r="AI42" s="110">
        <f>+GETPIVOTDATA(" Tot # Instr. New",'NEW Counts Pivot Table'!$A$3,"State","FL","Category",14,"Category2","Technical Institutes")</f>
        <v>0</v>
      </c>
      <c r="AJ42" s="108">
        <f>+GETPIVOTDATA(" Tot # Instr. New",'NEW Counts Pivot Table'!$A$3,"State","FL","Category2","Technical Institutes")</f>
        <v>0</v>
      </c>
    </row>
    <row r="43" spans="1:38">
      <c r="A43" s="30"/>
      <c r="B43" s="38" t="s">
        <v>315</v>
      </c>
      <c r="C43" s="32">
        <f t="shared" si="12"/>
        <v>8.1834806461444684E-2</v>
      </c>
      <c r="D43" s="34">
        <f t="shared" si="12"/>
        <v>3.875968992248062E-3</v>
      </c>
      <c r="E43" s="34">
        <f t="shared" si="12"/>
        <v>3.3936651583710405E-2</v>
      </c>
      <c r="F43" s="34">
        <f t="shared" si="12"/>
        <v>0</v>
      </c>
      <c r="G43" s="236">
        <f t="shared" si="12"/>
        <v>0</v>
      </c>
      <c r="H43" s="68">
        <f t="shared" si="12"/>
        <v>0</v>
      </c>
      <c r="I43" s="32">
        <f t="shared" si="12"/>
        <v>6.424335602899188E-2</v>
      </c>
      <c r="J43" s="32">
        <f t="shared" si="12"/>
        <v>0</v>
      </c>
      <c r="K43" s="34">
        <f t="shared" si="12"/>
        <v>0</v>
      </c>
      <c r="L43" s="34">
        <f t="shared" si="12"/>
        <v>0</v>
      </c>
      <c r="M43" s="34">
        <f t="shared" si="13"/>
        <v>0</v>
      </c>
      <c r="N43" s="32">
        <f t="shared" si="14"/>
        <v>0</v>
      </c>
      <c r="O43" s="32">
        <f t="shared" si="14"/>
        <v>0</v>
      </c>
      <c r="P43" s="34">
        <f t="shared" si="14"/>
        <v>0</v>
      </c>
      <c r="Q43" s="68">
        <f t="shared" si="14"/>
        <v>0</v>
      </c>
      <c r="R43" s="32">
        <f t="shared" si="14"/>
        <v>0</v>
      </c>
      <c r="S43" s="87"/>
      <c r="T43" s="108">
        <f>++GETPIVOTDATA(" Tot # Undes. New",'NEW Counts Pivot Table'!$A$3,"State","FL","Category",1,"Category2","Four-Year")</f>
        <v>537</v>
      </c>
      <c r="U43" s="109">
        <f>+GETPIVOTDATA(" Tot # Undes. New",'NEW Counts Pivot Table'!$A$3,"State","FL","Category",2,"Category2","Four-Year")</f>
        <v>3</v>
      </c>
      <c r="V43" s="109">
        <f>+GETPIVOTDATA(" Tot # Undes. New",'NEW Counts Pivot Table'!$A$3,"State","FL","Category",3,"Category2","Four-Year")</f>
        <v>45</v>
      </c>
      <c r="W43" s="109">
        <f>+GETPIVOTDATA(" Tot # Undes. New",'NEW Counts Pivot Table'!$A$3,"State","FL","Category",4,"Category2","Four-Year")</f>
        <v>0</v>
      </c>
      <c r="X43" s="109">
        <f>+GETPIVOTDATA(" Tot # Undes. New",'NEW Counts Pivot Table'!$A$3,"State","FL","Category",5,"Category2","Four-Year")</f>
        <v>0</v>
      </c>
      <c r="Y43" s="109">
        <f>+GETPIVOTDATA(" Tot # Undes. New",'NEW Counts Pivot Table'!$A$3,"State","FL","Category",6,"Category2","Four-Year")</f>
        <v>0</v>
      </c>
      <c r="Z43" s="111">
        <f>+GETPIVOTDATA(" Tot # Undes. New",'NEW Counts Pivot Table'!$A$3,"State","FL","Category2","Four-Year")</f>
        <v>585</v>
      </c>
      <c r="AA43" s="108">
        <f>+GETPIVOTDATA(" Tot # Undes. New",'NEW Counts Pivot Table'!$A$3,"State","AR","Category",7,"Category2","Group2")</f>
        <v>0</v>
      </c>
      <c r="AB43" s="109">
        <f>+GETPIVOTDATA(" Tot # Undes. New",'NEW Counts Pivot Table'!$A$3,"State","AR","Category",8,"Category2","Group2")</f>
        <v>0</v>
      </c>
      <c r="AC43" s="109">
        <f>+GETPIVOTDATA(" Tot # Undes. New",'NEW Counts Pivot Table'!$A$3,"State","DE","Category",9,"Category2","Group2")</f>
        <v>0</v>
      </c>
      <c r="AD43" s="109">
        <f>+GETPIVOTDATA(" Tot # Undes. New",'NEW Counts Pivot Table'!$A$3,"State","DE","Category",10,"Category2","Group2")</f>
        <v>0</v>
      </c>
      <c r="AE43" s="109">
        <f>+GETPIVOTDATA(" Tot # Undes. New",'NEW Counts Pivot Table'!$A$3,"State","FL","Category","11","Category2","Group2")</f>
        <v>0</v>
      </c>
      <c r="AF43" s="110">
        <f>+GETPIVOTDATA(" Tot # Undes. New",'NEW Counts Pivot Table'!$A$3,"State","FL","Category2","Group2")</f>
        <v>0</v>
      </c>
      <c r="AG43" s="108">
        <f>+GETPIVOTDATA(" Tot # Undes. New",'NEW Counts Pivot Table'!$A$3,"State","FL","Category",12,"Category2","Technical Institutes")</f>
        <v>0</v>
      </c>
      <c r="AH43" s="109">
        <f>+GETPIVOTDATA(" Tot # Undes. New",'NEW Counts Pivot Table'!$A$3,"State","FL","Category",13,"Category2","Technical Institutes")</f>
        <v>0</v>
      </c>
      <c r="AI43" s="110">
        <f>+GETPIVOTDATA(" Tot # Undes. New",'NEW Counts Pivot Table'!$A$3,"State","FL","Category",14,"Category2","Technical Institutes")</f>
        <v>0</v>
      </c>
      <c r="AJ43" s="108">
        <f>+GETPIVOTDATA(" Tot # Undes. New",'NEW Counts Pivot Table'!$A$3,"State","FL","Category2","Technical Institutes")</f>
        <v>0</v>
      </c>
    </row>
    <row r="44" spans="1:38">
      <c r="A44" s="30"/>
      <c r="B44" s="38" t="s">
        <v>314</v>
      </c>
      <c r="C44" s="32">
        <f t="shared" si="12"/>
        <v>0</v>
      </c>
      <c r="D44" s="34">
        <f t="shared" si="12"/>
        <v>0</v>
      </c>
      <c r="E44" s="185">
        <f t="shared" si="12"/>
        <v>0</v>
      </c>
      <c r="F44" s="34">
        <f t="shared" si="12"/>
        <v>0</v>
      </c>
      <c r="G44" s="185">
        <f t="shared" si="12"/>
        <v>0</v>
      </c>
      <c r="H44" s="68">
        <f t="shared" si="12"/>
        <v>0</v>
      </c>
      <c r="I44" s="184">
        <f t="shared" si="12"/>
        <v>0</v>
      </c>
      <c r="J44" s="32">
        <f t="shared" si="12"/>
        <v>0</v>
      </c>
      <c r="K44" s="34">
        <f t="shared" si="12"/>
        <v>1</v>
      </c>
      <c r="L44" s="34">
        <f t="shared" si="12"/>
        <v>1</v>
      </c>
      <c r="M44" s="34">
        <f t="shared" si="13"/>
        <v>1</v>
      </c>
      <c r="N44" s="32">
        <f t="shared" si="14"/>
        <v>1</v>
      </c>
      <c r="O44" s="32">
        <f t="shared" si="14"/>
        <v>0</v>
      </c>
      <c r="P44" s="34">
        <f t="shared" si="14"/>
        <v>0</v>
      </c>
      <c r="Q44" s="68">
        <f t="shared" si="14"/>
        <v>0</v>
      </c>
      <c r="R44" s="32">
        <f t="shared" si="14"/>
        <v>0</v>
      </c>
      <c r="S44" s="87"/>
      <c r="T44" s="108">
        <f>+GETPIVOTDATA(" Tot # Single Rnk New",'NEW Counts Pivot Table'!$A$3,"State","FL","Category",1,"Category2","Four-Year")</f>
        <v>0</v>
      </c>
      <c r="U44" s="109">
        <f>+GETPIVOTDATA(" Tot # Single Rnk New",'NEW Counts Pivot Table'!$A$3,"State","FL","Category",2,"Category2","Four-Year")</f>
        <v>0</v>
      </c>
      <c r="V44" s="109">
        <f>+GETPIVOTDATA(" Tot # Single Rnk New",'NEW Counts Pivot Table'!$A$3,"State","FL","Category",3,"Category2","Four-Year")</f>
        <v>0</v>
      </c>
      <c r="W44" s="109">
        <f>+GETPIVOTDATA(" Tot # Single Rnk New",'NEW Counts Pivot Table'!$A$3,"State","FL","Category",4,"Category2","Four-Year")</f>
        <v>0</v>
      </c>
      <c r="X44" s="109">
        <f>+GETPIVOTDATA(" Tot # Single Rnk New",'NEW Counts Pivot Table'!$A$3,"State","FL","Category",5,"Category2","Four-Year")</f>
        <v>0</v>
      </c>
      <c r="Y44" s="109">
        <f>+GETPIVOTDATA(" Tot # Single Rnk New",'NEW Counts Pivot Table'!$A$3,"State","FL","Category",6,"Category2","Four-Year")</f>
        <v>0</v>
      </c>
      <c r="Z44" s="111">
        <f>+GETPIVOTDATA(" Tot # Single Rnk New",'NEW Counts Pivot Table'!$A$3,"State","FL","Category2","Four-Year")</f>
        <v>0</v>
      </c>
      <c r="AA44" s="108">
        <f>+GETPIVOTDATA(" Tot # Single Rnk New",'NEW Counts Pivot Table'!$A$3,"State","AR","Category",7,"Category2","Group2")</f>
        <v>0</v>
      </c>
      <c r="AB44" s="109">
        <f>+GETPIVOTDATA(" Tot # Single Rnk New",'NEW Counts Pivot Table'!$A$3,"State","AR","Category",8,"Category2","Group2")</f>
        <v>171</v>
      </c>
      <c r="AC44" s="109">
        <f>+GETPIVOTDATA(" Tot # Single Rnk New",'NEW Counts Pivot Table'!$A$3,"State","DE","Category",9,"Category2","Group2")</f>
        <v>300</v>
      </c>
      <c r="AD44" s="109">
        <f>+GETPIVOTDATA(" Tot # Single Rnk New",'NEW Counts Pivot Table'!$A$3,"State","DE","Category",10,"Category2","Group2")</f>
        <v>84</v>
      </c>
      <c r="AE44" s="109">
        <f>+GETPIVOTDATA(" Tot # Single Rnk New",'NEW Counts Pivot Table'!$A$3,"State","FL","Category","11","Category2","Group2")</f>
        <v>0</v>
      </c>
      <c r="AF44" s="110">
        <f>+GETPIVOTDATA(" Tot # Single Rnk New",'NEW Counts Pivot Table'!$A$3,"State","FL","Category2","Group2")</f>
        <v>5493</v>
      </c>
      <c r="AG44" s="108">
        <f>+GETPIVOTDATA(" Tot # Single Rnk New",'NEW Counts Pivot Table'!$A$3,"State","FL","Category",12,"Category2","Technical Institutes")</f>
        <v>0</v>
      </c>
      <c r="AH44" s="109">
        <f>+GETPIVOTDATA(" Tot # Single Rnk New",'NEW Counts Pivot Table'!$A$3,"State","FL","Category",13,"Category2","Technical Institutes")</f>
        <v>0</v>
      </c>
      <c r="AI44" s="110">
        <f>+GETPIVOTDATA(" Tot # Single Rnk New",'NEW Counts Pivot Table'!$A$3,"State","FL","Category",14,"Category2","Technical Institutes")</f>
        <v>0</v>
      </c>
      <c r="AJ44" s="108">
        <f>+GETPIVOTDATA(" Tot # Single Rnk New",'NEW Counts Pivot Table'!$A$3,"State","FL","Category2","Technical Institutes")</f>
        <v>0</v>
      </c>
    </row>
    <row r="45" spans="1:38" s="54" customFormat="1">
      <c r="A45" s="191"/>
      <c r="B45" s="192" t="s">
        <v>316</v>
      </c>
      <c r="C45" s="33">
        <f t="shared" si="12"/>
        <v>1</v>
      </c>
      <c r="D45" s="31">
        <f t="shared" si="12"/>
        <v>1</v>
      </c>
      <c r="E45" s="31">
        <f t="shared" si="12"/>
        <v>1</v>
      </c>
      <c r="F45" s="31">
        <f t="shared" si="12"/>
        <v>1</v>
      </c>
      <c r="G45" s="31">
        <f t="shared" si="12"/>
        <v>0</v>
      </c>
      <c r="H45" s="69">
        <f t="shared" si="12"/>
        <v>1</v>
      </c>
      <c r="I45" s="33">
        <f t="shared" si="12"/>
        <v>1</v>
      </c>
      <c r="J45" s="33">
        <f t="shared" si="12"/>
        <v>0</v>
      </c>
      <c r="K45" s="31">
        <f t="shared" si="12"/>
        <v>1</v>
      </c>
      <c r="L45" s="31">
        <f t="shared" si="12"/>
        <v>1</v>
      </c>
      <c r="M45" s="31">
        <f t="shared" si="13"/>
        <v>1</v>
      </c>
      <c r="N45" s="33">
        <f t="shared" si="14"/>
        <v>1</v>
      </c>
      <c r="O45" s="33">
        <f t="shared" si="14"/>
        <v>0</v>
      </c>
      <c r="P45" s="31">
        <f t="shared" si="14"/>
        <v>0</v>
      </c>
      <c r="Q45" s="69">
        <f t="shared" si="14"/>
        <v>0</v>
      </c>
      <c r="R45" s="33">
        <f t="shared" si="14"/>
        <v>0</v>
      </c>
      <c r="S45" s="88"/>
      <c r="T45" s="112">
        <f>+GETPIVOTDATA(" All Ranks # New",'NEW Counts Pivot Table'!$A$3,"State","FL","Category",1,"Category2","Four-Year")</f>
        <v>6562</v>
      </c>
      <c r="U45" s="113">
        <f>+GETPIVOTDATA(" All Ranks # New",'NEW Counts Pivot Table'!$A$3,"State","FL","Category",2,"Category2","Four-Year")</f>
        <v>774</v>
      </c>
      <c r="V45" s="113">
        <f>+GETPIVOTDATA(" All Ranks # New",'NEW Counts Pivot Table'!$A$3,"State","FL","Category",3,"Category2","Four-Year")</f>
        <v>1326</v>
      </c>
      <c r="W45" s="113">
        <f>+GETPIVOTDATA(" All Ranks # New",'NEW Counts Pivot Table'!$A$3,"State","FL","Category",4,"Category2","Four-Year")</f>
        <v>373</v>
      </c>
      <c r="X45" s="113">
        <f>+GETPIVOTDATA(" All Ranks # New",'NEW Counts Pivot Table'!$A$3,"State","FL","Category",5,"Category2","Four-Year")</f>
        <v>0</v>
      </c>
      <c r="Y45" s="113">
        <f>+GETPIVOTDATA(" All Ranks # New",'NEW Counts Pivot Table'!$A$3,"State","FL","Category",6,"Category2","Four-Year")</f>
        <v>71</v>
      </c>
      <c r="Z45" s="115">
        <f>+GETPIVOTDATA(" All Ranks # New",'NEW Counts Pivot Table'!$A$3,"State","FL","Category2","Four-Year")</f>
        <v>9106</v>
      </c>
      <c r="AA45" s="112">
        <f>+GETPIVOTDATA(" All Ranks # New",'NEW Counts Pivot Table'!$A$3,"State","AR","Category",7,"Category2","Group2")</f>
        <v>0</v>
      </c>
      <c r="AB45" s="113">
        <f>+GETPIVOTDATA(" All Ranks # New",'NEW Counts Pivot Table'!$A$3,"State","AR","Category",8,"Category2","Group2")</f>
        <v>171</v>
      </c>
      <c r="AC45" s="113">
        <f>+GETPIVOTDATA(" All Ranks # New",'NEW Counts Pivot Table'!$A$3,"State","DE","Category",9,"Category2","Group2")</f>
        <v>300</v>
      </c>
      <c r="AD45" s="113">
        <f>+GETPIVOTDATA(" All Ranks # New",'NEW Counts Pivot Table'!$A$3,"State","DE","Category",10,"Category2","Group2")</f>
        <v>84</v>
      </c>
      <c r="AE45" s="113">
        <f>+GETPIVOTDATA(" All Ranks # New",'NEW Counts Pivot Table'!$A$3,"State","FL","Category","11","Category2","Group2")</f>
        <v>0</v>
      </c>
      <c r="AF45" s="114">
        <f>+GETPIVOTDATA(" All Ranks # New",'NEW Counts Pivot Table'!$A$3,"State","FL","Category2","Group2")</f>
        <v>5493</v>
      </c>
      <c r="AG45" s="112">
        <f>+GETPIVOTDATA(" All Ranks # New",'NEW Counts Pivot Table'!$A$3,"State","FL","Category",12,"Category2","Technical Institutes")</f>
        <v>0</v>
      </c>
      <c r="AH45" s="113">
        <f>+GETPIVOTDATA(" All Ranks # New",'NEW Counts Pivot Table'!$A$3,"State","FL","Category",13,"Category2","Technical Institutes")</f>
        <v>0</v>
      </c>
      <c r="AI45" s="114">
        <f>+GETPIVOTDATA(" All Ranks # New",'NEW Counts Pivot Table'!$A$3,"State","FL","Category",14,"Category2","Technical Institutes")</f>
        <v>0</v>
      </c>
      <c r="AJ45" s="112">
        <f>+GETPIVOTDATA(" All Ranks # New",'NEW Counts Pivot Table'!$A$3,"State","FL","Category2","Technical Institutes")</f>
        <v>0</v>
      </c>
      <c r="AK45" s="116"/>
      <c r="AL45" s="116"/>
    </row>
    <row r="46" spans="1:38">
      <c r="A46" s="38" t="s">
        <v>345</v>
      </c>
      <c r="B46" s="35" t="s">
        <v>332</v>
      </c>
      <c r="C46" s="36">
        <f t="shared" ref="C46:L52" si="15">IF(T$52&gt;0,(T46/T$52),0)</f>
        <v>0.31588319088319089</v>
      </c>
      <c r="D46" s="37">
        <f t="shared" si="15"/>
        <v>0.42153846153846153</v>
      </c>
      <c r="E46" s="37">
        <f t="shared" si="15"/>
        <v>0.24373854612095297</v>
      </c>
      <c r="F46" s="37">
        <f t="shared" si="15"/>
        <v>0.20443925233644861</v>
      </c>
      <c r="G46" s="37">
        <f t="shared" si="15"/>
        <v>0.22272215973003376</v>
      </c>
      <c r="H46" s="67">
        <f t="shared" si="15"/>
        <v>0.13910761154855644</v>
      </c>
      <c r="I46" s="36">
        <f t="shared" si="15"/>
        <v>0.27350630802189957</v>
      </c>
      <c r="J46" s="36">
        <f t="shared" si="15"/>
        <v>0</v>
      </c>
      <c r="K46" s="37">
        <f t="shared" si="15"/>
        <v>0</v>
      </c>
      <c r="L46" s="37">
        <f t="shared" si="15"/>
        <v>0</v>
      </c>
      <c r="M46" s="37">
        <f t="shared" ref="M46:M52" si="16">IF(AD$52&gt;0,(AD46/AD$52),0)</f>
        <v>0</v>
      </c>
      <c r="N46" s="36">
        <f t="shared" ref="N46:R52" si="17">IF(AF$52&gt;0,(AF46/AF$52),0)</f>
        <v>0.11085316308763785</v>
      </c>
      <c r="O46" s="152">
        <f t="shared" si="17"/>
        <v>0</v>
      </c>
      <c r="P46" s="37">
        <f t="shared" si="17"/>
        <v>0</v>
      </c>
      <c r="Q46" s="67">
        <f t="shared" si="17"/>
        <v>0</v>
      </c>
      <c r="R46" s="152">
        <f t="shared" si="17"/>
        <v>0</v>
      </c>
      <c r="S46" s="117"/>
      <c r="T46" s="104">
        <f>+GETPIVOTDATA(" Total # Prof New",'NEW Counts Pivot Table'!$A$3,"State","GA","Category",1,"Category2","Four-Year")</f>
        <v>887</v>
      </c>
      <c r="U46" s="105">
        <f>+GETPIVOTDATA(" Total # Prof New",'NEW Counts Pivot Table'!$A$3,"State","GA","Category",2,"Category2","Four-Year")</f>
        <v>411</v>
      </c>
      <c r="V46" s="105">
        <f>+GETPIVOTDATA(" Total # Prof New",'NEW Counts Pivot Table'!$A$3,"State","GA","Category",3,"Category2","Four-Year")</f>
        <v>399</v>
      </c>
      <c r="W46" s="105">
        <f>+GETPIVOTDATA(" Total # Prof New",'NEW Counts Pivot Table'!$A$3,"State","GA","Category",4,"Category2","Four-Year")</f>
        <v>350</v>
      </c>
      <c r="X46" s="105">
        <f>+GETPIVOTDATA(" Total # Prof New",'NEW Counts Pivot Table'!$A$3,"State","GA","Category",5,"Category2","Four-Year")</f>
        <v>198</v>
      </c>
      <c r="Y46" s="105">
        <f>+GETPIVOTDATA(" Total # Prof New",'NEW Counts Pivot Table'!$A$3,"State","GA","Category",6,"Category2","Four-Year")</f>
        <v>53</v>
      </c>
      <c r="Z46" s="107">
        <f>+GETPIVOTDATA(" Total # Prof New",'NEW Counts Pivot Table'!$A$3,"State","GA","Category2","Four-Year")</f>
        <v>2298</v>
      </c>
      <c r="AA46" s="104">
        <f>+GETPIVOTDATA(" Total # Prof New",'NEW Counts Pivot Table'!$A$3,"State","AR","Category",7,"Category2","Group2")</f>
        <v>0</v>
      </c>
      <c r="AB46" s="105">
        <f>+GETPIVOTDATA(" Total # Prof New",'NEW Counts Pivot Table'!$A$3,"State","AR","Category",8,"Category2","Group2")</f>
        <v>0</v>
      </c>
      <c r="AC46" s="105">
        <f>+GETPIVOTDATA(" Total # Prof New",'NEW Counts Pivot Table'!$A$3,"State","DE","Category",9,"Category2","Group2")</f>
        <v>0</v>
      </c>
      <c r="AD46" s="105">
        <f>+GETPIVOTDATA(" Total # Prof New",'NEW Counts Pivot Table'!$A$3,"State","DE","Category",10,"Category2","Group2")</f>
        <v>0</v>
      </c>
      <c r="AE46" s="105">
        <f>+GETPIVOTDATA(" Total # Prof New",'NEW Counts Pivot Table'!$A$3,"State","GA","Category","11","Category2","Group2")</f>
        <v>0</v>
      </c>
      <c r="AF46" s="106">
        <f>+GETPIVOTDATA(" Total # Prof New",'NEW Counts Pivot Table'!$A$3,"State","GA","Category2","Group2")</f>
        <v>191</v>
      </c>
      <c r="AG46" s="104">
        <f>+GETPIVOTDATA(" Total # Prof New",'NEW Counts Pivot Table'!$A$3,"State","GA","Category",12,"Category2","Technical Institutes")</f>
        <v>0</v>
      </c>
      <c r="AH46" s="105">
        <f>+GETPIVOTDATA(" Total # Prof New",'NEW Counts Pivot Table'!$A$3,"State","GA","Category",13,"Category2","Technical Institutes")</f>
        <v>0</v>
      </c>
      <c r="AI46" s="106">
        <f>+GETPIVOTDATA(" Total # Prof New",'NEW Counts Pivot Table'!$A$3,"State","GA","Category",14,"Category2","Technical Institutes")</f>
        <v>0</v>
      </c>
      <c r="AJ46" s="104">
        <f>+GETPIVOTDATA(" Total # Prof New",'NEW Counts Pivot Table'!$A$3,"State","GA","Category2","Technical Institutes")</f>
        <v>0</v>
      </c>
    </row>
    <row r="47" spans="1:38">
      <c r="A47" s="30"/>
      <c r="B47" s="38" t="s">
        <v>333</v>
      </c>
      <c r="C47" s="32">
        <f t="shared" si="15"/>
        <v>0.28062678062678065</v>
      </c>
      <c r="D47" s="34">
        <f t="shared" si="15"/>
        <v>0.24717948717948718</v>
      </c>
      <c r="E47" s="34">
        <f t="shared" si="15"/>
        <v>0.24434941967012827</v>
      </c>
      <c r="F47" s="34">
        <f t="shared" si="15"/>
        <v>0.23539719626168223</v>
      </c>
      <c r="G47" s="34">
        <f t="shared" si="15"/>
        <v>0.22609673790776152</v>
      </c>
      <c r="H47" s="68">
        <f t="shared" si="15"/>
        <v>0.32545931758530183</v>
      </c>
      <c r="I47" s="32">
        <f t="shared" si="15"/>
        <v>0.25672458938348014</v>
      </c>
      <c r="J47" s="32">
        <f t="shared" si="15"/>
        <v>0</v>
      </c>
      <c r="K47" s="34">
        <f t="shared" si="15"/>
        <v>0</v>
      </c>
      <c r="L47" s="34">
        <f t="shared" si="15"/>
        <v>0</v>
      </c>
      <c r="M47" s="34">
        <f t="shared" si="16"/>
        <v>0</v>
      </c>
      <c r="N47" s="32">
        <f t="shared" si="17"/>
        <v>0.25478816018572259</v>
      </c>
      <c r="O47" s="32">
        <f t="shared" si="17"/>
        <v>0</v>
      </c>
      <c r="P47" s="34">
        <f t="shared" si="17"/>
        <v>0</v>
      </c>
      <c r="Q47" s="68">
        <f t="shared" si="17"/>
        <v>0</v>
      </c>
      <c r="R47" s="32">
        <f t="shared" si="17"/>
        <v>0</v>
      </c>
      <c r="S47" s="87"/>
      <c r="T47" s="108">
        <f>+GETPIVOTDATA(" Tot # Asc. Prof New",'NEW Counts Pivot Table'!$A$3,"State","GA","Category",1,"Category2","Four-Year")</f>
        <v>788</v>
      </c>
      <c r="U47" s="109">
        <f>+GETPIVOTDATA(" Tot # Asc. Prof New",'NEW Counts Pivot Table'!$A$3,"State","GA","Category",2,"Category2","Four-Year")</f>
        <v>241</v>
      </c>
      <c r="V47" s="109">
        <f>+GETPIVOTDATA(" Tot # Asc. Prof New",'NEW Counts Pivot Table'!$A$3,"State","GA","Category",3,"Category2","Four-Year")</f>
        <v>400</v>
      </c>
      <c r="W47" s="109">
        <f>+GETPIVOTDATA(" Tot # Asc. Prof New",'NEW Counts Pivot Table'!$A$3,"State","GA","Category",4,"Category2","Four-Year")</f>
        <v>403</v>
      </c>
      <c r="X47" s="109">
        <f>+GETPIVOTDATA(" Tot # Asc. Prof New",'NEW Counts Pivot Table'!$A$3,"State","GA","Category",5,"Category2","Four-Year")</f>
        <v>201</v>
      </c>
      <c r="Y47" s="109">
        <f>+GETPIVOTDATA(" Tot # Asc. Prof New",'NEW Counts Pivot Table'!$A$3,"State","GA","Category",6,"Category2","Four-Year")</f>
        <v>124</v>
      </c>
      <c r="Z47" s="111">
        <f>+GETPIVOTDATA(" Tot # Asc. Prof New",'NEW Counts Pivot Table'!$A$3,"State","GA","Category2","Four-Year")</f>
        <v>2157</v>
      </c>
      <c r="AA47" s="108">
        <f>+GETPIVOTDATA(" Tot # Asc. Prof New",'NEW Counts Pivot Table'!$A$3,"State","AR","Category",7,"Category2","Group2")</f>
        <v>0</v>
      </c>
      <c r="AB47" s="109">
        <f>+GETPIVOTDATA(" Tot # Asc. Prof New",'NEW Counts Pivot Table'!$A$3,"State","AR","Category",8,"Category2","Group2")</f>
        <v>0</v>
      </c>
      <c r="AC47" s="109">
        <f>+GETPIVOTDATA(" Tot # Asc. Prof New",'NEW Counts Pivot Table'!$A$3,"State","DE","Category",9,"Category2","Group2")</f>
        <v>0</v>
      </c>
      <c r="AD47" s="109">
        <f>+GETPIVOTDATA(" Tot # Asc. Prof New",'NEW Counts Pivot Table'!$A$3,"State","DE","Category",10,"Category2","Group2")</f>
        <v>0</v>
      </c>
      <c r="AE47" s="109">
        <f>+GETPIVOTDATA(" Tot # Asc. Prof New",'NEW Counts Pivot Table'!$A$3,"State","GA","Category","11","Category2","Group2")</f>
        <v>0</v>
      </c>
      <c r="AF47" s="110">
        <f>+GETPIVOTDATA(" Tot # Asc. Prof New",'NEW Counts Pivot Table'!$A$3,"State","GA","Category2","Group2")</f>
        <v>439</v>
      </c>
      <c r="AG47" s="108">
        <f>+GETPIVOTDATA(" Tot # Asc. Prof New",'NEW Counts Pivot Table'!$A$3,"State","GA","Category",12,"Category2","Technical Institutes")</f>
        <v>0</v>
      </c>
      <c r="AH47" s="109">
        <f>+GETPIVOTDATA(" Tot # Asc. Prof New",'NEW Counts Pivot Table'!$A$3,"State","GA","Category",13,"Category2","Technical Institutes")</f>
        <v>0</v>
      </c>
      <c r="AI47" s="110">
        <f>+GETPIVOTDATA(" Tot # Asc. Prof New",'NEW Counts Pivot Table'!$A$3,"State","GA","Category",14,"Category2","Technical Institutes")</f>
        <v>0</v>
      </c>
      <c r="AJ47" s="108">
        <f>+GETPIVOTDATA(" Tot # Asc. Prof New",'NEW Counts Pivot Table'!$A$3,"State","GA","Category2","Technical Institutes")</f>
        <v>0</v>
      </c>
    </row>
    <row r="48" spans="1:38">
      <c r="A48" s="30"/>
      <c r="B48" s="38" t="s">
        <v>334</v>
      </c>
      <c r="C48" s="32">
        <f t="shared" si="15"/>
        <v>0.27314814814814814</v>
      </c>
      <c r="D48" s="34">
        <f t="shared" si="15"/>
        <v>0.2287179487179487</v>
      </c>
      <c r="E48" s="34">
        <f t="shared" si="15"/>
        <v>0.337202199144777</v>
      </c>
      <c r="F48" s="34">
        <f t="shared" si="15"/>
        <v>0.3855140186915888</v>
      </c>
      <c r="G48" s="34">
        <f t="shared" si="15"/>
        <v>0.36782902137232848</v>
      </c>
      <c r="H48" s="68">
        <f t="shared" si="15"/>
        <v>0.41994750656167978</v>
      </c>
      <c r="I48" s="32">
        <f t="shared" si="15"/>
        <v>0.3200428469412045</v>
      </c>
      <c r="J48" s="32">
        <f t="shared" si="15"/>
        <v>0</v>
      </c>
      <c r="K48" s="34">
        <f t="shared" si="15"/>
        <v>0</v>
      </c>
      <c r="L48" s="34">
        <f t="shared" si="15"/>
        <v>0</v>
      </c>
      <c r="M48" s="34">
        <f t="shared" si="16"/>
        <v>0</v>
      </c>
      <c r="N48" s="32">
        <f t="shared" si="17"/>
        <v>0.36157864190365641</v>
      </c>
      <c r="O48" s="32">
        <f t="shared" si="17"/>
        <v>0</v>
      </c>
      <c r="P48" s="34">
        <f t="shared" si="17"/>
        <v>0</v>
      </c>
      <c r="Q48" s="68">
        <f t="shared" si="17"/>
        <v>0</v>
      </c>
      <c r="R48" s="32">
        <f t="shared" si="17"/>
        <v>0</v>
      </c>
      <c r="S48" s="87"/>
      <c r="T48" s="108">
        <f>+GETPIVOTDATA(" Tot # Ast. Prof New",'NEW Counts Pivot Table'!$A$3,"State","GA","Category",1,"Category2","Four-Year")</f>
        <v>767</v>
      </c>
      <c r="U48" s="109">
        <f>+GETPIVOTDATA(" Tot # Ast. Prof New",'NEW Counts Pivot Table'!$A$3,"State","GA","Category",2,"Category2","Four-Year")</f>
        <v>223</v>
      </c>
      <c r="V48" s="109">
        <f>+GETPIVOTDATA(" Tot # Ast. Prof New",'NEW Counts Pivot Table'!$A$3,"State","GA","Category",3,"Category2","Four-Year")</f>
        <v>552</v>
      </c>
      <c r="W48" s="109">
        <f>+GETPIVOTDATA(" Tot # Ast. Prof New",'NEW Counts Pivot Table'!$A$3,"State","GA","Category",4,"Category2","Four-Year")</f>
        <v>660</v>
      </c>
      <c r="X48" s="109">
        <f>+GETPIVOTDATA(" Tot # Ast. Prof New",'NEW Counts Pivot Table'!$A$3,"State","GA","Category",5,"Category2","Four-Year")</f>
        <v>327</v>
      </c>
      <c r="Y48" s="109">
        <f>+GETPIVOTDATA(" Tot # Ast. Prof New",'NEW Counts Pivot Table'!$A$3,"State","GA","Category",6,"Category2","Four-Year")</f>
        <v>160</v>
      </c>
      <c r="Z48" s="111">
        <f>+GETPIVOTDATA(" Tot # Ast. Prof New",'NEW Counts Pivot Table'!$A$3,"State","GA","Category2","Four-Year")</f>
        <v>2689</v>
      </c>
      <c r="AA48" s="108">
        <f>+GETPIVOTDATA(" Tot # Ast. Prof New",'NEW Counts Pivot Table'!$A$3,"State","AR","Category",7,"Category2","Group2")</f>
        <v>0</v>
      </c>
      <c r="AB48" s="109">
        <f>+GETPIVOTDATA(" Tot # Ast. Prof New",'NEW Counts Pivot Table'!$A$3,"State","AR","Category",8,"Category2","Group2")</f>
        <v>0</v>
      </c>
      <c r="AC48" s="109">
        <f>+GETPIVOTDATA(" Tot # Ast. Prof New",'NEW Counts Pivot Table'!$A$3,"State","DE","Category",9,"Category2","Group2")</f>
        <v>0</v>
      </c>
      <c r="AD48" s="109">
        <f>+GETPIVOTDATA(" Tot # Ast. Prof New",'NEW Counts Pivot Table'!$A$3,"State","DE","Category",10,"Category2","Group2")</f>
        <v>0</v>
      </c>
      <c r="AE48" s="109">
        <f>+GETPIVOTDATA(" Tot # Ast. Prof New",'NEW Counts Pivot Table'!$A$3,"State","GA","Category","11","Category2","Group2")</f>
        <v>0</v>
      </c>
      <c r="AF48" s="110">
        <f>+GETPIVOTDATA(" Tot # Ast. Prof New",'NEW Counts Pivot Table'!$A$3,"State","GA","Category2","Group2")</f>
        <v>623</v>
      </c>
      <c r="AG48" s="108">
        <f>+GETPIVOTDATA(" Tot # Ast. Prof New",'NEW Counts Pivot Table'!$A$3,"State","GA","Category",12,"Category2","Technical Institutes")</f>
        <v>0</v>
      </c>
      <c r="AH48" s="109">
        <f>+GETPIVOTDATA(" Tot # Ast. Prof New",'NEW Counts Pivot Table'!$A$3,"State","GA","Category",13,"Category2","Technical Institutes")</f>
        <v>0</v>
      </c>
      <c r="AI48" s="110">
        <f>+GETPIVOTDATA(" Tot # Ast. Prof New",'NEW Counts Pivot Table'!$A$3,"State","GA","Category",14,"Category2","Technical Institutes")</f>
        <v>0</v>
      </c>
      <c r="AJ48" s="108">
        <f>+GETPIVOTDATA(" Tot # Ast. Prof New",'NEW Counts Pivot Table'!$A$3,"State","GA","Category2","Technical Institutes")</f>
        <v>0</v>
      </c>
    </row>
    <row r="49" spans="1:38">
      <c r="A49" s="30"/>
      <c r="B49" s="38" t="s">
        <v>335</v>
      </c>
      <c r="C49" s="32">
        <f t="shared" si="15"/>
        <v>3.7749287749287749E-2</v>
      </c>
      <c r="D49" s="34">
        <f t="shared" si="15"/>
        <v>2.6666666666666668E-2</v>
      </c>
      <c r="E49" s="34">
        <f t="shared" si="15"/>
        <v>0.13500305436774587</v>
      </c>
      <c r="F49" s="34">
        <f t="shared" si="15"/>
        <v>9.2289719626168221E-2</v>
      </c>
      <c r="G49" s="34">
        <f t="shared" si="15"/>
        <v>0.12823397075365578</v>
      </c>
      <c r="H49" s="68">
        <f t="shared" si="15"/>
        <v>1.8372703412073491E-2</v>
      </c>
      <c r="I49" s="32">
        <f t="shared" si="15"/>
        <v>7.5220185670078557E-2</v>
      </c>
      <c r="J49" s="32">
        <f t="shared" si="15"/>
        <v>0</v>
      </c>
      <c r="K49" s="34">
        <f t="shared" si="15"/>
        <v>0</v>
      </c>
      <c r="L49" s="34">
        <f t="shared" si="15"/>
        <v>0</v>
      </c>
      <c r="M49" s="34">
        <f t="shared" si="16"/>
        <v>0</v>
      </c>
      <c r="N49" s="32">
        <f t="shared" si="17"/>
        <v>0.2199651770168311</v>
      </c>
      <c r="O49" s="32">
        <f t="shared" si="17"/>
        <v>0</v>
      </c>
      <c r="P49" s="34">
        <f t="shared" si="17"/>
        <v>0</v>
      </c>
      <c r="Q49" s="68">
        <f t="shared" si="17"/>
        <v>0</v>
      </c>
      <c r="R49" s="32">
        <f t="shared" si="17"/>
        <v>0</v>
      </c>
      <c r="S49" s="87"/>
      <c r="T49" s="108">
        <f>+GETPIVOTDATA(" Tot # Instr. New",'NEW Counts Pivot Table'!$A$3,"State","GA","Category",1,"Category2","Four-Year")</f>
        <v>106</v>
      </c>
      <c r="U49" s="109">
        <f>+GETPIVOTDATA(" Tot # Instr. New",'NEW Counts Pivot Table'!$A$3,"State","GA","Category",2,"Category2","Four-Year")</f>
        <v>26</v>
      </c>
      <c r="V49" s="109">
        <f>+GETPIVOTDATA(" Tot # Instr. New",'NEW Counts Pivot Table'!$A$3,"State","GA","Category",3,"Category2","Four-Year")</f>
        <v>221</v>
      </c>
      <c r="W49" s="109">
        <f>+GETPIVOTDATA(" Tot # Instr. New",'NEW Counts Pivot Table'!$A$3,"State","GA","Category",4,"Category2","Four-Year")</f>
        <v>158</v>
      </c>
      <c r="X49" s="109">
        <f>+GETPIVOTDATA(" Tot # Instr. New",'NEW Counts Pivot Table'!$A$3,"State","GA","Category",5,"Category2","Four-Year")</f>
        <v>114</v>
      </c>
      <c r="Y49" s="109">
        <f>+GETPIVOTDATA(" Tot # Instr. New",'NEW Counts Pivot Table'!$A$3,"State","GA","Category",6,"Category2","Four-Year")</f>
        <v>7</v>
      </c>
      <c r="Z49" s="111">
        <f>+GETPIVOTDATA(" Tot # Instr. New",'NEW Counts Pivot Table'!$A$3,"State","GA","Category2","Four-Year")</f>
        <v>632</v>
      </c>
      <c r="AA49" s="108">
        <f>+GETPIVOTDATA(" Tot # Instr. New",'NEW Counts Pivot Table'!$A$3,"State","AR","Category",7,"Category2","Group2")</f>
        <v>0</v>
      </c>
      <c r="AB49" s="109">
        <f>+GETPIVOTDATA(" Tot # Instr. New",'NEW Counts Pivot Table'!$A$3,"State","AR","Category",8,"Category2","Group2")</f>
        <v>0</v>
      </c>
      <c r="AC49" s="109">
        <f>+GETPIVOTDATA(" Tot # Instr. New",'NEW Counts Pivot Table'!$A$3,"State","DE","Category",9,"Category2","Group2")</f>
        <v>0</v>
      </c>
      <c r="AD49" s="109">
        <f>+GETPIVOTDATA(" Tot # Instr. New",'NEW Counts Pivot Table'!$A$3,"State","DE","Category",10,"Category2","Group2")</f>
        <v>0</v>
      </c>
      <c r="AE49" s="109">
        <f>+GETPIVOTDATA(" Tot # Instr. New",'NEW Counts Pivot Table'!$A$3,"State","GA","Category","11","Category2","Group2")</f>
        <v>0</v>
      </c>
      <c r="AF49" s="110">
        <f>+GETPIVOTDATA(" Tot # Instr. New",'NEW Counts Pivot Table'!$A$3,"State","GA","Category2","Group2")</f>
        <v>379</v>
      </c>
      <c r="AG49" s="108">
        <f>+GETPIVOTDATA(" Tot # Instr. New",'NEW Counts Pivot Table'!$A$3,"State","GA","Category",12,"Category2","Technical Institutes")</f>
        <v>0</v>
      </c>
      <c r="AH49" s="109">
        <f>+GETPIVOTDATA(" Tot # Instr. New",'NEW Counts Pivot Table'!$A$3,"State","GA","Category",13,"Category2","Technical Institutes")</f>
        <v>0</v>
      </c>
      <c r="AI49" s="110">
        <f>+GETPIVOTDATA(" Tot # Instr. New",'NEW Counts Pivot Table'!$A$3,"State","GA","Category",14,"Category2","Technical Institutes")</f>
        <v>0</v>
      </c>
      <c r="AJ49" s="108">
        <f>+GETPIVOTDATA(" Tot # Instr. New",'NEW Counts Pivot Table'!$A$3,"State","GA","Category2","Technical Institutes")</f>
        <v>0</v>
      </c>
    </row>
    <row r="50" spans="1:38">
      <c r="A50" s="30"/>
      <c r="B50" s="38" t="s">
        <v>315</v>
      </c>
      <c r="C50" s="32">
        <f t="shared" si="15"/>
        <v>9.2592592592592587E-2</v>
      </c>
      <c r="D50" s="34">
        <f t="shared" si="15"/>
        <v>7.5897435897435903E-2</v>
      </c>
      <c r="E50" s="236">
        <f t="shared" si="15"/>
        <v>3.9706780696395848E-2</v>
      </c>
      <c r="F50" s="34">
        <f t="shared" si="15"/>
        <v>8.2359813084112152E-2</v>
      </c>
      <c r="G50" s="34">
        <f t="shared" si="15"/>
        <v>5.5118110236220472E-2</v>
      </c>
      <c r="H50" s="118">
        <f t="shared" si="15"/>
        <v>9.711286089238845E-2</v>
      </c>
      <c r="I50" s="32">
        <f t="shared" si="15"/>
        <v>7.4506069983337295E-2</v>
      </c>
      <c r="J50" s="32">
        <f t="shared" si="15"/>
        <v>0</v>
      </c>
      <c r="K50" s="34">
        <f t="shared" si="15"/>
        <v>0</v>
      </c>
      <c r="L50" s="34">
        <f t="shared" si="15"/>
        <v>0</v>
      </c>
      <c r="M50" s="34">
        <f t="shared" si="16"/>
        <v>0</v>
      </c>
      <c r="N50" s="32">
        <f t="shared" si="17"/>
        <v>5.2814857806152062E-2</v>
      </c>
      <c r="O50" s="32">
        <f t="shared" si="17"/>
        <v>0</v>
      </c>
      <c r="P50" s="34">
        <f t="shared" si="17"/>
        <v>0</v>
      </c>
      <c r="Q50" s="68">
        <f t="shared" si="17"/>
        <v>0</v>
      </c>
      <c r="R50" s="32">
        <f t="shared" si="17"/>
        <v>0</v>
      </c>
      <c r="S50" s="87"/>
      <c r="T50" s="108">
        <f>++GETPIVOTDATA(" Tot # Undes. New",'NEW Counts Pivot Table'!$A$3,"State","GA","Category",1,"Category2","Four-Year")</f>
        <v>260</v>
      </c>
      <c r="U50" s="109">
        <f>+GETPIVOTDATA(" Tot # Undes. New",'NEW Counts Pivot Table'!$A$3,"State","GA","Category",2,"Category2","Four-Year")</f>
        <v>74</v>
      </c>
      <c r="V50" s="109">
        <f>+GETPIVOTDATA(" Tot # Undes. New",'NEW Counts Pivot Table'!$A$3,"State","GA","Category",3,"Category2","Four-Year")</f>
        <v>65</v>
      </c>
      <c r="W50" s="109">
        <f>+GETPIVOTDATA(" Tot # Undes. New",'NEW Counts Pivot Table'!$A$3,"State","GA","Category",4,"Category2","Four-Year")</f>
        <v>141</v>
      </c>
      <c r="X50" s="109">
        <f>+GETPIVOTDATA(" Tot # Undes. New",'NEW Counts Pivot Table'!$A$3,"State","GA","Category",5,"Category2","Four-Year")</f>
        <v>49</v>
      </c>
      <c r="Y50" s="109">
        <f>+GETPIVOTDATA(" Tot # Undes. New",'NEW Counts Pivot Table'!$A$3,"State","GA","Category",6,"Category2","Four-Year")</f>
        <v>37</v>
      </c>
      <c r="Z50" s="111">
        <f>+GETPIVOTDATA(" Tot # Undes. New",'NEW Counts Pivot Table'!$A$3,"State","GA","Category2","Four-Year")</f>
        <v>626</v>
      </c>
      <c r="AA50" s="108">
        <f>+GETPIVOTDATA(" Tot # Undes. New",'NEW Counts Pivot Table'!$A$3,"State","AR","Category",7,"Category2","Group2")</f>
        <v>0</v>
      </c>
      <c r="AB50" s="109">
        <f>+GETPIVOTDATA(" Tot # Undes. New",'NEW Counts Pivot Table'!$A$3,"State","AR","Category",8,"Category2","Group2")</f>
        <v>0</v>
      </c>
      <c r="AC50" s="109">
        <f>+GETPIVOTDATA(" Tot # Undes. New",'NEW Counts Pivot Table'!$A$3,"State","DE","Category",9,"Category2","Group2")</f>
        <v>0</v>
      </c>
      <c r="AD50" s="109">
        <f>+GETPIVOTDATA(" Tot # Undes. New",'NEW Counts Pivot Table'!$A$3,"State","DE","Category",10,"Category2","Group2")</f>
        <v>0</v>
      </c>
      <c r="AE50" s="109">
        <f>+GETPIVOTDATA(" Tot # Undes. New",'NEW Counts Pivot Table'!$A$3,"State","GA","Category","11","Category2","Group2")</f>
        <v>0</v>
      </c>
      <c r="AF50" s="110">
        <f>+GETPIVOTDATA(" Tot # Undes. New",'NEW Counts Pivot Table'!$A$3,"State","GA","Category2","Group2")</f>
        <v>91</v>
      </c>
      <c r="AG50" s="108">
        <f>+GETPIVOTDATA(" Tot # Undes. New",'NEW Counts Pivot Table'!$A$3,"State","GA","Category",12,"Category2","Technical Institutes")</f>
        <v>0</v>
      </c>
      <c r="AH50" s="109">
        <f>+GETPIVOTDATA(" Tot # Undes. New",'NEW Counts Pivot Table'!$A$3,"State","GA","Category",13,"Category2","Technical Institutes")</f>
        <v>0</v>
      </c>
      <c r="AI50" s="110">
        <f>+GETPIVOTDATA(" Tot # Undes. New",'NEW Counts Pivot Table'!$A$3,"State","GA","Category",14,"Category2","Technical Institutes")</f>
        <v>0</v>
      </c>
      <c r="AJ50" s="108">
        <f>+GETPIVOTDATA(" Tot # Undes. New",'NEW Counts Pivot Table'!$A$3,"State","GA","Category2","Technical Institutes")</f>
        <v>0</v>
      </c>
    </row>
    <row r="51" spans="1:38">
      <c r="A51" s="30"/>
      <c r="B51" s="38" t="s">
        <v>314</v>
      </c>
      <c r="C51" s="32">
        <f t="shared" si="15"/>
        <v>0</v>
      </c>
      <c r="D51" s="34">
        <f t="shared" si="15"/>
        <v>0</v>
      </c>
      <c r="E51" s="185">
        <f t="shared" si="15"/>
        <v>0</v>
      </c>
      <c r="F51" s="34">
        <f t="shared" si="15"/>
        <v>0</v>
      </c>
      <c r="G51" s="185">
        <f t="shared" si="15"/>
        <v>0</v>
      </c>
      <c r="H51" s="68">
        <f t="shared" si="15"/>
        <v>0</v>
      </c>
      <c r="I51" s="184">
        <f t="shared" si="15"/>
        <v>0</v>
      </c>
      <c r="J51" s="32">
        <f t="shared" si="15"/>
        <v>0</v>
      </c>
      <c r="K51" s="34">
        <f t="shared" si="15"/>
        <v>1</v>
      </c>
      <c r="L51" s="34">
        <f t="shared" si="15"/>
        <v>1</v>
      </c>
      <c r="M51" s="34">
        <f t="shared" si="16"/>
        <v>1</v>
      </c>
      <c r="N51" s="32">
        <f t="shared" si="17"/>
        <v>0</v>
      </c>
      <c r="O51" s="32">
        <f t="shared" si="17"/>
        <v>1</v>
      </c>
      <c r="P51" s="34">
        <f t="shared" si="17"/>
        <v>1</v>
      </c>
      <c r="Q51" s="68">
        <f t="shared" si="17"/>
        <v>0</v>
      </c>
      <c r="R51" s="32">
        <f t="shared" si="17"/>
        <v>1</v>
      </c>
      <c r="S51" s="87"/>
      <c r="T51" s="108">
        <f>+GETPIVOTDATA(" Tot # Single Rnk New",'NEW Counts Pivot Table'!$A$3,"State","GA","Category",1,"Category2","Four-Year")</f>
        <v>0</v>
      </c>
      <c r="U51" s="109">
        <f>+GETPIVOTDATA(" Tot # Single Rnk New",'NEW Counts Pivot Table'!$A$3,"State","GA","Category",2,"Category2","Four-Year")</f>
        <v>0</v>
      </c>
      <c r="V51" s="109">
        <f>+GETPIVOTDATA(" Tot # Single Rnk New",'NEW Counts Pivot Table'!$A$3,"State","GA","Category",3,"Category2","Four-Year")</f>
        <v>0</v>
      </c>
      <c r="W51" s="109">
        <f>+GETPIVOTDATA(" Tot # Single Rnk New",'NEW Counts Pivot Table'!$A$3,"State","GA","Category",4,"Category2","Four-Year")</f>
        <v>0</v>
      </c>
      <c r="X51" s="109">
        <f>+GETPIVOTDATA(" Tot # Single Rnk New",'NEW Counts Pivot Table'!$A$3,"State","GA","Category",5,"Category2","Four-Year")</f>
        <v>0</v>
      </c>
      <c r="Y51" s="109">
        <f>+GETPIVOTDATA(" Tot # Single Rnk New",'NEW Counts Pivot Table'!$A$3,"State","GA","Category",6,"Category2","Four-Year")</f>
        <v>0</v>
      </c>
      <c r="Z51" s="111">
        <f>+GETPIVOTDATA(" Tot # Single Rnk New",'NEW Counts Pivot Table'!$A$3,"State","GA","Category2","Four-Year")</f>
        <v>0</v>
      </c>
      <c r="AA51" s="108">
        <f>+GETPIVOTDATA(" Tot # Single Rnk New",'NEW Counts Pivot Table'!$A$3,"State","AR","Category",7,"Category2","Group2")</f>
        <v>0</v>
      </c>
      <c r="AB51" s="109">
        <f>+GETPIVOTDATA(" Tot # Single Rnk New",'NEW Counts Pivot Table'!$A$3,"State","AR","Category",8,"Category2","Group2")</f>
        <v>171</v>
      </c>
      <c r="AC51" s="109">
        <f>+GETPIVOTDATA(" Tot # Single Rnk New",'NEW Counts Pivot Table'!$A$3,"State","DE","Category",9,"Category2","Group2")</f>
        <v>300</v>
      </c>
      <c r="AD51" s="109">
        <f>+GETPIVOTDATA(" Tot # Single Rnk New",'NEW Counts Pivot Table'!$A$3,"State","DE","Category",10,"Category2","Group2")</f>
        <v>84</v>
      </c>
      <c r="AE51" s="109">
        <f>+GETPIVOTDATA(" Tot # Single Rnk New",'NEW Counts Pivot Table'!$A$3,"State","GA","Category","11","Category2","Group2")</f>
        <v>0</v>
      </c>
      <c r="AF51" s="110">
        <f>+GETPIVOTDATA(" Tot # Single Rnk New",'NEW Counts Pivot Table'!$A$3,"State","GA","Category2","Group2")</f>
        <v>0</v>
      </c>
      <c r="AG51" s="108">
        <f>+GETPIVOTDATA(" Tot # Single Rnk New",'NEW Counts Pivot Table'!$A$3,"State","GA","Category",12,"Category2","Technical Institutes")</f>
        <v>2249</v>
      </c>
      <c r="AH51" s="109">
        <f>+GETPIVOTDATA(" Tot # Single Rnk New",'NEW Counts Pivot Table'!$A$3,"State","GA","Category",13,"Category2","Technical Institutes")</f>
        <v>29</v>
      </c>
      <c r="AI51" s="110">
        <f>+GETPIVOTDATA(" Tot # Single Rnk New",'NEW Counts Pivot Table'!$A$3,"State","GA","Category",14,"Category2","Technical Institutes")</f>
        <v>0</v>
      </c>
      <c r="AJ51" s="108">
        <f>+GETPIVOTDATA(" Tot # Single Rnk New",'NEW Counts Pivot Table'!$A$3,"State","GA","Category2","Technical Institutes")</f>
        <v>2278</v>
      </c>
    </row>
    <row r="52" spans="1:38" s="54" customFormat="1">
      <c r="A52" s="191"/>
      <c r="B52" s="192" t="s">
        <v>316</v>
      </c>
      <c r="C52" s="33">
        <f t="shared" si="15"/>
        <v>1</v>
      </c>
      <c r="D52" s="31">
        <f t="shared" si="15"/>
        <v>1</v>
      </c>
      <c r="E52" s="31">
        <f t="shared" si="15"/>
        <v>1</v>
      </c>
      <c r="F52" s="31">
        <f t="shared" si="15"/>
        <v>1</v>
      </c>
      <c r="G52" s="31">
        <f t="shared" si="15"/>
        <v>1</v>
      </c>
      <c r="H52" s="69">
        <f t="shared" si="15"/>
        <v>1</v>
      </c>
      <c r="I52" s="33">
        <f t="shared" si="15"/>
        <v>1</v>
      </c>
      <c r="J52" s="33">
        <f t="shared" si="15"/>
        <v>0</v>
      </c>
      <c r="K52" s="31">
        <f t="shared" si="15"/>
        <v>1</v>
      </c>
      <c r="L52" s="31">
        <f t="shared" si="15"/>
        <v>1</v>
      </c>
      <c r="M52" s="31">
        <f t="shared" si="16"/>
        <v>1</v>
      </c>
      <c r="N52" s="33">
        <f t="shared" si="17"/>
        <v>1</v>
      </c>
      <c r="O52" s="33">
        <f t="shared" si="17"/>
        <v>1</v>
      </c>
      <c r="P52" s="31">
        <f t="shared" si="17"/>
        <v>1</v>
      </c>
      <c r="Q52" s="69">
        <f t="shared" si="17"/>
        <v>0</v>
      </c>
      <c r="R52" s="33">
        <f t="shared" si="17"/>
        <v>1</v>
      </c>
      <c r="S52" s="88"/>
      <c r="T52" s="112">
        <f>+GETPIVOTDATA(" All Ranks # New",'NEW Counts Pivot Table'!$A$3,"State","GA","Category",1,"Category2","Four-Year")</f>
        <v>2808</v>
      </c>
      <c r="U52" s="113">
        <f>+GETPIVOTDATA(" All Ranks # New",'NEW Counts Pivot Table'!$A$3,"State","GA","Category",2,"Category2","Four-Year")</f>
        <v>975</v>
      </c>
      <c r="V52" s="113">
        <f>+GETPIVOTDATA(" All Ranks # New",'NEW Counts Pivot Table'!$A$3,"State","GA","Category",3,"Category2","Four-Year")</f>
        <v>1637</v>
      </c>
      <c r="W52" s="113">
        <f>+GETPIVOTDATA(" All Ranks # New",'NEW Counts Pivot Table'!$A$3,"State","GA","Category",4,"Category2","Four-Year")</f>
        <v>1712</v>
      </c>
      <c r="X52" s="113">
        <f>+GETPIVOTDATA(" All Ranks # New",'NEW Counts Pivot Table'!$A$3,"State","GA","Category",5,"Category2","Four-Year")</f>
        <v>889</v>
      </c>
      <c r="Y52" s="113">
        <f>+GETPIVOTDATA(" All Ranks # New",'NEW Counts Pivot Table'!$A$3,"State","GA","Category",6,"Category2","Four-Year")</f>
        <v>381</v>
      </c>
      <c r="Z52" s="115">
        <f>+GETPIVOTDATA(" All Ranks # New",'NEW Counts Pivot Table'!$A$3,"State","GA","Category2","Four-Year")</f>
        <v>8402</v>
      </c>
      <c r="AA52" s="112">
        <f>+GETPIVOTDATA(" All Ranks # New",'NEW Counts Pivot Table'!$A$3,"State","AR","Category",7,"Category2","Group2")</f>
        <v>0</v>
      </c>
      <c r="AB52" s="113">
        <f>+GETPIVOTDATA(" All Ranks # New",'NEW Counts Pivot Table'!$A$3,"State","AR","Category",8,"Category2","Group2")</f>
        <v>171</v>
      </c>
      <c r="AC52" s="113">
        <f>+GETPIVOTDATA(" All Ranks # New",'NEW Counts Pivot Table'!$A$3,"State","DE","Category",9,"Category2","Group2")</f>
        <v>300</v>
      </c>
      <c r="AD52" s="113">
        <f>+GETPIVOTDATA(" All Ranks # New",'NEW Counts Pivot Table'!$A$3,"State","DE","Category",10,"Category2","Group2")</f>
        <v>84</v>
      </c>
      <c r="AE52" s="113">
        <f>+GETPIVOTDATA(" All Ranks # New",'NEW Counts Pivot Table'!$A$3,"State","GA","Category","11","Category2","Group2")</f>
        <v>0</v>
      </c>
      <c r="AF52" s="114">
        <f>+GETPIVOTDATA(" All Ranks # New",'NEW Counts Pivot Table'!$A$3,"State","GA","Category2","Group2")</f>
        <v>1723</v>
      </c>
      <c r="AG52" s="112">
        <f>+GETPIVOTDATA(" All Ranks # New",'NEW Counts Pivot Table'!$A$3,"State","GA","Category",12,"Category2","Technical Institutes")</f>
        <v>2249</v>
      </c>
      <c r="AH52" s="113">
        <f>+GETPIVOTDATA(" All Ranks # New",'NEW Counts Pivot Table'!$A$3,"State","GA","Category",13,"Category2","Technical Institutes")</f>
        <v>29</v>
      </c>
      <c r="AI52" s="114">
        <f>+GETPIVOTDATA(" All Ranks # New",'NEW Counts Pivot Table'!$A$3,"State","GA","Category",14,"Category2","Technical Institutes")</f>
        <v>0</v>
      </c>
      <c r="AJ52" s="112">
        <f>+GETPIVOTDATA(" All Ranks # New",'NEW Counts Pivot Table'!$A$3,"State","GA","Category2","Technical Institutes")</f>
        <v>2278</v>
      </c>
      <c r="AK52" s="116"/>
      <c r="AL52" s="116"/>
    </row>
    <row r="53" spans="1:38">
      <c r="A53" s="38" t="s">
        <v>348</v>
      </c>
      <c r="B53" s="35" t="s">
        <v>332</v>
      </c>
      <c r="C53" s="36">
        <f t="shared" ref="C53:L59" si="18">IF(T$59&gt;0,(T53/T$59),0)</f>
        <v>0.34345265065700048</v>
      </c>
      <c r="D53" s="37">
        <f t="shared" si="18"/>
        <v>0</v>
      </c>
      <c r="E53" s="37">
        <f t="shared" si="18"/>
        <v>0.2014821676702177</v>
      </c>
      <c r="F53" s="37">
        <f t="shared" si="18"/>
        <v>0.16972477064220184</v>
      </c>
      <c r="G53" s="37">
        <f t="shared" si="18"/>
        <v>0</v>
      </c>
      <c r="H53" s="67">
        <f t="shared" si="18"/>
        <v>0</v>
      </c>
      <c r="I53" s="36">
        <f t="shared" si="18"/>
        <v>0.25976095617529882</v>
      </c>
      <c r="J53" s="36">
        <f t="shared" si="18"/>
        <v>0</v>
      </c>
      <c r="K53" s="37">
        <f t="shared" si="18"/>
        <v>0</v>
      </c>
      <c r="L53" s="37">
        <f t="shared" si="18"/>
        <v>0</v>
      </c>
      <c r="M53" s="37">
        <f t="shared" ref="M53:M59" si="19">IF(AD$59&gt;0,(AD53/AD$59),0)</f>
        <v>0</v>
      </c>
      <c r="N53" s="36">
        <f t="shared" ref="N53:R59" si="20">IF(AF$59&gt;0,(AF53/AF$59),0)</f>
        <v>0.34140845070422537</v>
      </c>
      <c r="O53" s="36">
        <f t="shared" si="20"/>
        <v>6.3291139240506333E-2</v>
      </c>
      <c r="P53" s="37">
        <f t="shared" si="20"/>
        <v>0</v>
      </c>
      <c r="Q53" s="67">
        <f t="shared" si="20"/>
        <v>0</v>
      </c>
      <c r="R53" s="36">
        <f t="shared" si="20"/>
        <v>6.3291139240506333E-2</v>
      </c>
      <c r="S53" s="117"/>
      <c r="T53" s="104">
        <f>+GETPIVOTDATA(" Total # Prof New",'NEW Counts Pivot Table'!$A$3,"State","KY","Category",1,"Category2","Four-Year")</f>
        <v>758</v>
      </c>
      <c r="U53" s="105">
        <f>+GETPIVOTDATA(" Total # Prof New",'NEW Counts Pivot Table'!$A$3,"State","KY","Category",2,"Category2","Four-Year")</f>
        <v>0</v>
      </c>
      <c r="V53" s="105">
        <f>+GETPIVOTDATA(" Total # Prof New",'NEW Counts Pivot Table'!$A$3,"State","KY","Category",3,"Category2","Four-Year")</f>
        <v>435</v>
      </c>
      <c r="W53" s="105">
        <f>+GETPIVOTDATA(" Total # Prof New",'NEW Counts Pivot Table'!$A$3,"State","KY","Category",4,"Category2","Four-Year")</f>
        <v>111</v>
      </c>
      <c r="X53" s="105">
        <f>+GETPIVOTDATA(" Total # Prof New",'NEW Counts Pivot Table'!$A$3,"State","KY","Category",5,"Category2","Four-Year")</f>
        <v>0</v>
      </c>
      <c r="Y53" s="105">
        <f>+GETPIVOTDATA(" Total # Prof New",'NEW Counts Pivot Table'!$A$3,"State","KY","Category",6,"Category2","Four-Year")</f>
        <v>0</v>
      </c>
      <c r="Z53" s="107">
        <f>+GETPIVOTDATA(" Total # Prof New",'NEW Counts Pivot Table'!$A$3,"State","KY","Category2","Four-Year")</f>
        <v>1304</v>
      </c>
      <c r="AA53" s="104">
        <f>+GETPIVOTDATA(" Total # Prof New",'NEW Counts Pivot Table'!$A$3,"State","AR","Category",7,"Category2","Group2")</f>
        <v>0</v>
      </c>
      <c r="AB53" s="105">
        <f>+GETPIVOTDATA(" Total # Prof New",'NEW Counts Pivot Table'!$A$3,"State","AR","Category",8,"Category2","Group2")</f>
        <v>0</v>
      </c>
      <c r="AC53" s="105">
        <f>+GETPIVOTDATA(" Total # Prof New",'NEW Counts Pivot Table'!$A$3,"State","DE","Category",9,"Category2","Group2")</f>
        <v>0</v>
      </c>
      <c r="AD53" s="105">
        <f>+GETPIVOTDATA(" Total # Prof New",'NEW Counts Pivot Table'!$A$3,"State","DE","Category",10,"Category2","Group2")</f>
        <v>0</v>
      </c>
      <c r="AE53" s="105">
        <f>+GETPIVOTDATA(" Total # Prof New",'NEW Counts Pivot Table'!$A$3,"State","KY","Category","11","Category2","Group2")</f>
        <v>0</v>
      </c>
      <c r="AF53" s="106">
        <f>+GETPIVOTDATA(" Total # Prof New",'NEW Counts Pivot Table'!$A$3,"State","KY","Category2","Group2")</f>
        <v>606</v>
      </c>
      <c r="AG53" s="104">
        <f>+GETPIVOTDATA(" Total # Prof New",'NEW Counts Pivot Table'!$A$3,"State","KY","Category",12,"Category2","Technical Institutes")</f>
        <v>10</v>
      </c>
      <c r="AH53" s="105">
        <f>+GETPIVOTDATA(" Total # Prof New",'NEW Counts Pivot Table'!$A$3,"State","KY","Category",13,"Category2","Technical Institutes")</f>
        <v>0</v>
      </c>
      <c r="AI53" s="106">
        <f>+GETPIVOTDATA(" Total # Prof New",'NEW Counts Pivot Table'!$A$3,"State","KY","Category",14,"Category2","Technical Institutes")</f>
        <v>0</v>
      </c>
      <c r="AJ53" s="104">
        <f>+GETPIVOTDATA(" Total # Prof New",'NEW Counts Pivot Table'!$A$3,"State","KY","Category2","Technical Institutes")</f>
        <v>10</v>
      </c>
    </row>
    <row r="54" spans="1:38">
      <c r="A54" s="30"/>
      <c r="B54" s="38" t="s">
        <v>333</v>
      </c>
      <c r="C54" s="32">
        <f t="shared" si="18"/>
        <v>0.28001812415043043</v>
      </c>
      <c r="D54" s="34">
        <f t="shared" si="18"/>
        <v>0</v>
      </c>
      <c r="E54" s="34">
        <f t="shared" si="18"/>
        <v>0.26030569708198242</v>
      </c>
      <c r="F54" s="34">
        <f t="shared" si="18"/>
        <v>0.29357798165137616</v>
      </c>
      <c r="G54" s="34">
        <f t="shared" si="18"/>
        <v>0</v>
      </c>
      <c r="H54" s="68">
        <f t="shared" si="18"/>
        <v>0</v>
      </c>
      <c r="I54" s="32">
        <f t="shared" si="18"/>
        <v>0.27330677290836652</v>
      </c>
      <c r="J54" s="32">
        <f t="shared" si="18"/>
        <v>0</v>
      </c>
      <c r="K54" s="34">
        <f t="shared" si="18"/>
        <v>0</v>
      </c>
      <c r="L54" s="34">
        <f t="shared" si="18"/>
        <v>0</v>
      </c>
      <c r="M54" s="34">
        <f t="shared" si="19"/>
        <v>0</v>
      </c>
      <c r="N54" s="32">
        <f t="shared" si="20"/>
        <v>0.33577464788732392</v>
      </c>
      <c r="O54" s="32">
        <f t="shared" si="20"/>
        <v>0.25316455696202533</v>
      </c>
      <c r="P54" s="34">
        <f t="shared" si="20"/>
        <v>0</v>
      </c>
      <c r="Q54" s="68">
        <f t="shared" si="20"/>
        <v>0</v>
      </c>
      <c r="R54" s="32">
        <f t="shared" si="20"/>
        <v>0.25316455696202533</v>
      </c>
      <c r="S54" s="87"/>
      <c r="T54" s="108">
        <f>+GETPIVOTDATA(" Tot # Asc. Prof New",'NEW Counts Pivot Table'!$A$3,"State","KY","Category",1,"Category2","Four-Year")</f>
        <v>618</v>
      </c>
      <c r="U54" s="109">
        <f>+GETPIVOTDATA(" Tot # Asc. Prof New",'NEW Counts Pivot Table'!$A$3,"State","KY","Category",2,"Category2","Four-Year")</f>
        <v>0</v>
      </c>
      <c r="V54" s="109">
        <f>+GETPIVOTDATA(" Tot # Asc. Prof New",'NEW Counts Pivot Table'!$A$3,"State","KY","Category",3,"Category2","Four-Year")</f>
        <v>562</v>
      </c>
      <c r="W54" s="109">
        <f>+GETPIVOTDATA(" Tot # Asc. Prof New",'NEW Counts Pivot Table'!$A$3,"State","KY","Category",4,"Category2","Four-Year")</f>
        <v>192</v>
      </c>
      <c r="X54" s="109">
        <f>+GETPIVOTDATA(" Tot # Asc. Prof New",'NEW Counts Pivot Table'!$A$3,"State","KY","Category",5,"Category2","Four-Year")</f>
        <v>0</v>
      </c>
      <c r="Y54" s="109">
        <f>+GETPIVOTDATA(" Tot # Asc. Prof New",'NEW Counts Pivot Table'!$A$3,"State","KY","Category",6,"Category2","Four-Year")</f>
        <v>0</v>
      </c>
      <c r="Z54" s="111">
        <f>+GETPIVOTDATA(" Tot # Asc. Prof New",'NEW Counts Pivot Table'!$A$3,"State","KY","Category2","Four-Year")</f>
        <v>1372</v>
      </c>
      <c r="AA54" s="108">
        <f>+GETPIVOTDATA(" Tot # Asc. Prof New",'NEW Counts Pivot Table'!$A$3,"State","AR","Category",7,"Category2","Group2")</f>
        <v>0</v>
      </c>
      <c r="AB54" s="109">
        <f>+GETPIVOTDATA(" Tot # Asc. Prof New",'NEW Counts Pivot Table'!$A$3,"State","AR","Category",8,"Category2","Group2")</f>
        <v>0</v>
      </c>
      <c r="AC54" s="109">
        <f>+GETPIVOTDATA(" Tot # Asc. Prof New",'NEW Counts Pivot Table'!$A$3,"State","DE","Category",9,"Category2","Group2")</f>
        <v>0</v>
      </c>
      <c r="AD54" s="109">
        <f>+GETPIVOTDATA(" Tot # Asc. Prof New",'NEW Counts Pivot Table'!$A$3,"State","DE","Category",10,"Category2","Group2")</f>
        <v>0</v>
      </c>
      <c r="AE54" s="109">
        <f>+GETPIVOTDATA(" Tot # Asc. Prof New",'NEW Counts Pivot Table'!$A$3,"State","KY","Category","11","Category2","Group2")</f>
        <v>0</v>
      </c>
      <c r="AF54" s="110">
        <f>+GETPIVOTDATA(" Tot # Asc. Prof New",'NEW Counts Pivot Table'!$A$3,"State","KY","Category2","Group2")</f>
        <v>596</v>
      </c>
      <c r="AG54" s="108">
        <f>+GETPIVOTDATA(" Tot # Asc. Prof New",'NEW Counts Pivot Table'!$A$3,"State","KY","Category",12,"Category2","Technical Institutes")</f>
        <v>40</v>
      </c>
      <c r="AH54" s="109">
        <f>+GETPIVOTDATA(" Tot # Asc. Prof New",'NEW Counts Pivot Table'!$A$3,"State","KY","Category",13,"Category2","Technical Institutes")</f>
        <v>0</v>
      </c>
      <c r="AI54" s="110">
        <f>+GETPIVOTDATA(" Tot # Asc. Prof New",'NEW Counts Pivot Table'!$A$3,"State","KY","Category",14,"Category2","Technical Institutes")</f>
        <v>0</v>
      </c>
      <c r="AJ54" s="108">
        <f>+GETPIVOTDATA(" Tot # Asc. Prof New",'NEW Counts Pivot Table'!$A$3,"State","KY","Category2","Technical Institutes")</f>
        <v>40</v>
      </c>
    </row>
    <row r="55" spans="1:38">
      <c r="A55" s="30"/>
      <c r="B55" s="38" t="s">
        <v>334</v>
      </c>
      <c r="C55" s="32">
        <f t="shared" si="18"/>
        <v>0.26506570004531038</v>
      </c>
      <c r="D55" s="34">
        <f t="shared" si="18"/>
        <v>0</v>
      </c>
      <c r="E55" s="34">
        <f t="shared" si="18"/>
        <v>0.28392774432607687</v>
      </c>
      <c r="F55" s="34">
        <f t="shared" si="18"/>
        <v>0.29051987767584098</v>
      </c>
      <c r="G55" s="34">
        <f t="shared" si="18"/>
        <v>0</v>
      </c>
      <c r="H55" s="68">
        <f t="shared" si="18"/>
        <v>0</v>
      </c>
      <c r="I55" s="32">
        <f t="shared" si="18"/>
        <v>0.27649402390438249</v>
      </c>
      <c r="J55" s="32">
        <f t="shared" si="18"/>
        <v>0</v>
      </c>
      <c r="K55" s="34">
        <f t="shared" si="18"/>
        <v>0</v>
      </c>
      <c r="L55" s="34">
        <f t="shared" si="18"/>
        <v>0</v>
      </c>
      <c r="M55" s="34">
        <f t="shared" si="19"/>
        <v>0</v>
      </c>
      <c r="N55" s="32">
        <f t="shared" si="20"/>
        <v>0.13464788732394367</v>
      </c>
      <c r="O55" s="32">
        <f t="shared" si="20"/>
        <v>0.23417721518987342</v>
      </c>
      <c r="P55" s="34">
        <f t="shared" si="20"/>
        <v>0</v>
      </c>
      <c r="Q55" s="68">
        <f t="shared" si="20"/>
        <v>0</v>
      </c>
      <c r="R55" s="32">
        <f t="shared" si="20"/>
        <v>0.23417721518987342</v>
      </c>
      <c r="S55" s="87"/>
      <c r="T55" s="108">
        <f>+GETPIVOTDATA(" Tot # Ast. Prof New",'NEW Counts Pivot Table'!$A$3,"State","KY","Category",1,"Category2","Four-Year")</f>
        <v>585</v>
      </c>
      <c r="U55" s="109">
        <f>+GETPIVOTDATA(" Tot # Ast. Prof New",'NEW Counts Pivot Table'!$A$3,"State","KY","Category",2,"Category2","Four-Year")</f>
        <v>0</v>
      </c>
      <c r="V55" s="109">
        <f>+GETPIVOTDATA(" Tot # Ast. Prof New",'NEW Counts Pivot Table'!$A$3,"State","KY","Category",3,"Category2","Four-Year")</f>
        <v>613</v>
      </c>
      <c r="W55" s="109">
        <f>+GETPIVOTDATA(" Tot # Ast. Prof New",'NEW Counts Pivot Table'!$A$3,"State","KY","Category",4,"Category2","Four-Year")</f>
        <v>190</v>
      </c>
      <c r="X55" s="109">
        <f>+GETPIVOTDATA(" Tot # Ast. Prof New",'NEW Counts Pivot Table'!$A$3,"State","KY","Category",5,"Category2","Four-Year")</f>
        <v>0</v>
      </c>
      <c r="Y55" s="109">
        <f>+GETPIVOTDATA(" Tot # Ast. Prof New",'NEW Counts Pivot Table'!$A$3,"State","KY","Category",6,"Category2","Four-Year")</f>
        <v>0</v>
      </c>
      <c r="Z55" s="111">
        <f>+GETPIVOTDATA(" Tot # Ast. Prof New",'NEW Counts Pivot Table'!$A$3,"State","KY","Category2","Four-Year")</f>
        <v>1388</v>
      </c>
      <c r="AA55" s="108">
        <f>+GETPIVOTDATA(" Tot # Ast. Prof New",'NEW Counts Pivot Table'!$A$3,"State","AR","Category",7,"Category2","Group2")</f>
        <v>0</v>
      </c>
      <c r="AB55" s="109">
        <f>+GETPIVOTDATA(" Tot # Ast. Prof New",'NEW Counts Pivot Table'!$A$3,"State","AR","Category",8,"Category2","Group2")</f>
        <v>0</v>
      </c>
      <c r="AC55" s="109">
        <f>+GETPIVOTDATA(" Tot # Ast. Prof New",'NEW Counts Pivot Table'!$A$3,"State","DE","Category",9,"Category2","Group2")</f>
        <v>0</v>
      </c>
      <c r="AD55" s="109">
        <f>+GETPIVOTDATA(" Tot # Ast. Prof New",'NEW Counts Pivot Table'!$A$3,"State","DE","Category",10,"Category2","Group2")</f>
        <v>0</v>
      </c>
      <c r="AE55" s="109">
        <f>+GETPIVOTDATA(" Tot # Ast. Prof New",'NEW Counts Pivot Table'!$A$3,"State","KY","Category","11","Category2","Group2")</f>
        <v>0</v>
      </c>
      <c r="AF55" s="110">
        <f>+GETPIVOTDATA(" Tot # Ast. Prof New",'NEW Counts Pivot Table'!$A$3,"State","KY","Category2","Group2")</f>
        <v>239</v>
      </c>
      <c r="AG55" s="108">
        <f>+GETPIVOTDATA(" Tot # Ast. Prof New",'NEW Counts Pivot Table'!$A$3,"State","KY","Category",12,"Category2","Technical Institutes")</f>
        <v>37</v>
      </c>
      <c r="AH55" s="109">
        <f>+GETPIVOTDATA(" Tot # Ast. Prof New",'NEW Counts Pivot Table'!$A$3,"State","KY","Category",13,"Category2","Technical Institutes")</f>
        <v>0</v>
      </c>
      <c r="AI55" s="110">
        <f>+GETPIVOTDATA(" Tot # Ast. Prof New",'NEW Counts Pivot Table'!$A$3,"State","KY","Category",14,"Category2","Technical Institutes")</f>
        <v>0</v>
      </c>
      <c r="AJ55" s="108">
        <f>+GETPIVOTDATA(" Tot # Ast. Prof New",'NEW Counts Pivot Table'!$A$3,"State","KY","Category2","Technical Institutes")</f>
        <v>37</v>
      </c>
    </row>
    <row r="56" spans="1:38">
      <c r="A56" s="30"/>
      <c r="B56" s="38" t="s">
        <v>335</v>
      </c>
      <c r="C56" s="237">
        <f t="shared" si="18"/>
        <v>4.2591753511554149E-2</v>
      </c>
      <c r="D56" s="34">
        <f t="shared" si="18"/>
        <v>0</v>
      </c>
      <c r="E56" s="34">
        <f t="shared" si="18"/>
        <v>0.12366836498378879</v>
      </c>
      <c r="F56" s="34">
        <f t="shared" si="18"/>
        <v>2.7522935779816515E-2</v>
      </c>
      <c r="G56" s="34">
        <f t="shared" si="18"/>
        <v>0</v>
      </c>
      <c r="H56" s="68">
        <f t="shared" si="18"/>
        <v>0</v>
      </c>
      <c r="I56" s="32">
        <f t="shared" si="18"/>
        <v>7.5498007968127487E-2</v>
      </c>
      <c r="J56" s="32">
        <f t="shared" si="18"/>
        <v>0</v>
      </c>
      <c r="K56" s="34">
        <f t="shared" si="18"/>
        <v>0</v>
      </c>
      <c r="L56" s="34">
        <f t="shared" si="18"/>
        <v>0</v>
      </c>
      <c r="M56" s="34">
        <f t="shared" si="19"/>
        <v>0</v>
      </c>
      <c r="N56" s="32">
        <f t="shared" si="20"/>
        <v>0.18816901408450704</v>
      </c>
      <c r="O56" s="32">
        <f t="shared" si="20"/>
        <v>0.44936708860759494</v>
      </c>
      <c r="P56" s="34">
        <f t="shared" si="20"/>
        <v>0</v>
      </c>
      <c r="Q56" s="68">
        <f t="shared" si="20"/>
        <v>0</v>
      </c>
      <c r="R56" s="32">
        <f t="shared" si="20"/>
        <v>0.44936708860759494</v>
      </c>
      <c r="S56" s="87"/>
      <c r="T56" s="108">
        <f>+GETPIVOTDATA(" Tot # Instr. New",'NEW Counts Pivot Table'!$A$3,"State","KY","Category",1,"Category2","Four-Year")</f>
        <v>94</v>
      </c>
      <c r="U56" s="109">
        <f>+GETPIVOTDATA(" Tot # Instr. New",'NEW Counts Pivot Table'!$A$3,"State","KY","Category",2,"Category2","Four-Year")</f>
        <v>0</v>
      </c>
      <c r="V56" s="109">
        <f>+GETPIVOTDATA(" Tot # Instr. New",'NEW Counts Pivot Table'!$A$3,"State","KY","Category",3,"Category2","Four-Year")</f>
        <v>267</v>
      </c>
      <c r="W56" s="109">
        <f>+GETPIVOTDATA(" Tot # Instr. New",'NEW Counts Pivot Table'!$A$3,"State","KY","Category",4,"Category2","Four-Year")</f>
        <v>18</v>
      </c>
      <c r="X56" s="109">
        <f>+GETPIVOTDATA(" Tot # Instr. New",'NEW Counts Pivot Table'!$A$3,"State","KY","Category",5,"Category2","Four-Year")</f>
        <v>0</v>
      </c>
      <c r="Y56" s="109">
        <f>+GETPIVOTDATA(" Tot # Instr. New",'NEW Counts Pivot Table'!$A$3,"State","KY","Category",6,"Category2","Four-Year")</f>
        <v>0</v>
      </c>
      <c r="Z56" s="111">
        <f>+GETPIVOTDATA(" Tot # Instr. New",'NEW Counts Pivot Table'!$A$3,"State","KY","Category2","Four-Year")</f>
        <v>379</v>
      </c>
      <c r="AA56" s="108">
        <f>+GETPIVOTDATA(" Tot # Instr. New",'NEW Counts Pivot Table'!$A$3,"State","AR","Category",7,"Category2","Group2")</f>
        <v>0</v>
      </c>
      <c r="AB56" s="109">
        <f>+GETPIVOTDATA(" Tot # Instr. New",'NEW Counts Pivot Table'!$A$3,"State","AR","Category",8,"Category2","Group2")</f>
        <v>0</v>
      </c>
      <c r="AC56" s="109">
        <f>+GETPIVOTDATA(" Tot # Instr. New",'NEW Counts Pivot Table'!$A$3,"State","DE","Category",9,"Category2","Group2")</f>
        <v>0</v>
      </c>
      <c r="AD56" s="109">
        <f>+GETPIVOTDATA(" Tot # Instr. New",'NEW Counts Pivot Table'!$A$3,"State","DE","Category",10,"Category2","Group2")</f>
        <v>0</v>
      </c>
      <c r="AE56" s="109">
        <f>+GETPIVOTDATA(" Tot # Instr. New",'NEW Counts Pivot Table'!$A$3,"State","KY","Category","11","Category2","Group2")</f>
        <v>0</v>
      </c>
      <c r="AF56" s="110">
        <f>+GETPIVOTDATA(" Tot # Instr. New",'NEW Counts Pivot Table'!$A$3,"State","KY","Category2","Group2")</f>
        <v>334</v>
      </c>
      <c r="AG56" s="108">
        <f>+GETPIVOTDATA(" Tot # Instr. New",'NEW Counts Pivot Table'!$A$3,"State","KY","Category",12,"Category2","Technical Institutes")</f>
        <v>71</v>
      </c>
      <c r="AH56" s="109">
        <f>+GETPIVOTDATA(" Tot # Instr. New",'NEW Counts Pivot Table'!$A$3,"State","KY","Category",13,"Category2","Technical Institutes")</f>
        <v>0</v>
      </c>
      <c r="AI56" s="110">
        <f>+GETPIVOTDATA(" Tot # Instr. New",'NEW Counts Pivot Table'!$A$3,"State","KY","Category",14,"Category2","Technical Institutes")</f>
        <v>0</v>
      </c>
      <c r="AJ56" s="108">
        <f>+GETPIVOTDATA(" Tot # Instr. New",'NEW Counts Pivot Table'!$A$3,"State","KY","Category2","Technical Institutes")</f>
        <v>71</v>
      </c>
    </row>
    <row r="57" spans="1:38">
      <c r="A57" s="30"/>
      <c r="B57" s="38" t="s">
        <v>315</v>
      </c>
      <c r="C57" s="32">
        <f t="shared" si="18"/>
        <v>6.8871771635704571E-2</v>
      </c>
      <c r="D57" s="236">
        <f t="shared" si="18"/>
        <v>0</v>
      </c>
      <c r="E57" s="34">
        <f t="shared" si="18"/>
        <v>0.13061602593793423</v>
      </c>
      <c r="F57" s="34">
        <f t="shared" si="18"/>
        <v>0.21865443425076453</v>
      </c>
      <c r="G57" s="34">
        <f t="shared" si="18"/>
        <v>0</v>
      </c>
      <c r="H57" s="68">
        <f t="shared" si="18"/>
        <v>0</v>
      </c>
      <c r="I57" s="32">
        <f t="shared" si="18"/>
        <v>0.11494023904382471</v>
      </c>
      <c r="J57" s="32">
        <f t="shared" si="18"/>
        <v>0</v>
      </c>
      <c r="K57" s="34">
        <f t="shared" si="18"/>
        <v>0</v>
      </c>
      <c r="L57" s="34">
        <f t="shared" si="18"/>
        <v>0</v>
      </c>
      <c r="M57" s="34">
        <f t="shared" si="19"/>
        <v>0</v>
      </c>
      <c r="N57" s="32">
        <f t="shared" si="20"/>
        <v>0</v>
      </c>
      <c r="O57" s="32">
        <f t="shared" si="20"/>
        <v>0</v>
      </c>
      <c r="P57" s="34">
        <f t="shared" si="20"/>
        <v>0</v>
      </c>
      <c r="Q57" s="68">
        <f t="shared" si="20"/>
        <v>0</v>
      </c>
      <c r="R57" s="32">
        <f t="shared" si="20"/>
        <v>0</v>
      </c>
      <c r="S57" s="87"/>
      <c r="T57" s="108">
        <f>++GETPIVOTDATA(" Tot # Undes. New",'NEW Counts Pivot Table'!$A$3,"State","KY","Category",1,"Category2","Four-Year")</f>
        <v>152</v>
      </c>
      <c r="U57" s="109">
        <f>+GETPIVOTDATA(" Tot # Undes. New",'NEW Counts Pivot Table'!$A$3,"State","KY","Category",2,"Category2","Four-Year")</f>
        <v>0</v>
      </c>
      <c r="V57" s="109">
        <f>+GETPIVOTDATA(" Tot # Undes. New",'NEW Counts Pivot Table'!$A$3,"State","KY","Category",3,"Category2","Four-Year")</f>
        <v>282</v>
      </c>
      <c r="W57" s="109">
        <f>+GETPIVOTDATA(" Tot # Undes. New",'NEW Counts Pivot Table'!$A$3,"State","KY","Category",4,"Category2","Four-Year")</f>
        <v>143</v>
      </c>
      <c r="X57" s="109">
        <f>+GETPIVOTDATA(" Tot # Undes. New",'NEW Counts Pivot Table'!$A$3,"State","KY","Category",5,"Category2","Four-Year")</f>
        <v>0</v>
      </c>
      <c r="Y57" s="109">
        <f>+GETPIVOTDATA(" Tot # Undes. New",'NEW Counts Pivot Table'!$A$3,"State","KY","Category",6,"Category2","Four-Year")</f>
        <v>0</v>
      </c>
      <c r="Z57" s="111">
        <f>+GETPIVOTDATA(" Tot # Undes. New",'NEW Counts Pivot Table'!$A$3,"State","KY","Category2","Four-Year")</f>
        <v>577</v>
      </c>
      <c r="AA57" s="108">
        <f>+GETPIVOTDATA(" Tot # Undes. New",'NEW Counts Pivot Table'!$A$3,"State","AR","Category",7,"Category2","Group2")</f>
        <v>0</v>
      </c>
      <c r="AB57" s="109">
        <f>+GETPIVOTDATA(" Tot # Undes. New",'NEW Counts Pivot Table'!$A$3,"State","AR","Category",8,"Category2","Group2")</f>
        <v>0</v>
      </c>
      <c r="AC57" s="109">
        <f>+GETPIVOTDATA(" Tot # Undes. New",'NEW Counts Pivot Table'!$A$3,"State","DE","Category",9,"Category2","Group2")</f>
        <v>0</v>
      </c>
      <c r="AD57" s="109">
        <f>+GETPIVOTDATA(" Tot # Undes. New",'NEW Counts Pivot Table'!$A$3,"State","DE","Category",10,"Category2","Group2")</f>
        <v>0</v>
      </c>
      <c r="AE57" s="109">
        <f>+GETPIVOTDATA(" Tot # Undes. New",'NEW Counts Pivot Table'!$A$3,"State","KY","Category","11","Category2","Group2")</f>
        <v>0</v>
      </c>
      <c r="AF57" s="110">
        <f>+GETPIVOTDATA(" Tot # Undes. New",'NEW Counts Pivot Table'!$A$3,"State","KY","Category2","Group2")</f>
        <v>0</v>
      </c>
      <c r="AG57" s="108">
        <f>+GETPIVOTDATA(" Tot # Undes. New",'NEW Counts Pivot Table'!$A$3,"State","KY","Category",12,"Category2","Technical Institutes")</f>
        <v>0</v>
      </c>
      <c r="AH57" s="109">
        <f>+GETPIVOTDATA(" Tot # Undes. New",'NEW Counts Pivot Table'!$A$3,"State","KY","Category",13,"Category2","Technical Institutes")</f>
        <v>0</v>
      </c>
      <c r="AI57" s="110">
        <f>+GETPIVOTDATA(" Tot # Undes. New",'NEW Counts Pivot Table'!$A$3,"State","KY","Category",14,"Category2","Technical Institutes")</f>
        <v>0</v>
      </c>
      <c r="AJ57" s="108">
        <f>+GETPIVOTDATA(" Tot # Undes. New",'NEW Counts Pivot Table'!$A$3,"State","KY","Category2","Technical Institutes")</f>
        <v>0</v>
      </c>
    </row>
    <row r="58" spans="1:38">
      <c r="A58" s="30"/>
      <c r="B58" s="38" t="s">
        <v>314</v>
      </c>
      <c r="C58" s="32">
        <f t="shared" si="18"/>
        <v>0</v>
      </c>
      <c r="D58" s="34">
        <f t="shared" si="18"/>
        <v>0</v>
      </c>
      <c r="E58" s="185">
        <f t="shared" si="18"/>
        <v>0</v>
      </c>
      <c r="F58" s="34">
        <f t="shared" si="18"/>
        <v>0</v>
      </c>
      <c r="G58" s="185">
        <f t="shared" si="18"/>
        <v>0</v>
      </c>
      <c r="H58" s="68">
        <f t="shared" si="18"/>
        <v>0</v>
      </c>
      <c r="I58" s="184">
        <f t="shared" si="18"/>
        <v>0</v>
      </c>
      <c r="J58" s="32">
        <f t="shared" si="18"/>
        <v>0</v>
      </c>
      <c r="K58" s="34">
        <f t="shared" si="18"/>
        <v>1</v>
      </c>
      <c r="L58" s="34">
        <f t="shared" si="18"/>
        <v>1</v>
      </c>
      <c r="M58" s="34">
        <f t="shared" si="19"/>
        <v>1</v>
      </c>
      <c r="N58" s="32">
        <f t="shared" si="20"/>
        <v>0</v>
      </c>
      <c r="O58" s="32">
        <f t="shared" si="20"/>
        <v>0</v>
      </c>
      <c r="P58" s="34">
        <f t="shared" si="20"/>
        <v>0</v>
      </c>
      <c r="Q58" s="68">
        <f t="shared" si="20"/>
        <v>0</v>
      </c>
      <c r="R58" s="32">
        <f t="shared" si="20"/>
        <v>0</v>
      </c>
      <c r="S58" s="87"/>
      <c r="T58" s="108">
        <f>+GETPIVOTDATA(" Tot # Single Rnk New",'NEW Counts Pivot Table'!$A$3,"State","KY","Category",1,"Category2","Four-Year")</f>
        <v>0</v>
      </c>
      <c r="U58" s="109">
        <f>+GETPIVOTDATA(" Tot # Single Rnk New",'NEW Counts Pivot Table'!$A$3,"State","KY","Category",2,"Category2","Four-Year")</f>
        <v>0</v>
      </c>
      <c r="V58" s="109">
        <f>+GETPIVOTDATA(" Tot # Single Rnk New",'NEW Counts Pivot Table'!$A$3,"State","KY","Category",3,"Category2","Four-Year")</f>
        <v>0</v>
      </c>
      <c r="W58" s="109">
        <f>+GETPIVOTDATA(" Tot # Single Rnk New",'NEW Counts Pivot Table'!$A$3,"State","KY","Category",4,"Category2","Four-Year")</f>
        <v>0</v>
      </c>
      <c r="X58" s="109">
        <f>+GETPIVOTDATA(" Tot # Single Rnk New",'NEW Counts Pivot Table'!$A$3,"State","KY","Category",5,"Category2","Four-Year")</f>
        <v>0</v>
      </c>
      <c r="Y58" s="109">
        <f>+GETPIVOTDATA(" Tot # Single Rnk New",'NEW Counts Pivot Table'!$A$3,"State","KY","Category",6,"Category2","Four-Year")</f>
        <v>0</v>
      </c>
      <c r="Z58" s="111">
        <f>+GETPIVOTDATA(" Tot # Single Rnk New",'NEW Counts Pivot Table'!$A$3,"State","KY","Category2","Four-Year")</f>
        <v>0</v>
      </c>
      <c r="AA58" s="108">
        <f>+GETPIVOTDATA(" Tot # Single Rnk New",'NEW Counts Pivot Table'!$A$3,"State","AR","Category",7,"Category2","Group2")</f>
        <v>0</v>
      </c>
      <c r="AB58" s="109">
        <f>+GETPIVOTDATA(" Tot # Single Rnk New",'NEW Counts Pivot Table'!$A$3,"State","AR","Category",8,"Category2","Group2")</f>
        <v>171</v>
      </c>
      <c r="AC58" s="109">
        <f>+GETPIVOTDATA(" Tot # Single Rnk New",'NEW Counts Pivot Table'!$A$3,"State","DE","Category",9,"Category2","Group2")</f>
        <v>300</v>
      </c>
      <c r="AD58" s="109">
        <f>+GETPIVOTDATA(" Tot # Single Rnk New",'NEW Counts Pivot Table'!$A$3,"State","DE","Category",10,"Category2","Group2")</f>
        <v>84</v>
      </c>
      <c r="AE58" s="109">
        <f>+GETPIVOTDATA(" Tot # Single Rnk New",'NEW Counts Pivot Table'!$A$3,"State","KY","Category","11","Category2","Group2")</f>
        <v>0</v>
      </c>
      <c r="AF58" s="110">
        <f>+GETPIVOTDATA(" Tot # Single Rnk New",'NEW Counts Pivot Table'!$A$3,"State","KY","Category2","Group2")</f>
        <v>0</v>
      </c>
      <c r="AG58" s="108">
        <f>+GETPIVOTDATA(" Tot # Single Rnk New",'NEW Counts Pivot Table'!$A$3,"State","KY","Category",12,"Category2","Technical Institutes")</f>
        <v>0</v>
      </c>
      <c r="AH58" s="109">
        <f>+GETPIVOTDATA(" Tot # Single Rnk New",'NEW Counts Pivot Table'!$A$3,"State","KY","Category",13,"Category2","Technical Institutes")</f>
        <v>0</v>
      </c>
      <c r="AI58" s="110">
        <f>+GETPIVOTDATA(" Tot # Single Rnk New",'NEW Counts Pivot Table'!$A$3,"State","KY","Category",14,"Category2","Technical Institutes")</f>
        <v>0</v>
      </c>
      <c r="AJ58" s="108">
        <f>+GETPIVOTDATA(" Tot # Single Rnk New",'NEW Counts Pivot Table'!$A$3,"State","KY","Category2","Technical Institutes")</f>
        <v>0</v>
      </c>
    </row>
    <row r="59" spans="1:38" s="54" customFormat="1">
      <c r="A59" s="191"/>
      <c r="B59" s="192" t="s">
        <v>316</v>
      </c>
      <c r="C59" s="33">
        <f t="shared" si="18"/>
        <v>1</v>
      </c>
      <c r="D59" s="31">
        <f t="shared" si="18"/>
        <v>0</v>
      </c>
      <c r="E59" s="31">
        <f t="shared" si="18"/>
        <v>1</v>
      </c>
      <c r="F59" s="31">
        <f t="shared" si="18"/>
        <v>1</v>
      </c>
      <c r="G59" s="31">
        <f t="shared" si="18"/>
        <v>0</v>
      </c>
      <c r="H59" s="69">
        <f t="shared" si="18"/>
        <v>0</v>
      </c>
      <c r="I59" s="33">
        <f t="shared" si="18"/>
        <v>1</v>
      </c>
      <c r="J59" s="33">
        <f t="shared" si="18"/>
        <v>0</v>
      </c>
      <c r="K59" s="31">
        <f t="shared" si="18"/>
        <v>1</v>
      </c>
      <c r="L59" s="31">
        <f t="shared" si="18"/>
        <v>1</v>
      </c>
      <c r="M59" s="31">
        <f t="shared" si="19"/>
        <v>1</v>
      </c>
      <c r="N59" s="33">
        <f t="shared" si="20"/>
        <v>1</v>
      </c>
      <c r="O59" s="33">
        <f t="shared" si="20"/>
        <v>1</v>
      </c>
      <c r="P59" s="31">
        <f t="shared" si="20"/>
        <v>0</v>
      </c>
      <c r="Q59" s="69">
        <f t="shared" si="20"/>
        <v>0</v>
      </c>
      <c r="R59" s="33">
        <f t="shared" si="20"/>
        <v>1</v>
      </c>
      <c r="S59" s="88"/>
      <c r="T59" s="112">
        <f>+GETPIVOTDATA(" All Ranks # New",'NEW Counts Pivot Table'!$A$3,"State","KY","Category",1,"Category2","Four-Year")</f>
        <v>2207</v>
      </c>
      <c r="U59" s="113">
        <f>+GETPIVOTDATA(" All Ranks # New",'NEW Counts Pivot Table'!$A$3,"State","KY","Category",2,"Category2","Four-Year")</f>
        <v>0</v>
      </c>
      <c r="V59" s="113">
        <f>+GETPIVOTDATA(" All Ranks # New",'NEW Counts Pivot Table'!$A$3,"State","KY","Category",3,"Category2","Four-Year")</f>
        <v>2159</v>
      </c>
      <c r="W59" s="113">
        <f>+GETPIVOTDATA(" All Ranks # New",'NEW Counts Pivot Table'!$A$3,"State","KY","Category",4,"Category2","Four-Year")</f>
        <v>654</v>
      </c>
      <c r="X59" s="113">
        <f>+GETPIVOTDATA(" All Ranks # New",'NEW Counts Pivot Table'!$A$3,"State","KY","Category",5,"Category2","Four-Year")</f>
        <v>0</v>
      </c>
      <c r="Y59" s="113">
        <f>+GETPIVOTDATA(" All Ranks # New",'NEW Counts Pivot Table'!$A$3,"State","KY","Category",6,"Category2","Four-Year")</f>
        <v>0</v>
      </c>
      <c r="Z59" s="115">
        <f>+GETPIVOTDATA(" All Ranks # New",'NEW Counts Pivot Table'!$A$3,"State","KY","Category2","Four-Year")</f>
        <v>5020</v>
      </c>
      <c r="AA59" s="112">
        <f>+GETPIVOTDATA(" All Ranks # New",'NEW Counts Pivot Table'!$A$3,"State","AR","Category",7,"Category2","Group2")</f>
        <v>0</v>
      </c>
      <c r="AB59" s="113">
        <f>+GETPIVOTDATA(" All Ranks # New",'NEW Counts Pivot Table'!$A$3,"State","AR","Category",8,"Category2","Group2")</f>
        <v>171</v>
      </c>
      <c r="AC59" s="113">
        <f>+GETPIVOTDATA(" All Ranks # New",'NEW Counts Pivot Table'!$A$3,"State","DE","Category",9,"Category2","Group2")</f>
        <v>300</v>
      </c>
      <c r="AD59" s="113">
        <f>+GETPIVOTDATA(" All Ranks # New",'NEW Counts Pivot Table'!$A$3,"State","DE","Category",10,"Category2","Group2")</f>
        <v>84</v>
      </c>
      <c r="AE59" s="113">
        <f>+GETPIVOTDATA(" All Ranks # New",'NEW Counts Pivot Table'!$A$3,"State","KY","Category","11","Category2","Group2")</f>
        <v>0</v>
      </c>
      <c r="AF59" s="114">
        <f>+GETPIVOTDATA(" All Ranks # New",'NEW Counts Pivot Table'!$A$3,"State","KY","Category2","Group2")</f>
        <v>1775</v>
      </c>
      <c r="AG59" s="112">
        <f>+GETPIVOTDATA(" All Ranks # New",'NEW Counts Pivot Table'!$A$3,"State","KY","Category",12,"Category2","Technical Institutes")</f>
        <v>158</v>
      </c>
      <c r="AH59" s="113">
        <f>+GETPIVOTDATA(" All Ranks # New",'NEW Counts Pivot Table'!$A$3,"State","KY","Category",13,"Category2","Technical Institutes")</f>
        <v>0</v>
      </c>
      <c r="AI59" s="114">
        <f>+GETPIVOTDATA(" All Ranks # New",'NEW Counts Pivot Table'!$A$3,"State","KY","Category",14,"Category2","Technical Institutes")</f>
        <v>0</v>
      </c>
      <c r="AJ59" s="112">
        <f>+GETPIVOTDATA(" All Ranks # New",'NEW Counts Pivot Table'!$A$3,"State","KY","Category2","Technical Institutes")</f>
        <v>158</v>
      </c>
      <c r="AK59" s="116"/>
      <c r="AL59" s="116"/>
    </row>
    <row r="60" spans="1:38">
      <c r="A60" s="38" t="s">
        <v>308</v>
      </c>
      <c r="B60" s="35" t="s">
        <v>332</v>
      </c>
      <c r="C60" s="36">
        <f t="shared" ref="C60:L66" si="21">IF(T$66&gt;0,(T60/T$66),0)</f>
        <v>0.34652665589660742</v>
      </c>
      <c r="D60" s="37">
        <f t="shared" si="21"/>
        <v>0.25778421433743665</v>
      </c>
      <c r="E60" s="37">
        <f t="shared" si="21"/>
        <v>0.23867313915857605</v>
      </c>
      <c r="F60" s="37">
        <f t="shared" si="21"/>
        <v>0.18859315589353612</v>
      </c>
      <c r="G60" s="37">
        <f t="shared" si="21"/>
        <v>0</v>
      </c>
      <c r="H60" s="67">
        <f t="shared" si="21"/>
        <v>0</v>
      </c>
      <c r="I60" s="36">
        <f t="shared" si="21"/>
        <v>0.25686653771760154</v>
      </c>
      <c r="J60" s="36">
        <f t="shared" si="21"/>
        <v>0</v>
      </c>
      <c r="K60" s="37">
        <f t="shared" si="21"/>
        <v>0</v>
      </c>
      <c r="L60" s="37">
        <f t="shared" si="21"/>
        <v>0</v>
      </c>
      <c r="M60" s="37">
        <f t="shared" ref="M60:M66" si="22">IF(AD$66&gt;0,(AD60/AD$66),0)</f>
        <v>0</v>
      </c>
      <c r="N60" s="36">
        <f t="shared" ref="N60:R66" si="23">IF(AF$66&gt;0,(AF60/AF$66),0)</f>
        <v>0.12253641816623821</v>
      </c>
      <c r="O60" s="152">
        <f t="shared" si="23"/>
        <v>0</v>
      </c>
      <c r="P60" s="37">
        <f t="shared" si="23"/>
        <v>0</v>
      </c>
      <c r="Q60" s="67">
        <f t="shared" si="23"/>
        <v>8.7656529516994638E-2</v>
      </c>
      <c r="R60" s="152">
        <f t="shared" si="23"/>
        <v>7.9223928860145509E-2</v>
      </c>
      <c r="S60" s="117"/>
      <c r="T60" s="104">
        <f>+GETPIVOTDATA(" Total # Prof New",'NEW Counts Pivot Table'!$A$3,"State","LA","Category",1,"Category2","Four-Year")</f>
        <v>429</v>
      </c>
      <c r="U60" s="105">
        <f>+GETPIVOTDATA(" Total # Prof New",'NEW Counts Pivot Table'!$A$3,"State","LA","Category",2,"Category2","Four-Year")</f>
        <v>356</v>
      </c>
      <c r="V60" s="105">
        <f>+GETPIVOTDATA(" Total # Prof New",'NEW Counts Pivot Table'!$A$3,"State","LA","Category",3,"Category2","Four-Year")</f>
        <v>295</v>
      </c>
      <c r="W60" s="105">
        <f>+GETPIVOTDATA(" Total # Prof New",'NEW Counts Pivot Table'!$A$3,"State","LA","Category",4,"Category2","Four-Year")</f>
        <v>248</v>
      </c>
      <c r="X60" s="105">
        <f>+GETPIVOTDATA(" Total # Prof New",'NEW Counts Pivot Table'!$A$3,"State","LA","Category",5,"Category2","Four-Year")</f>
        <v>0</v>
      </c>
      <c r="Y60" s="105">
        <f>+GETPIVOTDATA(" Total # Prof New",'NEW Counts Pivot Table'!$A$3,"State","LA","Category",6,"Category2","Four-Year")</f>
        <v>0</v>
      </c>
      <c r="Z60" s="107">
        <f>+GETPIVOTDATA(" Total # Prof New",'NEW Counts Pivot Table'!$A$3,"State","LA","Category2","Four-Year")</f>
        <v>1328</v>
      </c>
      <c r="AA60" s="104">
        <f>+GETPIVOTDATA(" Total # Prof New",'NEW Counts Pivot Table'!$A$3,"State","AR","Category",7,"Category2","Group2")</f>
        <v>0</v>
      </c>
      <c r="AB60" s="105">
        <f>+GETPIVOTDATA(" Total # Prof New",'NEW Counts Pivot Table'!$A$3,"State","AR","Category",8,"Category2","Group2")</f>
        <v>0</v>
      </c>
      <c r="AC60" s="105">
        <f>+GETPIVOTDATA(" Total # Prof New",'NEW Counts Pivot Table'!$A$3,"State","DE","Category",9,"Category2","Group2")</f>
        <v>0</v>
      </c>
      <c r="AD60" s="105">
        <f>+GETPIVOTDATA(" Total # Prof New",'NEW Counts Pivot Table'!$A$3,"State","DE","Category",10,"Category2","Group2")</f>
        <v>0</v>
      </c>
      <c r="AE60" s="105">
        <f>+GETPIVOTDATA(" Total # Prof New",'NEW Counts Pivot Table'!$A$3,"State","LA","Category","11","Category2","Group2")</f>
        <v>0</v>
      </c>
      <c r="AF60" s="106">
        <f>+GETPIVOTDATA(" Total # Prof New",'NEW Counts Pivot Table'!$A$3,"State","LA","Category2","Group2")</f>
        <v>143</v>
      </c>
      <c r="AG60" s="104">
        <f>+GETPIVOTDATA(" Total # Prof New",'NEW Counts Pivot Table'!$A$3,"State","LA","Category",12,"Category2","Technical Institutes")</f>
        <v>0</v>
      </c>
      <c r="AH60" s="105">
        <f>+GETPIVOTDATA(" Total # Prof New",'NEW Counts Pivot Table'!$A$3,"State","LA","Category",13,"Category2","Technical Institutes")</f>
        <v>0</v>
      </c>
      <c r="AI60" s="106">
        <f>+GETPIVOTDATA(" Total # Prof New",'NEW Counts Pivot Table'!$A$3,"State","LA","Category",14,"Category2","Technical Institutes")</f>
        <v>98</v>
      </c>
      <c r="AJ60" s="104">
        <f>+GETPIVOTDATA(" Total # Prof New",'NEW Counts Pivot Table'!$A$3,"State","LA","Category2","Technical Institutes")</f>
        <v>98</v>
      </c>
    </row>
    <row r="61" spans="1:38">
      <c r="A61" s="30"/>
      <c r="B61" s="38" t="s">
        <v>333</v>
      </c>
      <c r="C61" s="32">
        <f t="shared" si="21"/>
        <v>0.23990306946688206</v>
      </c>
      <c r="D61" s="34">
        <f t="shared" si="21"/>
        <v>0.24764663287472846</v>
      </c>
      <c r="E61" s="34">
        <f t="shared" si="21"/>
        <v>0.2313915857605178</v>
      </c>
      <c r="F61" s="34">
        <f t="shared" si="21"/>
        <v>0.21825095057034222</v>
      </c>
      <c r="G61" s="34">
        <f t="shared" si="21"/>
        <v>0</v>
      </c>
      <c r="H61" s="68">
        <f t="shared" si="21"/>
        <v>0</v>
      </c>
      <c r="I61" s="32">
        <f t="shared" si="21"/>
        <v>0.2344294003868472</v>
      </c>
      <c r="J61" s="32">
        <f t="shared" si="21"/>
        <v>0</v>
      </c>
      <c r="K61" s="34">
        <f t="shared" si="21"/>
        <v>0</v>
      </c>
      <c r="L61" s="34">
        <f t="shared" si="21"/>
        <v>0</v>
      </c>
      <c r="M61" s="34">
        <f t="shared" si="22"/>
        <v>0</v>
      </c>
      <c r="N61" s="32">
        <f t="shared" si="23"/>
        <v>0.17309340188517566</v>
      </c>
      <c r="O61" s="32">
        <f t="shared" si="23"/>
        <v>0</v>
      </c>
      <c r="P61" s="34">
        <f t="shared" si="23"/>
        <v>0</v>
      </c>
      <c r="Q61" s="68">
        <f t="shared" si="23"/>
        <v>1.8783542039355994E-2</v>
      </c>
      <c r="R61" s="32">
        <f t="shared" si="23"/>
        <v>1.6976556184316895E-2</v>
      </c>
      <c r="S61" s="87"/>
      <c r="T61" s="108">
        <f>+GETPIVOTDATA(" Tot # Asc. Prof New",'NEW Counts Pivot Table'!$A$3,"State","LA","Category",1,"Category2","Four-Year")</f>
        <v>297</v>
      </c>
      <c r="U61" s="109">
        <f>+GETPIVOTDATA(" Tot # Asc. Prof New",'NEW Counts Pivot Table'!$A$3,"State","LA","Category",2,"Category2","Four-Year")</f>
        <v>342</v>
      </c>
      <c r="V61" s="109">
        <f>+GETPIVOTDATA(" Tot # Asc. Prof New",'NEW Counts Pivot Table'!$A$3,"State","LA","Category",3,"Category2","Four-Year")</f>
        <v>286</v>
      </c>
      <c r="W61" s="109">
        <f>+GETPIVOTDATA(" Tot # Asc. Prof New",'NEW Counts Pivot Table'!$A$3,"State","LA","Category",4,"Category2","Four-Year")</f>
        <v>287</v>
      </c>
      <c r="X61" s="109">
        <f>+GETPIVOTDATA(" Tot # Asc. Prof New",'NEW Counts Pivot Table'!$A$3,"State","LA","Category",5,"Category2","Four-Year")</f>
        <v>0</v>
      </c>
      <c r="Y61" s="109">
        <f>+GETPIVOTDATA(" Tot # Asc. Prof New",'NEW Counts Pivot Table'!$A$3,"State","LA","Category",6,"Category2","Four-Year")</f>
        <v>0</v>
      </c>
      <c r="Z61" s="111">
        <f>+GETPIVOTDATA(" Tot # Asc. Prof New",'NEW Counts Pivot Table'!$A$3,"State","LA","Category2","Four-Year")</f>
        <v>1212</v>
      </c>
      <c r="AA61" s="108">
        <f>+GETPIVOTDATA(" Tot # Asc. Prof New",'NEW Counts Pivot Table'!$A$3,"State","AR","Category",7,"Category2","Group2")</f>
        <v>0</v>
      </c>
      <c r="AB61" s="109">
        <f>+GETPIVOTDATA(" Tot # Asc. Prof New",'NEW Counts Pivot Table'!$A$3,"State","AR","Category",8,"Category2","Group2")</f>
        <v>0</v>
      </c>
      <c r="AC61" s="109">
        <f>+GETPIVOTDATA(" Tot # Asc. Prof New",'NEW Counts Pivot Table'!$A$3,"State","DE","Category",9,"Category2","Group2")</f>
        <v>0</v>
      </c>
      <c r="AD61" s="109">
        <f>+GETPIVOTDATA(" Tot # Asc. Prof New",'NEW Counts Pivot Table'!$A$3,"State","DE","Category",10,"Category2","Group2")</f>
        <v>0</v>
      </c>
      <c r="AE61" s="109">
        <f>+GETPIVOTDATA(" Tot # Asc. Prof New",'NEW Counts Pivot Table'!$A$3,"State","LA","Category","11","Category2","Group2")</f>
        <v>0</v>
      </c>
      <c r="AF61" s="110">
        <f>+GETPIVOTDATA(" Tot # Asc. Prof New",'NEW Counts Pivot Table'!$A$3,"State","LA","Category2","Group2")</f>
        <v>202</v>
      </c>
      <c r="AG61" s="108">
        <f>+GETPIVOTDATA(" Tot # Asc. Prof New",'NEW Counts Pivot Table'!$A$3,"State","LA","Category",12,"Category2","Technical Institutes")</f>
        <v>0</v>
      </c>
      <c r="AH61" s="109">
        <f>+GETPIVOTDATA(" Tot # Asc. Prof New",'NEW Counts Pivot Table'!$A$3,"State","LA","Category",13,"Category2","Technical Institutes")</f>
        <v>0</v>
      </c>
      <c r="AI61" s="110">
        <f>+GETPIVOTDATA(" Tot # Asc. Prof New",'NEW Counts Pivot Table'!$A$3,"State","LA","Category",14,"Category2","Technical Institutes")</f>
        <v>21</v>
      </c>
      <c r="AJ61" s="108">
        <f>+GETPIVOTDATA(" Tot # Asc. Prof New",'NEW Counts Pivot Table'!$A$3,"State","LA","Category2","Technical Institutes")</f>
        <v>21</v>
      </c>
    </row>
    <row r="62" spans="1:38">
      <c r="A62" s="30"/>
      <c r="B62" s="38" t="s">
        <v>334</v>
      </c>
      <c r="C62" s="32">
        <f t="shared" si="21"/>
        <v>0.2245557350565428</v>
      </c>
      <c r="D62" s="34">
        <f t="shared" si="21"/>
        <v>0.26574945691527879</v>
      </c>
      <c r="E62" s="34">
        <f t="shared" si="21"/>
        <v>0.2726537216828479</v>
      </c>
      <c r="F62" s="34">
        <f t="shared" si="21"/>
        <v>0.40228136882129278</v>
      </c>
      <c r="G62" s="34">
        <f t="shared" si="21"/>
        <v>0</v>
      </c>
      <c r="H62" s="68">
        <f t="shared" si="21"/>
        <v>0</v>
      </c>
      <c r="I62" s="32">
        <f t="shared" si="21"/>
        <v>0.29226305609284331</v>
      </c>
      <c r="J62" s="32">
        <f t="shared" si="21"/>
        <v>0</v>
      </c>
      <c r="K62" s="34">
        <f t="shared" si="21"/>
        <v>0</v>
      </c>
      <c r="L62" s="34">
        <f t="shared" si="21"/>
        <v>0</v>
      </c>
      <c r="M62" s="34">
        <f t="shared" si="22"/>
        <v>0</v>
      </c>
      <c r="N62" s="32">
        <f t="shared" si="23"/>
        <v>0.24764353041988005</v>
      </c>
      <c r="O62" s="32">
        <f t="shared" si="23"/>
        <v>0</v>
      </c>
      <c r="P62" s="34">
        <f t="shared" si="23"/>
        <v>1.8867924528301886E-2</v>
      </c>
      <c r="Q62" s="68">
        <f t="shared" si="23"/>
        <v>3.3989266547406083E-2</v>
      </c>
      <c r="R62" s="32">
        <f t="shared" si="23"/>
        <v>3.1527890056588521E-2</v>
      </c>
      <c r="S62" s="87"/>
      <c r="T62" s="108">
        <f>+GETPIVOTDATA(" Tot # Ast. Prof New",'NEW Counts Pivot Table'!$A$3,"State","LA","Category",1,"Category2","Four-Year")</f>
        <v>278</v>
      </c>
      <c r="U62" s="109">
        <f>+GETPIVOTDATA(" Tot # Ast. Prof New",'NEW Counts Pivot Table'!$A$3,"State","LA","Category",2,"Category2","Four-Year")</f>
        <v>367</v>
      </c>
      <c r="V62" s="109">
        <f>+GETPIVOTDATA(" Tot # Ast. Prof New",'NEW Counts Pivot Table'!$A$3,"State","LA","Category",3,"Category2","Four-Year")</f>
        <v>337</v>
      </c>
      <c r="W62" s="109">
        <f>+GETPIVOTDATA(" Tot # Ast. Prof New",'NEW Counts Pivot Table'!$A$3,"State","LA","Category",4,"Category2","Four-Year")</f>
        <v>529</v>
      </c>
      <c r="X62" s="109">
        <f>+GETPIVOTDATA(" Tot # Ast. Prof New",'NEW Counts Pivot Table'!$A$3,"State","LA","Category",5,"Category2","Four-Year")</f>
        <v>0</v>
      </c>
      <c r="Y62" s="109">
        <f>+GETPIVOTDATA(" Tot # Ast. Prof New",'NEW Counts Pivot Table'!$A$3,"State","LA","Category",6,"Category2","Four-Year")</f>
        <v>0</v>
      </c>
      <c r="Z62" s="111">
        <f>+GETPIVOTDATA(" Tot # Ast. Prof New",'NEW Counts Pivot Table'!$A$3,"State","LA","Category2","Four-Year")</f>
        <v>1511</v>
      </c>
      <c r="AA62" s="108">
        <f>+GETPIVOTDATA(" Tot # Ast. Prof New",'NEW Counts Pivot Table'!$A$3,"State","AR","Category",7,"Category2","Group2")</f>
        <v>0</v>
      </c>
      <c r="AB62" s="109">
        <f>+GETPIVOTDATA(" Tot # Ast. Prof New",'NEW Counts Pivot Table'!$A$3,"State","AR","Category",8,"Category2","Group2")</f>
        <v>0</v>
      </c>
      <c r="AC62" s="109">
        <f>+GETPIVOTDATA(" Tot # Ast. Prof New",'NEW Counts Pivot Table'!$A$3,"State","DE","Category",9,"Category2","Group2")</f>
        <v>0</v>
      </c>
      <c r="AD62" s="109">
        <f>+GETPIVOTDATA(" Tot # Ast. Prof New",'NEW Counts Pivot Table'!$A$3,"State","DE","Category",10,"Category2","Group2")</f>
        <v>0</v>
      </c>
      <c r="AE62" s="109">
        <f>+GETPIVOTDATA(" Tot # Ast. Prof New",'NEW Counts Pivot Table'!$A$3,"State","LA","Category","11","Category2","Group2")</f>
        <v>0</v>
      </c>
      <c r="AF62" s="110">
        <f>+GETPIVOTDATA(" Tot # Ast. Prof New",'NEW Counts Pivot Table'!$A$3,"State","LA","Category2","Group2")</f>
        <v>289</v>
      </c>
      <c r="AG62" s="108">
        <f>+GETPIVOTDATA(" Tot # Ast. Prof New",'NEW Counts Pivot Table'!$A$3,"State","LA","Category",12,"Category2","Technical Institutes")</f>
        <v>0</v>
      </c>
      <c r="AH62" s="109">
        <f>+GETPIVOTDATA(" Tot # Ast. Prof New",'NEW Counts Pivot Table'!$A$3,"State","LA","Category",13,"Category2","Technical Institutes")</f>
        <v>1</v>
      </c>
      <c r="AI62" s="110">
        <f>+GETPIVOTDATA(" Tot # Ast. Prof New",'NEW Counts Pivot Table'!$A$3,"State","LA","Category",14,"Category2","Technical Institutes")</f>
        <v>38</v>
      </c>
      <c r="AJ62" s="108">
        <f>+GETPIVOTDATA(" Tot # Ast. Prof New",'NEW Counts Pivot Table'!$A$3,"State","LA","Category2","Technical Institutes")</f>
        <v>39</v>
      </c>
    </row>
    <row r="63" spans="1:38">
      <c r="A63" s="30"/>
      <c r="B63" s="38" t="s">
        <v>335</v>
      </c>
      <c r="C63" s="32">
        <f t="shared" si="21"/>
        <v>0.17205169628432956</v>
      </c>
      <c r="D63" s="34">
        <f t="shared" si="21"/>
        <v>0.21723388848660391</v>
      </c>
      <c r="E63" s="34">
        <f t="shared" si="21"/>
        <v>0.24919093851132687</v>
      </c>
      <c r="F63" s="34">
        <f t="shared" si="21"/>
        <v>0.17034220532319391</v>
      </c>
      <c r="G63" s="34">
        <f t="shared" si="21"/>
        <v>0</v>
      </c>
      <c r="H63" s="68">
        <f t="shared" si="21"/>
        <v>0</v>
      </c>
      <c r="I63" s="32">
        <f t="shared" si="21"/>
        <v>0.20212765957446807</v>
      </c>
      <c r="J63" s="32">
        <f t="shared" si="21"/>
        <v>0</v>
      </c>
      <c r="K63" s="34">
        <f t="shared" si="21"/>
        <v>0</v>
      </c>
      <c r="L63" s="34">
        <f t="shared" si="21"/>
        <v>0</v>
      </c>
      <c r="M63" s="34">
        <f t="shared" si="22"/>
        <v>0</v>
      </c>
      <c r="N63" s="32">
        <f t="shared" si="23"/>
        <v>0.34275921165381318</v>
      </c>
      <c r="O63" s="32">
        <f t="shared" si="23"/>
        <v>1</v>
      </c>
      <c r="P63" s="34">
        <f t="shared" si="23"/>
        <v>0.8867924528301887</v>
      </c>
      <c r="Q63" s="68">
        <f t="shared" si="23"/>
        <v>0.39087656529516995</v>
      </c>
      <c r="R63" s="32">
        <f t="shared" si="23"/>
        <v>0.44462409054163299</v>
      </c>
      <c r="S63" s="87"/>
      <c r="T63" s="108">
        <f>+GETPIVOTDATA(" Tot # Instr. New",'NEW Counts Pivot Table'!$A$3,"State","LA","Category",1,"Category2","Four-Year")</f>
        <v>213</v>
      </c>
      <c r="U63" s="109">
        <f>+GETPIVOTDATA(" Tot # Instr. New",'NEW Counts Pivot Table'!$A$3,"State","LA","Category",2,"Category2","Four-Year")</f>
        <v>300</v>
      </c>
      <c r="V63" s="109">
        <f>+GETPIVOTDATA(" Tot # Instr. New",'NEW Counts Pivot Table'!$A$3,"State","LA","Category",3,"Category2","Four-Year")</f>
        <v>308</v>
      </c>
      <c r="W63" s="109">
        <f>+GETPIVOTDATA(" Tot # Instr. New",'NEW Counts Pivot Table'!$A$3,"State","LA","Category",4,"Category2","Four-Year")</f>
        <v>224</v>
      </c>
      <c r="X63" s="109">
        <f>+GETPIVOTDATA(" Tot # Instr. New",'NEW Counts Pivot Table'!$A$3,"State","LA","Category",5,"Category2","Four-Year")</f>
        <v>0</v>
      </c>
      <c r="Y63" s="109">
        <f>+GETPIVOTDATA(" Tot # Instr. New",'NEW Counts Pivot Table'!$A$3,"State","LA","Category",6,"Category2","Four-Year")</f>
        <v>0</v>
      </c>
      <c r="Z63" s="111">
        <f>+GETPIVOTDATA(" Tot # Instr. New",'NEW Counts Pivot Table'!$A$3,"State","LA","Category2","Four-Year")</f>
        <v>1045</v>
      </c>
      <c r="AA63" s="108">
        <f>+GETPIVOTDATA(" Tot # Instr. New",'NEW Counts Pivot Table'!$A$3,"State","AR","Category",7,"Category2","Group2")</f>
        <v>0</v>
      </c>
      <c r="AB63" s="109">
        <f>+GETPIVOTDATA(" Tot # Instr. New",'NEW Counts Pivot Table'!$A$3,"State","AR","Category",8,"Category2","Group2")</f>
        <v>0</v>
      </c>
      <c r="AC63" s="109">
        <f>+GETPIVOTDATA(" Tot # Instr. New",'NEW Counts Pivot Table'!$A$3,"State","DE","Category",9,"Category2","Group2")</f>
        <v>0</v>
      </c>
      <c r="AD63" s="109">
        <f>+GETPIVOTDATA(" Tot # Instr. New",'NEW Counts Pivot Table'!$A$3,"State","DE","Category",10,"Category2","Group2")</f>
        <v>0</v>
      </c>
      <c r="AE63" s="109">
        <f>+GETPIVOTDATA(" Tot # Instr. New",'NEW Counts Pivot Table'!$A$3,"State","LA","Category","11","Category2","Group2")</f>
        <v>0</v>
      </c>
      <c r="AF63" s="110">
        <f>+GETPIVOTDATA(" Tot # Instr. New",'NEW Counts Pivot Table'!$A$3,"State","LA","Category2","Group2")</f>
        <v>400</v>
      </c>
      <c r="AG63" s="108">
        <f>+GETPIVOTDATA(" Tot # Instr. New",'NEW Counts Pivot Table'!$A$3,"State","LA","Category",12,"Category2","Technical Institutes")</f>
        <v>66</v>
      </c>
      <c r="AH63" s="109">
        <f>+GETPIVOTDATA(" Tot # Instr. New",'NEW Counts Pivot Table'!$A$3,"State","LA","Category",13,"Category2","Technical Institutes")</f>
        <v>47</v>
      </c>
      <c r="AI63" s="110">
        <f>+GETPIVOTDATA(" Tot # Instr. New",'NEW Counts Pivot Table'!$A$3,"State","LA","Category",14,"Category2","Technical Institutes")</f>
        <v>437</v>
      </c>
      <c r="AJ63" s="108">
        <f>+GETPIVOTDATA(" Tot # Instr. New",'NEW Counts Pivot Table'!$A$3,"State","LA","Category2","Technical Institutes")</f>
        <v>550</v>
      </c>
    </row>
    <row r="64" spans="1:38">
      <c r="A64" s="30"/>
      <c r="B64" s="38" t="s">
        <v>315</v>
      </c>
      <c r="C64" s="32">
        <f t="shared" si="21"/>
        <v>1.6962843295638127E-2</v>
      </c>
      <c r="D64" s="34">
        <f t="shared" si="21"/>
        <v>1.1585807385952208E-2</v>
      </c>
      <c r="E64" s="34">
        <f t="shared" si="21"/>
        <v>8.0906148867313909E-3</v>
      </c>
      <c r="F64" s="236">
        <f t="shared" si="21"/>
        <v>1.4448669201520912E-2</v>
      </c>
      <c r="G64" s="34">
        <f t="shared" si="21"/>
        <v>0</v>
      </c>
      <c r="H64" s="68">
        <f t="shared" si="21"/>
        <v>0</v>
      </c>
      <c r="I64" s="32">
        <f t="shared" si="21"/>
        <v>1.276595744680851E-2</v>
      </c>
      <c r="J64" s="32">
        <f t="shared" si="21"/>
        <v>0</v>
      </c>
      <c r="K64" s="34">
        <f t="shared" si="21"/>
        <v>0</v>
      </c>
      <c r="L64" s="34">
        <f t="shared" si="21"/>
        <v>0</v>
      </c>
      <c r="M64" s="34">
        <f t="shared" si="22"/>
        <v>0</v>
      </c>
      <c r="N64" s="32">
        <f t="shared" si="23"/>
        <v>0.10711225364181662</v>
      </c>
      <c r="O64" s="32">
        <f t="shared" si="23"/>
        <v>0</v>
      </c>
      <c r="P64" s="34">
        <f t="shared" si="23"/>
        <v>9.4339622641509441E-2</v>
      </c>
      <c r="Q64" s="68">
        <f t="shared" si="23"/>
        <v>0</v>
      </c>
      <c r="R64" s="237">
        <f t="shared" si="23"/>
        <v>4.0420371867421184E-3</v>
      </c>
      <c r="S64" s="87"/>
      <c r="T64" s="108">
        <f>++GETPIVOTDATA(" Tot # Undes. New",'NEW Counts Pivot Table'!$A$3,"State","LA","Category",1,"Category2","Four-Year")</f>
        <v>21</v>
      </c>
      <c r="U64" s="109">
        <f>+GETPIVOTDATA(" Tot # Undes. New",'NEW Counts Pivot Table'!$A$3,"State","LA","Category",2,"Category2","Four-Year")</f>
        <v>16</v>
      </c>
      <c r="V64" s="109">
        <f>+GETPIVOTDATA(" Tot # Undes. New",'NEW Counts Pivot Table'!$A$3,"State","LA","Category",3,"Category2","Four-Year")</f>
        <v>10</v>
      </c>
      <c r="W64" s="109">
        <f>+GETPIVOTDATA(" Tot # Undes. New",'NEW Counts Pivot Table'!$A$3,"State","LA","Category",4,"Category2","Four-Year")</f>
        <v>19</v>
      </c>
      <c r="X64" s="109">
        <f>+GETPIVOTDATA(" Tot # Undes. New",'NEW Counts Pivot Table'!$A$3,"State","LA","Category",5,"Category2","Four-Year")</f>
        <v>0</v>
      </c>
      <c r="Y64" s="109">
        <f>+GETPIVOTDATA(" Tot # Undes. New",'NEW Counts Pivot Table'!$A$3,"State","LA","Category",6,"Category2","Four-Year")</f>
        <v>0</v>
      </c>
      <c r="Z64" s="111">
        <f>+GETPIVOTDATA(" Tot # Undes. New",'NEW Counts Pivot Table'!$A$3,"State","LA","Category2","Four-Year")</f>
        <v>66</v>
      </c>
      <c r="AA64" s="108">
        <f>+GETPIVOTDATA(" Tot # Undes. New",'NEW Counts Pivot Table'!$A$3,"State","AR","Category",7,"Category2","Group2")</f>
        <v>0</v>
      </c>
      <c r="AB64" s="109">
        <f>+GETPIVOTDATA(" Tot # Undes. New",'NEW Counts Pivot Table'!$A$3,"State","AR","Category",8,"Category2","Group2")</f>
        <v>0</v>
      </c>
      <c r="AC64" s="109">
        <f>+GETPIVOTDATA(" Tot # Undes. New",'NEW Counts Pivot Table'!$A$3,"State","DE","Category",9,"Category2","Group2")</f>
        <v>0</v>
      </c>
      <c r="AD64" s="109">
        <f>+GETPIVOTDATA(" Tot # Undes. New",'NEW Counts Pivot Table'!$A$3,"State","DE","Category",10,"Category2","Group2")</f>
        <v>0</v>
      </c>
      <c r="AE64" s="109">
        <f>+GETPIVOTDATA(" Tot # Undes. New",'NEW Counts Pivot Table'!$A$3,"State","LA","Category","11","Category2","Group2")</f>
        <v>0</v>
      </c>
      <c r="AF64" s="110">
        <f>+GETPIVOTDATA(" Tot # Undes. New",'NEW Counts Pivot Table'!$A$3,"State","LA","Category2","Group2")</f>
        <v>125</v>
      </c>
      <c r="AG64" s="108">
        <f>+GETPIVOTDATA(" Tot # Undes. New",'NEW Counts Pivot Table'!$A$3,"State","LA","Category",12,"Category2","Technical Institutes")</f>
        <v>0</v>
      </c>
      <c r="AH64" s="109">
        <f>+GETPIVOTDATA(" Tot # Undes. New",'NEW Counts Pivot Table'!$A$3,"State","LA","Category",13,"Category2","Technical Institutes")</f>
        <v>5</v>
      </c>
      <c r="AI64" s="110">
        <f>+GETPIVOTDATA(" Tot # Undes. New",'NEW Counts Pivot Table'!$A$3,"State","LA","Category",14,"Category2","Technical Institutes")</f>
        <v>0</v>
      </c>
      <c r="AJ64" s="108">
        <f>+GETPIVOTDATA(" Tot # Undes. New",'NEW Counts Pivot Table'!$A$3,"State","LA","Category2","Technical Institutes")</f>
        <v>5</v>
      </c>
    </row>
    <row r="65" spans="1:38">
      <c r="A65" s="30"/>
      <c r="B65" s="38" t="s">
        <v>314</v>
      </c>
      <c r="C65" s="32">
        <f t="shared" si="21"/>
        <v>0</v>
      </c>
      <c r="D65" s="34">
        <f t="shared" si="21"/>
        <v>0</v>
      </c>
      <c r="E65" s="34">
        <f t="shared" si="21"/>
        <v>0</v>
      </c>
      <c r="F65" s="236">
        <f t="shared" si="21"/>
        <v>6.0836501901140681E-3</v>
      </c>
      <c r="G65" s="185">
        <f t="shared" si="21"/>
        <v>0</v>
      </c>
      <c r="H65" s="68">
        <f t="shared" si="21"/>
        <v>0</v>
      </c>
      <c r="I65" s="32">
        <f t="shared" si="21"/>
        <v>1.5473887814313346E-3</v>
      </c>
      <c r="J65" s="32">
        <f t="shared" si="21"/>
        <v>0</v>
      </c>
      <c r="K65" s="34">
        <f t="shared" si="21"/>
        <v>1</v>
      </c>
      <c r="L65" s="34">
        <f t="shared" si="21"/>
        <v>1</v>
      </c>
      <c r="M65" s="34">
        <f t="shared" si="22"/>
        <v>1</v>
      </c>
      <c r="N65" s="32">
        <f t="shared" si="23"/>
        <v>6.8551842330762643E-3</v>
      </c>
      <c r="O65" s="32">
        <f t="shared" si="23"/>
        <v>0</v>
      </c>
      <c r="P65" s="34">
        <f t="shared" si="23"/>
        <v>0</v>
      </c>
      <c r="Q65" s="68">
        <f t="shared" si="23"/>
        <v>0.46869409660107336</v>
      </c>
      <c r="R65" s="32">
        <f t="shared" si="23"/>
        <v>0.423605497170574</v>
      </c>
      <c r="S65" s="87"/>
      <c r="T65" s="108">
        <f>+GETPIVOTDATA(" Tot # Single Rnk New",'NEW Counts Pivot Table'!$A$3,"State","LA","Category",1,"Category2","Four-Year")</f>
        <v>0</v>
      </c>
      <c r="U65" s="109">
        <f>+GETPIVOTDATA(" Tot # Single Rnk New",'NEW Counts Pivot Table'!$A$3,"State","LA","Category",2,"Category2","Four-Year")</f>
        <v>0</v>
      </c>
      <c r="V65" s="109">
        <f>+GETPIVOTDATA(" Tot # Single Rnk New",'NEW Counts Pivot Table'!$A$3,"State","LA","Category",3,"Category2","Four-Year")</f>
        <v>0</v>
      </c>
      <c r="W65" s="109">
        <f>+GETPIVOTDATA(" Tot # Single Rnk New",'NEW Counts Pivot Table'!$A$3,"State","LA","Category",4,"Category2","Four-Year")</f>
        <v>8</v>
      </c>
      <c r="X65" s="109">
        <f>+GETPIVOTDATA(" Tot # Single Rnk New",'NEW Counts Pivot Table'!$A$3,"State","LA","Category",5,"Category2","Four-Year")</f>
        <v>0</v>
      </c>
      <c r="Y65" s="109">
        <f>+GETPIVOTDATA(" Tot # Single Rnk New",'NEW Counts Pivot Table'!$A$3,"State","LA","Category",6,"Category2","Four-Year")</f>
        <v>0</v>
      </c>
      <c r="Z65" s="111">
        <f>+GETPIVOTDATA(" Tot # Single Rnk New",'NEW Counts Pivot Table'!$A$3,"State","LA","Category2","Four-Year")</f>
        <v>8</v>
      </c>
      <c r="AA65" s="108">
        <f>+GETPIVOTDATA(" Tot # Single Rnk New",'NEW Counts Pivot Table'!$A$3,"State","AR","Category",7,"Category2","Group2")</f>
        <v>0</v>
      </c>
      <c r="AB65" s="109">
        <f>+GETPIVOTDATA(" Tot # Single Rnk New",'NEW Counts Pivot Table'!$A$3,"State","AR","Category",8,"Category2","Group2")</f>
        <v>171</v>
      </c>
      <c r="AC65" s="109">
        <f>+GETPIVOTDATA(" Tot # Single Rnk New",'NEW Counts Pivot Table'!$A$3,"State","DE","Category",9,"Category2","Group2")</f>
        <v>300</v>
      </c>
      <c r="AD65" s="109">
        <f>+GETPIVOTDATA(" Tot # Single Rnk New",'NEW Counts Pivot Table'!$A$3,"State","DE","Category",10,"Category2","Group2")</f>
        <v>84</v>
      </c>
      <c r="AE65" s="109">
        <f>+GETPIVOTDATA(" Tot # Single Rnk New",'NEW Counts Pivot Table'!$A$3,"State","LA","Category","11","Category2","Group2")</f>
        <v>0</v>
      </c>
      <c r="AF65" s="110">
        <f>+GETPIVOTDATA(" Tot # Single Rnk New",'NEW Counts Pivot Table'!$A$3,"State","LA","Category2","Group2")</f>
        <v>8</v>
      </c>
      <c r="AG65" s="108">
        <f>+GETPIVOTDATA(" Tot # Single Rnk New",'NEW Counts Pivot Table'!$A$3,"State","LA","Category",12,"Category2","Technical Institutes")</f>
        <v>0</v>
      </c>
      <c r="AH65" s="109">
        <f>+GETPIVOTDATA(" Tot # Single Rnk New",'NEW Counts Pivot Table'!$A$3,"State","LA","Category",13,"Category2","Technical Institutes")</f>
        <v>0</v>
      </c>
      <c r="AI65" s="110">
        <f>+GETPIVOTDATA(" Tot # Single Rnk New",'NEW Counts Pivot Table'!$A$3,"State","LA","Category",14,"Category2","Technical Institutes")</f>
        <v>524</v>
      </c>
      <c r="AJ65" s="108">
        <f>+GETPIVOTDATA(" Tot # Single Rnk New",'NEW Counts Pivot Table'!$A$3,"State","LA","Category2","Technical Institutes")</f>
        <v>524</v>
      </c>
    </row>
    <row r="66" spans="1:38" s="54" customFormat="1">
      <c r="A66" s="191"/>
      <c r="B66" s="192" t="s">
        <v>316</v>
      </c>
      <c r="C66" s="33">
        <f t="shared" si="21"/>
        <v>1</v>
      </c>
      <c r="D66" s="31">
        <f t="shared" si="21"/>
        <v>1</v>
      </c>
      <c r="E66" s="31">
        <f t="shared" si="21"/>
        <v>1</v>
      </c>
      <c r="F66" s="31">
        <f t="shared" si="21"/>
        <v>1</v>
      </c>
      <c r="G66" s="31">
        <f t="shared" si="21"/>
        <v>0</v>
      </c>
      <c r="H66" s="69">
        <f t="shared" si="21"/>
        <v>0</v>
      </c>
      <c r="I66" s="33">
        <f t="shared" si="21"/>
        <v>1</v>
      </c>
      <c r="J66" s="33">
        <f t="shared" si="21"/>
        <v>0</v>
      </c>
      <c r="K66" s="31">
        <f t="shared" si="21"/>
        <v>1</v>
      </c>
      <c r="L66" s="31">
        <f t="shared" si="21"/>
        <v>1</v>
      </c>
      <c r="M66" s="31">
        <f t="shared" si="22"/>
        <v>1</v>
      </c>
      <c r="N66" s="33">
        <f t="shared" si="23"/>
        <v>1</v>
      </c>
      <c r="O66" s="33">
        <f t="shared" si="23"/>
        <v>1</v>
      </c>
      <c r="P66" s="31">
        <f t="shared" si="23"/>
        <v>1</v>
      </c>
      <c r="Q66" s="69">
        <f t="shared" si="23"/>
        <v>1</v>
      </c>
      <c r="R66" s="33">
        <f t="shared" si="23"/>
        <v>1</v>
      </c>
      <c r="S66" s="88"/>
      <c r="T66" s="112">
        <f>+GETPIVOTDATA(" All Ranks # New",'NEW Counts Pivot Table'!$A$3,"State","LA","Category",1,"Category2","Four-Year")</f>
        <v>1238</v>
      </c>
      <c r="U66" s="113">
        <f>+GETPIVOTDATA(" All Ranks # New",'NEW Counts Pivot Table'!$A$3,"State","LA","Category",2,"Category2","Four-Year")</f>
        <v>1381</v>
      </c>
      <c r="V66" s="113">
        <f>+GETPIVOTDATA(" All Ranks # New",'NEW Counts Pivot Table'!$A$3,"State","LA","Category",3,"Category2","Four-Year")</f>
        <v>1236</v>
      </c>
      <c r="W66" s="113">
        <f>+GETPIVOTDATA(" All Ranks # New",'NEW Counts Pivot Table'!$A$3,"State","LA","Category",4,"Category2","Four-Year")</f>
        <v>1315</v>
      </c>
      <c r="X66" s="113">
        <f>+GETPIVOTDATA(" All Ranks # New",'NEW Counts Pivot Table'!$A$3,"State","LA","Category",5,"Category2","Four-Year")</f>
        <v>0</v>
      </c>
      <c r="Y66" s="113">
        <f>+GETPIVOTDATA(" All Ranks # New",'NEW Counts Pivot Table'!$A$3,"State","LA","Category",6,"Category2","Four-Year")</f>
        <v>0</v>
      </c>
      <c r="Z66" s="115">
        <f>+GETPIVOTDATA(" All Ranks # New",'NEW Counts Pivot Table'!$A$3,"State","LA","Category2","Four-Year")</f>
        <v>5170</v>
      </c>
      <c r="AA66" s="112">
        <f>+GETPIVOTDATA(" All Ranks # New",'NEW Counts Pivot Table'!$A$3,"State","AR","Category",7,"Category2","Group2")</f>
        <v>0</v>
      </c>
      <c r="AB66" s="113">
        <f>+GETPIVOTDATA(" All Ranks # New",'NEW Counts Pivot Table'!$A$3,"State","AR","Category",8,"Category2","Group2")</f>
        <v>171</v>
      </c>
      <c r="AC66" s="113">
        <f>+GETPIVOTDATA(" All Ranks # New",'NEW Counts Pivot Table'!$A$3,"State","DE","Category",9,"Category2","Group2")</f>
        <v>300</v>
      </c>
      <c r="AD66" s="113">
        <f>+GETPIVOTDATA(" All Ranks # New",'NEW Counts Pivot Table'!$A$3,"State","DE","Category",10,"Category2","Group2")</f>
        <v>84</v>
      </c>
      <c r="AE66" s="113">
        <f>+GETPIVOTDATA(" All Ranks # New",'NEW Counts Pivot Table'!$A$3,"State","LA","Category","11","Category2","Group2")</f>
        <v>0</v>
      </c>
      <c r="AF66" s="114">
        <f>+GETPIVOTDATA(" All Ranks # New",'NEW Counts Pivot Table'!$A$3,"State","LA","Category2","Group2")</f>
        <v>1167</v>
      </c>
      <c r="AG66" s="112">
        <f>+GETPIVOTDATA(" All Ranks # New",'NEW Counts Pivot Table'!$A$3,"State","LA","Category",12,"Category2","Technical Institutes")</f>
        <v>66</v>
      </c>
      <c r="AH66" s="113">
        <f>+GETPIVOTDATA(" All Ranks # New",'NEW Counts Pivot Table'!$A$3,"State","LA","Category",13,"Category2","Technical Institutes")</f>
        <v>53</v>
      </c>
      <c r="AI66" s="114">
        <f>+GETPIVOTDATA(" All Ranks # New",'NEW Counts Pivot Table'!$A$3,"State","LA","Category",14,"Category2","Technical Institutes")</f>
        <v>1118</v>
      </c>
      <c r="AJ66" s="112">
        <f>+GETPIVOTDATA(" All Ranks # New",'NEW Counts Pivot Table'!$A$3,"State","LA","Category2","Technical Institutes")</f>
        <v>1237</v>
      </c>
      <c r="AK66" s="116"/>
      <c r="AL66" s="116"/>
    </row>
    <row r="67" spans="1:38">
      <c r="A67" s="38" t="s">
        <v>340</v>
      </c>
      <c r="B67" s="35" t="s">
        <v>332</v>
      </c>
      <c r="C67" s="36">
        <f t="shared" ref="C67:L73" si="24">IF(T$73&gt;0,(T67/T$73),0)</f>
        <v>0.47490909090909089</v>
      </c>
      <c r="D67" s="37">
        <f t="shared" si="24"/>
        <v>0.36855036855036855</v>
      </c>
      <c r="E67" s="37">
        <f t="shared" si="24"/>
        <v>0.24840085287846481</v>
      </c>
      <c r="F67" s="37">
        <f t="shared" si="24"/>
        <v>0.27007943512797883</v>
      </c>
      <c r="G67" s="37">
        <f t="shared" si="24"/>
        <v>0</v>
      </c>
      <c r="H67" s="67">
        <f t="shared" si="24"/>
        <v>0.29655172413793102</v>
      </c>
      <c r="I67" s="36">
        <f t="shared" si="24"/>
        <v>0.34642321160580292</v>
      </c>
      <c r="J67" s="36">
        <f t="shared" si="24"/>
        <v>0</v>
      </c>
      <c r="K67" s="37">
        <f t="shared" si="24"/>
        <v>0</v>
      </c>
      <c r="L67" s="37">
        <f t="shared" si="24"/>
        <v>0</v>
      </c>
      <c r="M67" s="37">
        <f t="shared" ref="M67:M73" si="25">IF(AD$73&gt;0,(AD67/AD$73),0)</f>
        <v>0</v>
      </c>
      <c r="N67" s="36">
        <f t="shared" ref="N67:R73" si="26">IF(AF$73&gt;0,(AF67/AF$73),0)</f>
        <v>0.3345323741007194</v>
      </c>
      <c r="O67" s="152">
        <f t="shared" si="26"/>
        <v>0</v>
      </c>
      <c r="P67" s="37">
        <f t="shared" si="26"/>
        <v>0</v>
      </c>
      <c r="Q67" s="67">
        <f t="shared" si="26"/>
        <v>0</v>
      </c>
      <c r="R67" s="152">
        <f t="shared" si="26"/>
        <v>0</v>
      </c>
      <c r="S67" s="117"/>
      <c r="T67" s="104">
        <f>+GETPIVOTDATA(" Total # Prof New",'NEW Counts Pivot Table'!$A$3,"State","MD","Category",1,"Category2","Four-Year")</f>
        <v>653</v>
      </c>
      <c r="U67" s="105">
        <f>+GETPIVOTDATA(" Total # Prof New",'NEW Counts Pivot Table'!$A$3,"State","MD","Category",2,"Category2","Four-Year")</f>
        <v>150</v>
      </c>
      <c r="V67" s="105">
        <f>+GETPIVOTDATA(" Total # Prof New",'NEW Counts Pivot Table'!$A$3,"State","MD","Category",3,"Category2","Four-Year")</f>
        <v>233</v>
      </c>
      <c r="W67" s="105">
        <f>+GETPIVOTDATA(" Total # Prof New",'NEW Counts Pivot Table'!$A$3,"State","MD","Category",4,"Category2","Four-Year")</f>
        <v>306</v>
      </c>
      <c r="X67" s="105">
        <f>+GETPIVOTDATA(" Total # Prof New",'NEW Counts Pivot Table'!$A$3,"State","MD","Category",5,"Category2","Four-Year")</f>
        <v>0</v>
      </c>
      <c r="Y67" s="105">
        <f>+GETPIVOTDATA(" Total # Prof New",'NEW Counts Pivot Table'!$A$3,"State","MD","Category",6,"Category2","Four-Year")</f>
        <v>43</v>
      </c>
      <c r="Z67" s="107">
        <f>+GETPIVOTDATA(" Total # Prof New",'NEW Counts Pivot Table'!$A$3,"State","MD","Category2","Four-Year")</f>
        <v>1385</v>
      </c>
      <c r="AA67" s="104">
        <f>+GETPIVOTDATA(" Total # Prof New",'NEW Counts Pivot Table'!$A$3,"State","AR","Category",7,"Category2","Group2")</f>
        <v>0</v>
      </c>
      <c r="AB67" s="105">
        <f>+GETPIVOTDATA(" Total # Prof New",'NEW Counts Pivot Table'!$A$3,"State","AR","Category",8,"Category2","Group2")</f>
        <v>0</v>
      </c>
      <c r="AC67" s="105">
        <f>+GETPIVOTDATA(" Total # Prof New",'NEW Counts Pivot Table'!$A$3,"State","DE","Category",9,"Category2","Group2")</f>
        <v>0</v>
      </c>
      <c r="AD67" s="105">
        <f>+GETPIVOTDATA(" Total # Prof New",'NEW Counts Pivot Table'!$A$3,"State","DE","Category",10,"Category2","Group2")</f>
        <v>0</v>
      </c>
      <c r="AE67" s="105">
        <f>+GETPIVOTDATA(" Total # Prof New",'NEW Counts Pivot Table'!$A$3,"State","MD","Category","11","Category2","Group2")</f>
        <v>0</v>
      </c>
      <c r="AF67" s="106">
        <f>+GETPIVOTDATA(" Total # Prof New",'NEW Counts Pivot Table'!$A$3,"State","MD","Category2","Group2")</f>
        <v>837</v>
      </c>
      <c r="AG67" s="104">
        <f>+GETPIVOTDATA(" Total # Prof New",'NEW Counts Pivot Table'!$A$3,"State","MD","Category",12,"Category2","Technical Institutes")</f>
        <v>0</v>
      </c>
      <c r="AH67" s="105">
        <f>+GETPIVOTDATA(" Total # Prof New",'NEW Counts Pivot Table'!$A$3,"State","MD","Category",13,"Category2","Technical Institutes")</f>
        <v>0</v>
      </c>
      <c r="AI67" s="106">
        <f>+GETPIVOTDATA(" Total # Prof New",'NEW Counts Pivot Table'!$A$3,"State","MD","Category",14,"Category2","Technical Institutes")</f>
        <v>0</v>
      </c>
      <c r="AJ67" s="104">
        <f>+GETPIVOTDATA(" Total # Prof New",'NEW Counts Pivot Table'!$A$3,"State","MD","Category2","Technical Institutes")</f>
        <v>0</v>
      </c>
    </row>
    <row r="68" spans="1:38">
      <c r="A68" s="30"/>
      <c r="B68" s="38" t="s">
        <v>333</v>
      </c>
      <c r="C68" s="32">
        <f t="shared" si="24"/>
        <v>0.29381818181818181</v>
      </c>
      <c r="D68" s="34">
        <f t="shared" si="24"/>
        <v>0.36855036855036855</v>
      </c>
      <c r="E68" s="34">
        <f t="shared" si="24"/>
        <v>0.30170575692963753</v>
      </c>
      <c r="F68" s="34">
        <f t="shared" si="24"/>
        <v>0.29126213592233008</v>
      </c>
      <c r="G68" s="34">
        <f t="shared" si="24"/>
        <v>0</v>
      </c>
      <c r="H68" s="68">
        <f t="shared" si="24"/>
        <v>0.33103448275862069</v>
      </c>
      <c r="I68" s="32">
        <f t="shared" si="24"/>
        <v>0.30390195097548772</v>
      </c>
      <c r="J68" s="32">
        <f t="shared" si="24"/>
        <v>0</v>
      </c>
      <c r="K68" s="34">
        <f t="shared" si="24"/>
        <v>0</v>
      </c>
      <c r="L68" s="34">
        <f t="shared" si="24"/>
        <v>0</v>
      </c>
      <c r="M68" s="34">
        <f t="shared" si="25"/>
        <v>0</v>
      </c>
      <c r="N68" s="32">
        <f t="shared" si="26"/>
        <v>0.26978417266187049</v>
      </c>
      <c r="O68" s="32">
        <f t="shared" si="26"/>
        <v>0</v>
      </c>
      <c r="P68" s="34">
        <f t="shared" si="26"/>
        <v>0</v>
      </c>
      <c r="Q68" s="68">
        <f t="shared" si="26"/>
        <v>0</v>
      </c>
      <c r="R68" s="32">
        <f t="shared" si="26"/>
        <v>0</v>
      </c>
      <c r="S68" s="87"/>
      <c r="T68" s="108">
        <f>+GETPIVOTDATA(" Tot # Asc. Prof New",'NEW Counts Pivot Table'!$A$3,"State","MD","Category",1,"Category2","Four-Year")</f>
        <v>404</v>
      </c>
      <c r="U68" s="109">
        <f>+GETPIVOTDATA(" Tot # Asc. Prof New",'NEW Counts Pivot Table'!$A$3,"State","MD","Category",2,"Category2","Four-Year")</f>
        <v>150</v>
      </c>
      <c r="V68" s="109">
        <f>+GETPIVOTDATA(" Tot # Asc. Prof New",'NEW Counts Pivot Table'!$A$3,"State","MD","Category",3,"Category2","Four-Year")</f>
        <v>283</v>
      </c>
      <c r="W68" s="109">
        <f>+GETPIVOTDATA(" Tot # Asc. Prof New",'NEW Counts Pivot Table'!$A$3,"State","MD","Category",4,"Category2","Four-Year")</f>
        <v>330</v>
      </c>
      <c r="X68" s="109">
        <f>+GETPIVOTDATA(" Tot # Asc. Prof New",'NEW Counts Pivot Table'!$A$3,"State","MD","Category",5,"Category2","Four-Year")</f>
        <v>0</v>
      </c>
      <c r="Y68" s="109">
        <f>+GETPIVOTDATA(" Tot # Asc. Prof New",'NEW Counts Pivot Table'!$A$3,"State","MD","Category",6,"Category2","Four-Year")</f>
        <v>48</v>
      </c>
      <c r="Z68" s="111">
        <f>+GETPIVOTDATA(" Tot # Asc. Prof New",'NEW Counts Pivot Table'!$A$3,"State","MD","Category2","Four-Year")</f>
        <v>1215</v>
      </c>
      <c r="AA68" s="108">
        <f>+GETPIVOTDATA(" Tot # Asc. Prof New",'NEW Counts Pivot Table'!$A$3,"State","AR","Category",7,"Category2","Group2")</f>
        <v>0</v>
      </c>
      <c r="AB68" s="109">
        <f>+GETPIVOTDATA(" Tot # Asc. Prof New",'NEW Counts Pivot Table'!$A$3,"State","AR","Category",8,"Category2","Group2")</f>
        <v>0</v>
      </c>
      <c r="AC68" s="109">
        <f>+GETPIVOTDATA(" Tot # Asc. Prof New",'NEW Counts Pivot Table'!$A$3,"State","DE","Category",9,"Category2","Group2")</f>
        <v>0</v>
      </c>
      <c r="AD68" s="109">
        <f>+GETPIVOTDATA(" Tot # Asc. Prof New",'NEW Counts Pivot Table'!$A$3,"State","DE","Category",10,"Category2","Group2")</f>
        <v>0</v>
      </c>
      <c r="AE68" s="109">
        <f>+GETPIVOTDATA(" Tot # Asc. Prof New",'NEW Counts Pivot Table'!$A$3,"State","MD","Category","11","Category2","Group2")</f>
        <v>0</v>
      </c>
      <c r="AF68" s="110">
        <f>+GETPIVOTDATA(" Tot # Asc. Prof New",'NEW Counts Pivot Table'!$A$3,"State","MD","Category2","Group2")</f>
        <v>675</v>
      </c>
      <c r="AG68" s="108">
        <f>+GETPIVOTDATA(" Tot # Asc. Prof New",'NEW Counts Pivot Table'!$A$3,"State","MD","Category",12,"Category2","Technical Institutes")</f>
        <v>0</v>
      </c>
      <c r="AH68" s="109">
        <f>+GETPIVOTDATA(" Tot # Asc. Prof New",'NEW Counts Pivot Table'!$A$3,"State","MD","Category",13,"Category2","Technical Institutes")</f>
        <v>0</v>
      </c>
      <c r="AI68" s="110">
        <f>+GETPIVOTDATA(" Tot # Asc. Prof New",'NEW Counts Pivot Table'!$A$3,"State","MD","Category",14,"Category2","Technical Institutes")</f>
        <v>0</v>
      </c>
      <c r="AJ68" s="108">
        <f>+GETPIVOTDATA(" Tot # Asc. Prof New",'NEW Counts Pivot Table'!$A$3,"State","MD","Category2","Technical Institutes")</f>
        <v>0</v>
      </c>
    </row>
    <row r="69" spans="1:38">
      <c r="A69" s="30"/>
      <c r="B69" s="38" t="s">
        <v>334</v>
      </c>
      <c r="C69" s="32">
        <f t="shared" si="24"/>
        <v>0.21818181818181817</v>
      </c>
      <c r="D69" s="34">
        <f t="shared" si="24"/>
        <v>0.2334152334152334</v>
      </c>
      <c r="E69" s="34">
        <f t="shared" si="24"/>
        <v>0.42324093816631131</v>
      </c>
      <c r="F69" s="34">
        <f t="shared" si="24"/>
        <v>0.40247131509267431</v>
      </c>
      <c r="G69" s="34">
        <f t="shared" si="24"/>
        <v>0</v>
      </c>
      <c r="H69" s="68">
        <f t="shared" si="24"/>
        <v>0.35172413793103446</v>
      </c>
      <c r="I69" s="32">
        <f t="shared" si="24"/>
        <v>0.32491245622811404</v>
      </c>
      <c r="J69" s="32">
        <f t="shared" si="24"/>
        <v>0</v>
      </c>
      <c r="K69" s="34">
        <f t="shared" si="24"/>
        <v>0</v>
      </c>
      <c r="L69" s="34">
        <f t="shared" si="24"/>
        <v>0</v>
      </c>
      <c r="M69" s="34">
        <f t="shared" si="25"/>
        <v>0</v>
      </c>
      <c r="N69" s="32">
        <f t="shared" si="26"/>
        <v>0.30775379696243005</v>
      </c>
      <c r="O69" s="32">
        <f t="shared" si="26"/>
        <v>0</v>
      </c>
      <c r="P69" s="34">
        <f t="shared" si="26"/>
        <v>0</v>
      </c>
      <c r="Q69" s="68">
        <f t="shared" si="26"/>
        <v>0</v>
      </c>
      <c r="R69" s="32">
        <f t="shared" si="26"/>
        <v>0</v>
      </c>
      <c r="S69" s="87"/>
      <c r="T69" s="108">
        <f>+GETPIVOTDATA(" Tot # Ast. Prof New",'NEW Counts Pivot Table'!$A$3,"State","MD","Category",1,"Category2","Four-Year")</f>
        <v>300</v>
      </c>
      <c r="U69" s="109">
        <f>+GETPIVOTDATA(" Tot # Ast. Prof New",'NEW Counts Pivot Table'!$A$3,"State","MD","Category",2,"Category2","Four-Year")</f>
        <v>95</v>
      </c>
      <c r="V69" s="109">
        <f>+GETPIVOTDATA(" Tot # Ast. Prof New",'NEW Counts Pivot Table'!$A$3,"State","MD","Category",3,"Category2","Four-Year")</f>
        <v>397</v>
      </c>
      <c r="W69" s="109">
        <f>+GETPIVOTDATA(" Tot # Ast. Prof New",'NEW Counts Pivot Table'!$A$3,"State","MD","Category",4,"Category2","Four-Year")</f>
        <v>456</v>
      </c>
      <c r="X69" s="109">
        <f>+GETPIVOTDATA(" Tot # Ast. Prof New",'NEW Counts Pivot Table'!$A$3,"State","MD","Category",5,"Category2","Four-Year")</f>
        <v>0</v>
      </c>
      <c r="Y69" s="109">
        <f>+GETPIVOTDATA(" Tot # Ast. Prof New",'NEW Counts Pivot Table'!$A$3,"State","MD","Category",6,"Category2","Four-Year")</f>
        <v>51</v>
      </c>
      <c r="Z69" s="111">
        <f>+GETPIVOTDATA(" Tot # Ast. Prof New",'NEW Counts Pivot Table'!$A$3,"State","MD","Category2","Four-Year")</f>
        <v>1299</v>
      </c>
      <c r="AA69" s="108">
        <f>+GETPIVOTDATA(" Tot # Ast. Prof New",'NEW Counts Pivot Table'!$A$3,"State","AR","Category",7,"Category2","Group2")</f>
        <v>0</v>
      </c>
      <c r="AB69" s="109">
        <f>+GETPIVOTDATA(" Tot # Ast. Prof New",'NEW Counts Pivot Table'!$A$3,"State","AR","Category",8,"Category2","Group2")</f>
        <v>0</v>
      </c>
      <c r="AC69" s="109">
        <f>+GETPIVOTDATA(" Tot # Ast. Prof New",'NEW Counts Pivot Table'!$A$3,"State","DE","Category",9,"Category2","Group2")</f>
        <v>0</v>
      </c>
      <c r="AD69" s="109">
        <f>+GETPIVOTDATA(" Tot # Ast. Prof New",'NEW Counts Pivot Table'!$A$3,"State","DE","Category",10,"Category2","Group2")</f>
        <v>0</v>
      </c>
      <c r="AE69" s="109">
        <f>+GETPIVOTDATA(" Tot # Ast. Prof New",'NEW Counts Pivot Table'!$A$3,"State","MD","Category","11","Category2","Group2")</f>
        <v>0</v>
      </c>
      <c r="AF69" s="110">
        <f>+GETPIVOTDATA(" Tot # Ast. Prof New",'NEW Counts Pivot Table'!$A$3,"State","MD","Category2","Group2")</f>
        <v>770</v>
      </c>
      <c r="AG69" s="108">
        <f>+GETPIVOTDATA(" Tot # Ast. Prof New",'NEW Counts Pivot Table'!$A$3,"State","MD","Category",12,"Category2","Technical Institutes")</f>
        <v>0</v>
      </c>
      <c r="AH69" s="109">
        <f>+GETPIVOTDATA(" Tot # Ast. Prof New",'NEW Counts Pivot Table'!$A$3,"State","MD","Category",13,"Category2","Technical Institutes")</f>
        <v>0</v>
      </c>
      <c r="AI69" s="110">
        <f>+GETPIVOTDATA(" Tot # Ast. Prof New",'NEW Counts Pivot Table'!$A$3,"State","MD","Category",14,"Category2","Technical Institutes")</f>
        <v>0</v>
      </c>
      <c r="AJ69" s="108">
        <f>+GETPIVOTDATA(" Tot # Ast. Prof New",'NEW Counts Pivot Table'!$A$3,"State","MD","Category2","Technical Institutes")</f>
        <v>0</v>
      </c>
    </row>
    <row r="70" spans="1:38">
      <c r="A70" s="30"/>
      <c r="B70" s="38" t="s">
        <v>335</v>
      </c>
      <c r="C70" s="32">
        <f t="shared" si="24"/>
        <v>1.3090909090909091E-2</v>
      </c>
      <c r="D70" s="34">
        <f t="shared" si="24"/>
        <v>2.9484029484029485E-2</v>
      </c>
      <c r="E70" s="34">
        <f t="shared" si="24"/>
        <v>2.6652452025586353E-2</v>
      </c>
      <c r="F70" s="34">
        <f t="shared" si="24"/>
        <v>3.3539276257722857E-2</v>
      </c>
      <c r="G70" s="34">
        <f t="shared" si="24"/>
        <v>0</v>
      </c>
      <c r="H70" s="68">
        <f t="shared" si="24"/>
        <v>2.0689655172413793E-2</v>
      </c>
      <c r="I70" s="32">
        <f t="shared" si="24"/>
        <v>2.4012006003001501E-2</v>
      </c>
      <c r="J70" s="32">
        <f t="shared" si="24"/>
        <v>0</v>
      </c>
      <c r="K70" s="34">
        <f t="shared" si="24"/>
        <v>0</v>
      </c>
      <c r="L70" s="34">
        <f t="shared" si="24"/>
        <v>0</v>
      </c>
      <c r="M70" s="34">
        <f t="shared" si="25"/>
        <v>0</v>
      </c>
      <c r="N70" s="32">
        <f t="shared" si="26"/>
        <v>7.3141486810551562E-2</v>
      </c>
      <c r="O70" s="32">
        <f t="shared" si="26"/>
        <v>0</v>
      </c>
      <c r="P70" s="34">
        <f t="shared" si="26"/>
        <v>0</v>
      </c>
      <c r="Q70" s="68">
        <f t="shared" si="26"/>
        <v>0</v>
      </c>
      <c r="R70" s="32">
        <f t="shared" si="26"/>
        <v>0</v>
      </c>
      <c r="S70" s="87"/>
      <c r="T70" s="108">
        <f>+GETPIVOTDATA(" Tot # Instr. New",'NEW Counts Pivot Table'!$A$3,"State","MD","Category",1,"Category2","Four-Year")</f>
        <v>18</v>
      </c>
      <c r="U70" s="109">
        <f>+GETPIVOTDATA(" Tot # Instr. New",'NEW Counts Pivot Table'!$A$3,"State","MD","Category",2,"Category2","Four-Year")</f>
        <v>12</v>
      </c>
      <c r="V70" s="109">
        <f>+GETPIVOTDATA(" Tot # Instr. New",'NEW Counts Pivot Table'!$A$3,"State","MD","Category",3,"Category2","Four-Year")</f>
        <v>25</v>
      </c>
      <c r="W70" s="109">
        <f>+GETPIVOTDATA(" Tot # Instr. New",'NEW Counts Pivot Table'!$A$3,"State","MD","Category",4,"Category2","Four-Year")</f>
        <v>38</v>
      </c>
      <c r="X70" s="109">
        <f>+GETPIVOTDATA(" Tot # Instr. New",'NEW Counts Pivot Table'!$A$3,"State","MD","Category",5,"Category2","Four-Year")</f>
        <v>0</v>
      </c>
      <c r="Y70" s="109">
        <f>+GETPIVOTDATA(" Tot # Instr. New",'NEW Counts Pivot Table'!$A$3,"State","MD","Category",6,"Category2","Four-Year")</f>
        <v>3</v>
      </c>
      <c r="Z70" s="111">
        <f>+GETPIVOTDATA(" Tot # Instr. New",'NEW Counts Pivot Table'!$A$3,"State","MD","Category2","Four-Year")</f>
        <v>96</v>
      </c>
      <c r="AA70" s="108">
        <f>+GETPIVOTDATA(" Tot # Instr. New",'NEW Counts Pivot Table'!$A$3,"State","AR","Category",7,"Category2","Group2")</f>
        <v>0</v>
      </c>
      <c r="AB70" s="109">
        <f>+GETPIVOTDATA(" Tot # Instr. New",'NEW Counts Pivot Table'!$A$3,"State","AR","Category",8,"Category2","Group2")</f>
        <v>0</v>
      </c>
      <c r="AC70" s="109">
        <f>+GETPIVOTDATA(" Tot # Instr. New",'NEW Counts Pivot Table'!$A$3,"State","DE","Category",9,"Category2","Group2")</f>
        <v>0</v>
      </c>
      <c r="AD70" s="109">
        <f>+GETPIVOTDATA(" Tot # Instr. New",'NEW Counts Pivot Table'!$A$3,"State","DE","Category",10,"Category2","Group2")</f>
        <v>0</v>
      </c>
      <c r="AE70" s="109">
        <f>+GETPIVOTDATA(" Tot # Instr. New",'NEW Counts Pivot Table'!$A$3,"State","MD","Category","11","Category2","Group2")</f>
        <v>0</v>
      </c>
      <c r="AF70" s="110">
        <f>+GETPIVOTDATA(" Tot # Instr. New",'NEW Counts Pivot Table'!$A$3,"State","MD","Category2","Group2")</f>
        <v>183</v>
      </c>
      <c r="AG70" s="108">
        <f>+GETPIVOTDATA(" Tot # Instr. New",'NEW Counts Pivot Table'!$A$3,"State","MD","Category",12,"Category2","Technical Institutes")</f>
        <v>0</v>
      </c>
      <c r="AH70" s="109">
        <f>+GETPIVOTDATA(" Tot # Instr. New",'NEW Counts Pivot Table'!$A$3,"State","MD","Category",13,"Category2","Technical Institutes")</f>
        <v>0</v>
      </c>
      <c r="AI70" s="110">
        <f>+GETPIVOTDATA(" Tot # Instr. New",'NEW Counts Pivot Table'!$A$3,"State","MD","Category",14,"Category2","Technical Institutes")</f>
        <v>0</v>
      </c>
      <c r="AJ70" s="108">
        <f>+GETPIVOTDATA(" Tot # Instr. New",'NEW Counts Pivot Table'!$A$3,"State","MD","Category2","Technical Institutes")</f>
        <v>0</v>
      </c>
    </row>
    <row r="71" spans="1:38">
      <c r="A71" s="30"/>
      <c r="B71" s="38" t="s">
        <v>315</v>
      </c>
      <c r="C71" s="32">
        <f t="shared" si="24"/>
        <v>0</v>
      </c>
      <c r="D71" s="34">
        <f t="shared" si="24"/>
        <v>0</v>
      </c>
      <c r="E71" s="34">
        <f t="shared" si="24"/>
        <v>0</v>
      </c>
      <c r="F71" s="34">
        <f t="shared" si="24"/>
        <v>2.6478375992939102E-3</v>
      </c>
      <c r="G71" s="34">
        <f t="shared" si="24"/>
        <v>0</v>
      </c>
      <c r="H71" s="68">
        <f t="shared" si="24"/>
        <v>0</v>
      </c>
      <c r="I71" s="32">
        <f t="shared" si="24"/>
        <v>7.503751875937969E-4</v>
      </c>
      <c r="J71" s="32">
        <f t="shared" si="24"/>
        <v>0</v>
      </c>
      <c r="K71" s="34">
        <f t="shared" si="24"/>
        <v>0</v>
      </c>
      <c r="L71" s="34">
        <f t="shared" si="24"/>
        <v>0</v>
      </c>
      <c r="M71" s="236">
        <f t="shared" si="25"/>
        <v>0</v>
      </c>
      <c r="N71" s="237">
        <f t="shared" si="26"/>
        <v>1.4788169464428458E-2</v>
      </c>
      <c r="O71" s="32">
        <f t="shared" si="26"/>
        <v>0</v>
      </c>
      <c r="P71" s="34">
        <f t="shared" si="26"/>
        <v>0</v>
      </c>
      <c r="Q71" s="68">
        <f t="shared" si="26"/>
        <v>0</v>
      </c>
      <c r="R71" s="32">
        <f t="shared" si="26"/>
        <v>0</v>
      </c>
      <c r="S71" s="87"/>
      <c r="T71" s="108">
        <f>++GETPIVOTDATA(" Tot # Undes. New",'NEW Counts Pivot Table'!$A$3,"State","MD","Category",1,"Category2","Four-Year")</f>
        <v>0</v>
      </c>
      <c r="U71" s="109">
        <f>+GETPIVOTDATA(" Tot # Undes. New",'NEW Counts Pivot Table'!$A$3,"State","MD","Category",2,"Category2","Four-Year")</f>
        <v>0</v>
      </c>
      <c r="V71" s="109">
        <f>+GETPIVOTDATA(" Tot # Undes. New",'NEW Counts Pivot Table'!$A$3,"State","MD","Category",3,"Category2","Four-Year")</f>
        <v>0</v>
      </c>
      <c r="W71" s="109">
        <f>+GETPIVOTDATA(" Tot # Undes. New",'NEW Counts Pivot Table'!$A$3,"State","MD","Category",4,"Category2","Four-Year")</f>
        <v>3</v>
      </c>
      <c r="X71" s="109">
        <f>+GETPIVOTDATA(" Tot # Undes. New",'NEW Counts Pivot Table'!$A$3,"State","MD","Category",5,"Category2","Four-Year")</f>
        <v>0</v>
      </c>
      <c r="Y71" s="109">
        <f>+GETPIVOTDATA(" Tot # Undes. New",'NEW Counts Pivot Table'!$A$3,"State","MD","Category",6,"Category2","Four-Year")</f>
        <v>0</v>
      </c>
      <c r="Z71" s="111">
        <f>+GETPIVOTDATA(" Tot # Undes. New",'NEW Counts Pivot Table'!$A$3,"State","MD","Category2","Four-Year")</f>
        <v>3</v>
      </c>
      <c r="AA71" s="108">
        <f>+GETPIVOTDATA(" Tot # Undes. New",'NEW Counts Pivot Table'!$A$3,"State","AR","Category",7,"Category2","Group2")</f>
        <v>0</v>
      </c>
      <c r="AB71" s="109">
        <f>+GETPIVOTDATA(" Tot # Undes. New",'NEW Counts Pivot Table'!$A$3,"State","AR","Category",8,"Category2","Group2")</f>
        <v>0</v>
      </c>
      <c r="AC71" s="109">
        <f>+GETPIVOTDATA(" Tot # Undes. New",'NEW Counts Pivot Table'!$A$3,"State","DE","Category",9,"Category2","Group2")</f>
        <v>0</v>
      </c>
      <c r="AD71" s="109">
        <f>+GETPIVOTDATA(" Tot # Undes. New",'NEW Counts Pivot Table'!$A$3,"State","DE","Category",10,"Category2","Group2")</f>
        <v>0</v>
      </c>
      <c r="AE71" s="109">
        <f>+GETPIVOTDATA(" Tot # Undes. New",'NEW Counts Pivot Table'!$A$3,"State","MD","Category","11","Category2","Group2")</f>
        <v>0</v>
      </c>
      <c r="AF71" s="110">
        <f>+GETPIVOTDATA(" Tot # Undes. New",'NEW Counts Pivot Table'!$A$3,"State","MD","Category2","Group2")</f>
        <v>37</v>
      </c>
      <c r="AG71" s="108">
        <f>+GETPIVOTDATA(" Tot # Undes. New",'NEW Counts Pivot Table'!$A$3,"State","MD","Category",12,"Category2","Technical Institutes")</f>
        <v>0</v>
      </c>
      <c r="AH71" s="109">
        <f>+GETPIVOTDATA(" Tot # Undes. New",'NEW Counts Pivot Table'!$A$3,"State","MD","Category",13,"Category2","Technical Institutes")</f>
        <v>0</v>
      </c>
      <c r="AI71" s="110">
        <f>+GETPIVOTDATA(" Tot # Undes. New",'NEW Counts Pivot Table'!$A$3,"State","MD","Category",14,"Category2","Technical Institutes")</f>
        <v>0</v>
      </c>
      <c r="AJ71" s="108">
        <f>+GETPIVOTDATA(" Tot # Undes. New",'NEW Counts Pivot Table'!$A$3,"State","MD","Category2","Technical Institutes")</f>
        <v>0</v>
      </c>
    </row>
    <row r="72" spans="1:38">
      <c r="A72" s="30"/>
      <c r="B72" s="38" t="s">
        <v>314</v>
      </c>
      <c r="C72" s="32">
        <f t="shared" si="24"/>
        <v>0</v>
      </c>
      <c r="D72" s="34">
        <f t="shared" si="24"/>
        <v>0</v>
      </c>
      <c r="E72" s="185">
        <f t="shared" si="24"/>
        <v>0</v>
      </c>
      <c r="F72" s="34">
        <f t="shared" si="24"/>
        <v>0</v>
      </c>
      <c r="G72" s="185">
        <f t="shared" si="24"/>
        <v>0</v>
      </c>
      <c r="H72" s="68">
        <f t="shared" si="24"/>
        <v>0</v>
      </c>
      <c r="I72" s="184">
        <f t="shared" si="24"/>
        <v>0</v>
      </c>
      <c r="J72" s="32">
        <f t="shared" si="24"/>
        <v>0</v>
      </c>
      <c r="K72" s="34">
        <f t="shared" si="24"/>
        <v>1</v>
      </c>
      <c r="L72" s="34">
        <f t="shared" si="24"/>
        <v>1</v>
      </c>
      <c r="M72" s="34">
        <f t="shared" si="25"/>
        <v>1</v>
      </c>
      <c r="N72" s="32">
        <f t="shared" si="26"/>
        <v>0</v>
      </c>
      <c r="O72" s="32">
        <f t="shared" si="26"/>
        <v>0</v>
      </c>
      <c r="P72" s="34">
        <f t="shared" si="26"/>
        <v>0</v>
      </c>
      <c r="Q72" s="68">
        <f t="shared" si="26"/>
        <v>0</v>
      </c>
      <c r="R72" s="32">
        <f t="shared" si="26"/>
        <v>0</v>
      </c>
      <c r="S72" s="87"/>
      <c r="T72" s="108">
        <f>+GETPIVOTDATA(" Tot # Single Rnk New",'NEW Counts Pivot Table'!$A$3,"State","MD","Category",1,"Category2","Four-Year")</f>
        <v>0</v>
      </c>
      <c r="U72" s="109">
        <f>+GETPIVOTDATA(" Tot # Single Rnk New",'NEW Counts Pivot Table'!$A$3,"State","MD","Category",2,"Category2","Four-Year")</f>
        <v>0</v>
      </c>
      <c r="V72" s="109">
        <f>+GETPIVOTDATA(" Tot # Single Rnk New",'NEW Counts Pivot Table'!$A$3,"State","MD","Category",3,"Category2","Four-Year")</f>
        <v>0</v>
      </c>
      <c r="W72" s="109">
        <f>+GETPIVOTDATA(" Tot # Single Rnk New",'NEW Counts Pivot Table'!$A$3,"State","MD","Category",4,"Category2","Four-Year")</f>
        <v>0</v>
      </c>
      <c r="X72" s="109">
        <f>+GETPIVOTDATA(" Tot # Single Rnk New",'NEW Counts Pivot Table'!$A$3,"State","MD","Category",5,"Category2","Four-Year")</f>
        <v>0</v>
      </c>
      <c r="Y72" s="109">
        <f>+GETPIVOTDATA(" Tot # Single Rnk New",'NEW Counts Pivot Table'!$A$3,"State","MD","Category",6,"Category2","Four-Year")</f>
        <v>0</v>
      </c>
      <c r="Z72" s="111">
        <f>+GETPIVOTDATA(" Tot # Single Rnk New",'NEW Counts Pivot Table'!$A$3,"State","MD","Category2","Four-Year")</f>
        <v>0</v>
      </c>
      <c r="AA72" s="108">
        <f>+GETPIVOTDATA(" Tot # Single Rnk New",'NEW Counts Pivot Table'!$A$3,"State","AR","Category",7,"Category2","Group2")</f>
        <v>0</v>
      </c>
      <c r="AB72" s="109">
        <f>+GETPIVOTDATA(" Tot # Single Rnk New",'NEW Counts Pivot Table'!$A$3,"State","AR","Category",8,"Category2","Group2")</f>
        <v>171</v>
      </c>
      <c r="AC72" s="109">
        <f>+GETPIVOTDATA(" Tot # Single Rnk New",'NEW Counts Pivot Table'!$A$3,"State","DE","Category",9,"Category2","Group2")</f>
        <v>300</v>
      </c>
      <c r="AD72" s="109">
        <f>+GETPIVOTDATA(" Tot # Single Rnk New",'NEW Counts Pivot Table'!$A$3,"State","DE","Category",10,"Category2","Group2")</f>
        <v>84</v>
      </c>
      <c r="AE72" s="109">
        <f>+GETPIVOTDATA(" Tot # Single Rnk New",'NEW Counts Pivot Table'!$A$3,"State","MD","Category","11","Category2","Group2")</f>
        <v>0</v>
      </c>
      <c r="AF72" s="110">
        <f>+GETPIVOTDATA(" Tot # Single Rnk New",'NEW Counts Pivot Table'!$A$3,"State","MD","Category2","Group2")</f>
        <v>0</v>
      </c>
      <c r="AG72" s="108">
        <f>+GETPIVOTDATA(" Tot # Single Rnk New",'NEW Counts Pivot Table'!$A$3,"State","MD","Category",12,"Category2","Technical Institutes")</f>
        <v>0</v>
      </c>
      <c r="AH72" s="109">
        <f>+GETPIVOTDATA(" Tot # Single Rnk New",'NEW Counts Pivot Table'!$A$3,"State","MD","Category",13,"Category2","Technical Institutes")</f>
        <v>0</v>
      </c>
      <c r="AI72" s="110">
        <f>+GETPIVOTDATA(" Tot # Single Rnk New",'NEW Counts Pivot Table'!$A$3,"State","MD","Category",14,"Category2","Technical Institutes")</f>
        <v>0</v>
      </c>
      <c r="AJ72" s="108">
        <f>+GETPIVOTDATA(" Tot # Single Rnk New",'NEW Counts Pivot Table'!$A$3,"State","MD","Category2","Technical Institutes")</f>
        <v>0</v>
      </c>
    </row>
    <row r="73" spans="1:38" s="54" customFormat="1">
      <c r="A73" s="191"/>
      <c r="B73" s="192" t="s">
        <v>316</v>
      </c>
      <c r="C73" s="33">
        <f t="shared" si="24"/>
        <v>1</v>
      </c>
      <c r="D73" s="31">
        <f t="shared" si="24"/>
        <v>1</v>
      </c>
      <c r="E73" s="31">
        <f t="shared" si="24"/>
        <v>1</v>
      </c>
      <c r="F73" s="31">
        <f t="shared" si="24"/>
        <v>1</v>
      </c>
      <c r="G73" s="31">
        <f t="shared" si="24"/>
        <v>0</v>
      </c>
      <c r="H73" s="69">
        <f t="shared" si="24"/>
        <v>1</v>
      </c>
      <c r="I73" s="33">
        <f t="shared" si="24"/>
        <v>1</v>
      </c>
      <c r="J73" s="33">
        <f t="shared" si="24"/>
        <v>0</v>
      </c>
      <c r="K73" s="31">
        <f t="shared" si="24"/>
        <v>1</v>
      </c>
      <c r="L73" s="31">
        <f t="shared" si="24"/>
        <v>1</v>
      </c>
      <c r="M73" s="31">
        <f t="shared" si="25"/>
        <v>1</v>
      </c>
      <c r="N73" s="33">
        <f t="shared" si="26"/>
        <v>1</v>
      </c>
      <c r="O73" s="33">
        <f t="shared" si="26"/>
        <v>0</v>
      </c>
      <c r="P73" s="31">
        <f t="shared" si="26"/>
        <v>0</v>
      </c>
      <c r="Q73" s="69">
        <f t="shared" si="26"/>
        <v>0</v>
      </c>
      <c r="R73" s="33">
        <f t="shared" si="26"/>
        <v>0</v>
      </c>
      <c r="S73" s="88"/>
      <c r="T73" s="112">
        <f>+GETPIVOTDATA(" All Ranks # New",'NEW Counts Pivot Table'!$A$3,"State","MD","Category",1,"Category2","Four-Year")</f>
        <v>1375</v>
      </c>
      <c r="U73" s="113">
        <f>+GETPIVOTDATA(" All Ranks # New",'NEW Counts Pivot Table'!$A$3,"State","MD","Category",2,"Category2","Four-Year")</f>
        <v>407</v>
      </c>
      <c r="V73" s="113">
        <f>+GETPIVOTDATA(" All Ranks # New",'NEW Counts Pivot Table'!$A$3,"State","MD","Category",3,"Category2","Four-Year")</f>
        <v>938</v>
      </c>
      <c r="W73" s="113">
        <f>+GETPIVOTDATA(" All Ranks # New",'NEW Counts Pivot Table'!$A$3,"State","MD","Category",4,"Category2","Four-Year")</f>
        <v>1133</v>
      </c>
      <c r="X73" s="113">
        <f>+GETPIVOTDATA(" All Ranks # New",'NEW Counts Pivot Table'!$A$3,"State","MD","Category",5,"Category2","Four-Year")</f>
        <v>0</v>
      </c>
      <c r="Y73" s="113">
        <f>+GETPIVOTDATA(" All Ranks # New",'NEW Counts Pivot Table'!$A$3,"State","MD","Category",6,"Category2","Four-Year")</f>
        <v>145</v>
      </c>
      <c r="Z73" s="115">
        <f>+GETPIVOTDATA(" All Ranks # New",'NEW Counts Pivot Table'!$A$3,"State","MD","Category2","Four-Year")</f>
        <v>3998</v>
      </c>
      <c r="AA73" s="112">
        <f>+GETPIVOTDATA(" All Ranks # New",'NEW Counts Pivot Table'!$A$3,"State","AR","Category",7,"Category2","Group2")</f>
        <v>0</v>
      </c>
      <c r="AB73" s="113">
        <f>+GETPIVOTDATA(" All Ranks # New",'NEW Counts Pivot Table'!$A$3,"State","AR","Category",8,"Category2","Group2")</f>
        <v>171</v>
      </c>
      <c r="AC73" s="113">
        <f>+GETPIVOTDATA(" All Ranks # New",'NEW Counts Pivot Table'!$A$3,"State","DE","Category",9,"Category2","Group2")</f>
        <v>300</v>
      </c>
      <c r="AD73" s="113">
        <f>+GETPIVOTDATA(" All Ranks # New",'NEW Counts Pivot Table'!$A$3,"State","DE","Category",10,"Category2","Group2")</f>
        <v>84</v>
      </c>
      <c r="AE73" s="113">
        <f>+GETPIVOTDATA(" All Ranks # New",'NEW Counts Pivot Table'!$A$3,"State","MD","Category","11","Category2","Group2")</f>
        <v>0</v>
      </c>
      <c r="AF73" s="114">
        <f>+GETPIVOTDATA(" All Ranks # New",'NEW Counts Pivot Table'!$A$3,"State","MD","Category2","Group2")</f>
        <v>2502</v>
      </c>
      <c r="AG73" s="112">
        <f>+GETPIVOTDATA(" All Ranks # New",'NEW Counts Pivot Table'!$A$3,"State","MD","Category",12,"Category2","Technical Institutes")</f>
        <v>0</v>
      </c>
      <c r="AH73" s="113">
        <f>+GETPIVOTDATA(" All Ranks # New",'NEW Counts Pivot Table'!$A$3,"State","MD","Category",13,"Category2","Technical Institutes")</f>
        <v>0</v>
      </c>
      <c r="AI73" s="114">
        <f>+GETPIVOTDATA(" All Ranks # New",'NEW Counts Pivot Table'!$A$3,"State","MD","Category",14,"Category2","Technical Institutes")</f>
        <v>0</v>
      </c>
      <c r="AJ73" s="112">
        <f>+GETPIVOTDATA(" All Ranks # New",'NEW Counts Pivot Table'!$A$3,"State","MD","Category2","Technical Institutes")</f>
        <v>0</v>
      </c>
      <c r="AK73" s="116"/>
      <c r="AL73" s="116"/>
    </row>
    <row r="74" spans="1:38">
      <c r="A74" s="38" t="s">
        <v>341</v>
      </c>
      <c r="B74" s="35" t="s">
        <v>332</v>
      </c>
      <c r="C74" s="36">
        <f t="shared" ref="C74:L80" si="27">IF(T$80&gt;0,(T74/T$80),0)</f>
        <v>0.23032258064516128</v>
      </c>
      <c r="D74" s="37">
        <f t="shared" si="27"/>
        <v>0.21940163191296463</v>
      </c>
      <c r="E74" s="37">
        <f t="shared" si="27"/>
        <v>0</v>
      </c>
      <c r="F74" s="37">
        <f t="shared" si="27"/>
        <v>0.16768916155419222</v>
      </c>
      <c r="G74" s="37">
        <f t="shared" si="27"/>
        <v>0.2076923076923077</v>
      </c>
      <c r="H74" s="67">
        <f t="shared" si="27"/>
        <v>0</v>
      </c>
      <c r="I74" s="36">
        <f t="shared" si="27"/>
        <v>0.21638141809290953</v>
      </c>
      <c r="J74" s="36">
        <f t="shared" si="27"/>
        <v>0</v>
      </c>
      <c r="K74" s="37">
        <f t="shared" si="27"/>
        <v>0</v>
      </c>
      <c r="L74" s="37">
        <f t="shared" si="27"/>
        <v>0</v>
      </c>
      <c r="M74" s="37">
        <f t="shared" ref="M74:M80" si="28">IF(AD$80&gt;0,(AD74/AD$80),0)</f>
        <v>0</v>
      </c>
      <c r="N74" s="36">
        <f t="shared" ref="N74:R80" si="29">IF(AF$80&gt;0,(AF74/AF$80),0)</f>
        <v>0</v>
      </c>
      <c r="O74" s="152">
        <f t="shared" si="29"/>
        <v>0</v>
      </c>
      <c r="P74" s="37">
        <f t="shared" si="29"/>
        <v>0</v>
      </c>
      <c r="Q74" s="67">
        <f t="shared" si="29"/>
        <v>0</v>
      </c>
      <c r="R74" s="152">
        <f t="shared" si="29"/>
        <v>0</v>
      </c>
      <c r="S74" s="117"/>
      <c r="T74" s="104">
        <f>+GETPIVOTDATA(" Total # Prof New",'NEW Counts Pivot Table'!$A$3,"State","MS","Category",1,"Category2","Four-Year")</f>
        <v>357</v>
      </c>
      <c r="U74" s="105">
        <f>+GETPIVOTDATA(" Total # Prof New",'NEW Counts Pivot Table'!$A$3,"State","MS","Category",2,"Category2","Four-Year")</f>
        <v>242</v>
      </c>
      <c r="V74" s="105">
        <f>+GETPIVOTDATA(" Total # Prof New",'NEW Counts Pivot Table'!$A$3,"State","MS","Category",3,"Category2","Four-Year")</f>
        <v>0</v>
      </c>
      <c r="W74" s="105">
        <f>+GETPIVOTDATA(" Total # Prof New",'NEW Counts Pivot Table'!$A$3,"State","MS","Category",4,"Category2","Four-Year")</f>
        <v>82</v>
      </c>
      <c r="X74" s="105">
        <f>+GETPIVOTDATA(" Total # Prof New",'NEW Counts Pivot Table'!$A$3,"State","MS","Category",5,"Category2","Four-Year")</f>
        <v>27</v>
      </c>
      <c r="Y74" s="105">
        <f>+GETPIVOTDATA(" Total # Prof New",'NEW Counts Pivot Table'!$A$3,"State","MS","Category",6,"Category2","Four-Year")</f>
        <v>0</v>
      </c>
      <c r="Z74" s="107">
        <f>+GETPIVOTDATA(" Total # Prof New",'NEW Counts Pivot Table'!$A$3,"State","MS","Category2","Four-Year")</f>
        <v>708</v>
      </c>
      <c r="AA74" s="104">
        <f>+GETPIVOTDATA(" Total # Prof New",'NEW Counts Pivot Table'!$A$3,"State","AR","Category",7,"Category2","Group2")</f>
        <v>0</v>
      </c>
      <c r="AB74" s="105">
        <f>+GETPIVOTDATA(" Total # Prof New",'NEW Counts Pivot Table'!$A$3,"State","AR","Category",8,"Category2","Group2")</f>
        <v>0</v>
      </c>
      <c r="AC74" s="105">
        <f>+GETPIVOTDATA(" Total # Prof New",'NEW Counts Pivot Table'!$A$3,"State","DE","Category",9,"Category2","Group2")</f>
        <v>0</v>
      </c>
      <c r="AD74" s="105">
        <f>+GETPIVOTDATA(" Total # Prof New",'NEW Counts Pivot Table'!$A$3,"State","DE","Category",10,"Category2","Group2")</f>
        <v>0</v>
      </c>
      <c r="AE74" s="105">
        <f>+GETPIVOTDATA(" Total # Prof New",'NEW Counts Pivot Table'!$A$3,"State","MS","Category","11","Category2","Group2")</f>
        <v>0</v>
      </c>
      <c r="AF74" s="106">
        <f>+GETPIVOTDATA(" Total # Prof New",'NEW Counts Pivot Table'!$A$3,"State","MS","Category2","Group2")</f>
        <v>0</v>
      </c>
      <c r="AG74" s="104">
        <f>+GETPIVOTDATA(" Total # Prof New",'NEW Counts Pivot Table'!$A$3,"State","MS","Category",12,"Category2","Technical Institutes")</f>
        <v>0</v>
      </c>
      <c r="AH74" s="105">
        <f>+GETPIVOTDATA(" Total # Prof New",'NEW Counts Pivot Table'!$A$3,"State","MS","Category",13,"Category2","Technical Institutes")</f>
        <v>0</v>
      </c>
      <c r="AI74" s="106">
        <f>+GETPIVOTDATA(" Total # Prof New",'NEW Counts Pivot Table'!$A$3,"State","MS","Category",14,"Category2","Technical Institutes")</f>
        <v>0</v>
      </c>
      <c r="AJ74" s="104">
        <f>+GETPIVOTDATA(" Total # Prof New",'NEW Counts Pivot Table'!$A$3,"State","MS","Category2","Technical Institutes")</f>
        <v>0</v>
      </c>
    </row>
    <row r="75" spans="1:38">
      <c r="A75" s="30"/>
      <c r="B75" s="38" t="s">
        <v>333</v>
      </c>
      <c r="C75" s="32">
        <f t="shared" si="27"/>
        <v>0.24516129032258063</v>
      </c>
      <c r="D75" s="34">
        <f t="shared" si="27"/>
        <v>0.27923844061650044</v>
      </c>
      <c r="E75" s="34">
        <f t="shared" si="27"/>
        <v>0</v>
      </c>
      <c r="F75" s="34">
        <f t="shared" si="27"/>
        <v>0.23312883435582821</v>
      </c>
      <c r="G75" s="34">
        <f t="shared" si="27"/>
        <v>0.15384615384615385</v>
      </c>
      <c r="H75" s="68">
        <f t="shared" si="27"/>
        <v>0</v>
      </c>
      <c r="I75" s="32">
        <f t="shared" si="27"/>
        <v>0.25122249388753054</v>
      </c>
      <c r="J75" s="32">
        <f t="shared" si="27"/>
        <v>0</v>
      </c>
      <c r="K75" s="34">
        <f t="shared" si="27"/>
        <v>0</v>
      </c>
      <c r="L75" s="34">
        <f t="shared" si="27"/>
        <v>0</v>
      </c>
      <c r="M75" s="34">
        <f t="shared" si="28"/>
        <v>0</v>
      </c>
      <c r="N75" s="32">
        <f t="shared" si="29"/>
        <v>0</v>
      </c>
      <c r="O75" s="32">
        <f t="shared" si="29"/>
        <v>0</v>
      </c>
      <c r="P75" s="34">
        <f t="shared" si="29"/>
        <v>0</v>
      </c>
      <c r="Q75" s="68">
        <f t="shared" si="29"/>
        <v>0</v>
      </c>
      <c r="R75" s="32">
        <f t="shared" si="29"/>
        <v>0</v>
      </c>
      <c r="S75" s="87"/>
      <c r="T75" s="108">
        <f>+GETPIVOTDATA(" Tot # Asc. Prof New",'NEW Counts Pivot Table'!$A$3,"State","MS","Category",1,"Category2","Four-Year")</f>
        <v>380</v>
      </c>
      <c r="U75" s="109">
        <f>+GETPIVOTDATA(" Tot # Asc. Prof New",'NEW Counts Pivot Table'!$A$3,"State","MS","Category",2,"Category2","Four-Year")</f>
        <v>308</v>
      </c>
      <c r="V75" s="109">
        <f>+GETPIVOTDATA(" Tot # Asc. Prof New",'NEW Counts Pivot Table'!$A$3,"State","MS","Category",3,"Category2","Four-Year")</f>
        <v>0</v>
      </c>
      <c r="W75" s="109">
        <f>+GETPIVOTDATA(" Tot # Asc. Prof New",'NEW Counts Pivot Table'!$A$3,"State","MS","Category",4,"Category2","Four-Year")</f>
        <v>114</v>
      </c>
      <c r="X75" s="109">
        <f>+GETPIVOTDATA(" Tot # Asc. Prof New",'NEW Counts Pivot Table'!$A$3,"State","MS","Category",5,"Category2","Four-Year")</f>
        <v>20</v>
      </c>
      <c r="Y75" s="109">
        <f>+GETPIVOTDATA(" Tot # Asc. Prof New",'NEW Counts Pivot Table'!$A$3,"State","MS","Category",6,"Category2","Four-Year")</f>
        <v>0</v>
      </c>
      <c r="Z75" s="111">
        <f>+GETPIVOTDATA(" Tot # Asc. Prof New",'NEW Counts Pivot Table'!$A$3,"State","MS","Category2","Four-Year")</f>
        <v>822</v>
      </c>
      <c r="AA75" s="108">
        <f>+GETPIVOTDATA(" Tot # Asc. Prof New",'NEW Counts Pivot Table'!$A$3,"State","AR","Category",7,"Category2","Group2")</f>
        <v>0</v>
      </c>
      <c r="AB75" s="109">
        <f>+GETPIVOTDATA(" Tot # Asc. Prof New",'NEW Counts Pivot Table'!$A$3,"State","AR","Category",8,"Category2","Group2")</f>
        <v>0</v>
      </c>
      <c r="AC75" s="109">
        <f>+GETPIVOTDATA(" Tot # Asc. Prof New",'NEW Counts Pivot Table'!$A$3,"State","DE","Category",9,"Category2","Group2")</f>
        <v>0</v>
      </c>
      <c r="AD75" s="109">
        <f>+GETPIVOTDATA(" Tot # Asc. Prof New",'NEW Counts Pivot Table'!$A$3,"State","DE","Category",10,"Category2","Group2")</f>
        <v>0</v>
      </c>
      <c r="AE75" s="109">
        <f>+GETPIVOTDATA(" Tot # Asc. Prof New",'NEW Counts Pivot Table'!$A$3,"State","MS","Category","11","Category2","Group2")</f>
        <v>0</v>
      </c>
      <c r="AF75" s="110">
        <f>+GETPIVOTDATA(" Tot # Asc. Prof New",'NEW Counts Pivot Table'!$A$3,"State","MS","Category2","Group2")</f>
        <v>0</v>
      </c>
      <c r="AG75" s="108">
        <f>+GETPIVOTDATA(" Tot # Asc. Prof New",'NEW Counts Pivot Table'!$A$3,"State","MS","Category",12,"Category2","Technical Institutes")</f>
        <v>0</v>
      </c>
      <c r="AH75" s="109">
        <f>+GETPIVOTDATA(" Tot # Asc. Prof New",'NEW Counts Pivot Table'!$A$3,"State","MS","Category",13,"Category2","Technical Institutes")</f>
        <v>0</v>
      </c>
      <c r="AI75" s="110">
        <f>+GETPIVOTDATA(" Tot # Asc. Prof New",'NEW Counts Pivot Table'!$A$3,"State","MS","Category",14,"Category2","Technical Institutes")</f>
        <v>0</v>
      </c>
      <c r="AJ75" s="108">
        <f>+GETPIVOTDATA(" Tot # Asc. Prof New",'NEW Counts Pivot Table'!$A$3,"State","MS","Category2","Technical Institutes")</f>
        <v>0</v>
      </c>
    </row>
    <row r="76" spans="1:38">
      <c r="A76" s="30"/>
      <c r="B76" s="38" t="s">
        <v>334</v>
      </c>
      <c r="C76" s="32">
        <f t="shared" si="27"/>
        <v>0.31483870967741934</v>
      </c>
      <c r="D76" s="34">
        <f t="shared" si="27"/>
        <v>0.30553037171350861</v>
      </c>
      <c r="E76" s="34">
        <f t="shared" si="27"/>
        <v>0</v>
      </c>
      <c r="F76" s="34">
        <f t="shared" si="27"/>
        <v>0.34151329243353784</v>
      </c>
      <c r="G76" s="34">
        <f t="shared" si="27"/>
        <v>0.26153846153846155</v>
      </c>
      <c r="H76" s="68">
        <f t="shared" si="27"/>
        <v>0</v>
      </c>
      <c r="I76" s="32">
        <f t="shared" si="27"/>
        <v>0.31356968215158926</v>
      </c>
      <c r="J76" s="32">
        <f t="shared" si="27"/>
        <v>0</v>
      </c>
      <c r="K76" s="34">
        <f t="shared" si="27"/>
        <v>0</v>
      </c>
      <c r="L76" s="34">
        <f t="shared" si="27"/>
        <v>0</v>
      </c>
      <c r="M76" s="34">
        <f t="shared" si="28"/>
        <v>0</v>
      </c>
      <c r="N76" s="32">
        <f t="shared" si="29"/>
        <v>0</v>
      </c>
      <c r="O76" s="32">
        <f t="shared" si="29"/>
        <v>0</v>
      </c>
      <c r="P76" s="34">
        <f t="shared" si="29"/>
        <v>0</v>
      </c>
      <c r="Q76" s="68">
        <f t="shared" si="29"/>
        <v>0</v>
      </c>
      <c r="R76" s="32">
        <f t="shared" si="29"/>
        <v>0</v>
      </c>
      <c r="S76" s="87"/>
      <c r="T76" s="108">
        <f>+GETPIVOTDATA(" Tot # Ast. Prof New",'NEW Counts Pivot Table'!$A$3,"State","MS","Category",1,"Category2","Four-Year")</f>
        <v>488</v>
      </c>
      <c r="U76" s="109">
        <f>+GETPIVOTDATA(" Tot # Ast. Prof New",'NEW Counts Pivot Table'!$A$3,"State","MS","Category",2,"Category2","Four-Year")</f>
        <v>337</v>
      </c>
      <c r="V76" s="109">
        <f>+GETPIVOTDATA(" Tot # Ast. Prof New",'NEW Counts Pivot Table'!$A$3,"State","MS","Category",3,"Category2","Four-Year")</f>
        <v>0</v>
      </c>
      <c r="W76" s="109">
        <f>+GETPIVOTDATA(" Tot # Ast. Prof New",'NEW Counts Pivot Table'!$A$3,"State","MS","Category",4,"Category2","Four-Year")</f>
        <v>167</v>
      </c>
      <c r="X76" s="109">
        <f>+GETPIVOTDATA(" Tot # Ast. Prof New",'NEW Counts Pivot Table'!$A$3,"State","MS","Category",5,"Category2","Four-Year")</f>
        <v>34</v>
      </c>
      <c r="Y76" s="109">
        <f>+GETPIVOTDATA(" Tot # Ast. Prof New",'NEW Counts Pivot Table'!$A$3,"State","MS","Category",6,"Category2","Four-Year")</f>
        <v>0</v>
      </c>
      <c r="Z76" s="111">
        <f>+GETPIVOTDATA(" Tot # Ast. Prof New",'NEW Counts Pivot Table'!$A$3,"State","MS","Category2","Four-Year")</f>
        <v>1026</v>
      </c>
      <c r="AA76" s="108">
        <f>+GETPIVOTDATA(" Tot # Ast. Prof New",'NEW Counts Pivot Table'!$A$3,"State","AR","Category",7,"Category2","Group2")</f>
        <v>0</v>
      </c>
      <c r="AB76" s="109">
        <f>+GETPIVOTDATA(" Tot # Ast. Prof New",'NEW Counts Pivot Table'!$A$3,"State","AR","Category",8,"Category2","Group2")</f>
        <v>0</v>
      </c>
      <c r="AC76" s="109">
        <f>+GETPIVOTDATA(" Tot # Ast. Prof New",'NEW Counts Pivot Table'!$A$3,"State","DE","Category",9,"Category2","Group2")</f>
        <v>0</v>
      </c>
      <c r="AD76" s="109">
        <f>+GETPIVOTDATA(" Tot # Ast. Prof New",'NEW Counts Pivot Table'!$A$3,"State","DE","Category",10,"Category2","Group2")</f>
        <v>0</v>
      </c>
      <c r="AE76" s="109">
        <f>+GETPIVOTDATA(" Tot # Ast. Prof New",'NEW Counts Pivot Table'!$A$3,"State","MS","Category","11","Category2","Group2")</f>
        <v>0</v>
      </c>
      <c r="AF76" s="110">
        <f>+GETPIVOTDATA(" Tot # Ast. Prof New",'NEW Counts Pivot Table'!$A$3,"State","MS","Category2","Group2")</f>
        <v>0</v>
      </c>
      <c r="AG76" s="108">
        <f>+GETPIVOTDATA(" Tot # Ast. Prof New",'NEW Counts Pivot Table'!$A$3,"State","MS","Category",12,"Category2","Technical Institutes")</f>
        <v>0</v>
      </c>
      <c r="AH76" s="109">
        <f>+GETPIVOTDATA(" Tot # Ast. Prof New",'NEW Counts Pivot Table'!$A$3,"State","MS","Category",13,"Category2","Technical Institutes")</f>
        <v>0</v>
      </c>
      <c r="AI76" s="110">
        <f>+GETPIVOTDATA(" Tot # Ast. Prof New",'NEW Counts Pivot Table'!$A$3,"State","MS","Category",14,"Category2","Technical Institutes")</f>
        <v>0</v>
      </c>
      <c r="AJ76" s="108">
        <f>+GETPIVOTDATA(" Tot # Ast. Prof New",'NEW Counts Pivot Table'!$A$3,"State","MS","Category2","Technical Institutes")</f>
        <v>0</v>
      </c>
    </row>
    <row r="77" spans="1:38">
      <c r="A77" s="30"/>
      <c r="B77" s="38" t="s">
        <v>335</v>
      </c>
      <c r="C77" s="32">
        <f t="shared" si="27"/>
        <v>0.17548387096774193</v>
      </c>
      <c r="D77" s="34">
        <f t="shared" si="27"/>
        <v>0.17860380779691751</v>
      </c>
      <c r="E77" s="34">
        <f t="shared" si="27"/>
        <v>0</v>
      </c>
      <c r="F77" s="34">
        <f t="shared" si="27"/>
        <v>0.25766871165644173</v>
      </c>
      <c r="G77" s="34">
        <f t="shared" si="27"/>
        <v>0.37692307692307692</v>
      </c>
      <c r="H77" s="68">
        <f t="shared" si="27"/>
        <v>0</v>
      </c>
      <c r="I77" s="32">
        <f t="shared" si="27"/>
        <v>0.19682151589242053</v>
      </c>
      <c r="J77" s="32">
        <f t="shared" si="27"/>
        <v>0</v>
      </c>
      <c r="K77" s="34">
        <f t="shared" si="27"/>
        <v>0</v>
      </c>
      <c r="L77" s="34">
        <f t="shared" si="27"/>
        <v>0</v>
      </c>
      <c r="M77" s="34">
        <f t="shared" si="28"/>
        <v>0</v>
      </c>
      <c r="N77" s="32">
        <f t="shared" si="29"/>
        <v>0</v>
      </c>
      <c r="O77" s="32">
        <f t="shared" si="29"/>
        <v>0</v>
      </c>
      <c r="P77" s="34">
        <f t="shared" si="29"/>
        <v>0</v>
      </c>
      <c r="Q77" s="68">
        <f t="shared" si="29"/>
        <v>0</v>
      </c>
      <c r="R77" s="32">
        <f t="shared" si="29"/>
        <v>0</v>
      </c>
      <c r="S77" s="87"/>
      <c r="T77" s="108">
        <f>+GETPIVOTDATA(" Tot # Instr. New",'NEW Counts Pivot Table'!$A$3,"State","MS","Category",1,"Category2","Four-Year")</f>
        <v>272</v>
      </c>
      <c r="U77" s="109">
        <f>+GETPIVOTDATA(" Tot # Instr. New",'NEW Counts Pivot Table'!$A$3,"State","MS","Category",2,"Category2","Four-Year")</f>
        <v>197</v>
      </c>
      <c r="V77" s="109">
        <f>+GETPIVOTDATA(" Tot # Instr. New",'NEW Counts Pivot Table'!$A$3,"State","MS","Category",3,"Category2","Four-Year")</f>
        <v>0</v>
      </c>
      <c r="W77" s="109">
        <f>+GETPIVOTDATA(" Tot # Instr. New",'NEW Counts Pivot Table'!$A$3,"State","MS","Category",4,"Category2","Four-Year")</f>
        <v>126</v>
      </c>
      <c r="X77" s="109">
        <f>+GETPIVOTDATA(" Tot # Instr. New",'NEW Counts Pivot Table'!$A$3,"State","MS","Category",5,"Category2","Four-Year")</f>
        <v>49</v>
      </c>
      <c r="Y77" s="109">
        <f>+GETPIVOTDATA(" Tot # Instr. New",'NEW Counts Pivot Table'!$A$3,"State","MS","Category",6,"Category2","Four-Year")</f>
        <v>0</v>
      </c>
      <c r="Z77" s="111">
        <f>+GETPIVOTDATA(" Tot # Instr. New",'NEW Counts Pivot Table'!$A$3,"State","MS","Category2","Four-Year")</f>
        <v>644</v>
      </c>
      <c r="AA77" s="108">
        <f>+GETPIVOTDATA(" Tot # Instr. New",'NEW Counts Pivot Table'!$A$3,"State","AR","Category",7,"Category2","Group2")</f>
        <v>0</v>
      </c>
      <c r="AB77" s="109">
        <f>+GETPIVOTDATA(" Tot # Instr. New",'NEW Counts Pivot Table'!$A$3,"State","AR","Category",8,"Category2","Group2")</f>
        <v>0</v>
      </c>
      <c r="AC77" s="109">
        <f>+GETPIVOTDATA(" Tot # Instr. New",'NEW Counts Pivot Table'!$A$3,"State","DE","Category",9,"Category2","Group2")</f>
        <v>0</v>
      </c>
      <c r="AD77" s="109">
        <f>+GETPIVOTDATA(" Tot # Instr. New",'NEW Counts Pivot Table'!$A$3,"State","DE","Category",10,"Category2","Group2")</f>
        <v>0</v>
      </c>
      <c r="AE77" s="109">
        <f>+GETPIVOTDATA(" Tot # Instr. New",'NEW Counts Pivot Table'!$A$3,"State","MS","Category","11","Category2","Group2")</f>
        <v>0</v>
      </c>
      <c r="AF77" s="110">
        <f>+GETPIVOTDATA(" Tot # Instr. New",'NEW Counts Pivot Table'!$A$3,"State","MS","Category2","Group2")</f>
        <v>0</v>
      </c>
      <c r="AG77" s="108">
        <f>+GETPIVOTDATA(" Tot # Instr. New",'NEW Counts Pivot Table'!$A$3,"State","MS","Category",12,"Category2","Technical Institutes")</f>
        <v>0</v>
      </c>
      <c r="AH77" s="109">
        <f>+GETPIVOTDATA(" Tot # Instr. New",'NEW Counts Pivot Table'!$A$3,"State","MS","Category",13,"Category2","Technical Institutes")</f>
        <v>0</v>
      </c>
      <c r="AI77" s="110">
        <f>+GETPIVOTDATA(" Tot # Instr. New",'NEW Counts Pivot Table'!$A$3,"State","MS","Category",14,"Category2","Technical Institutes")</f>
        <v>0</v>
      </c>
      <c r="AJ77" s="108">
        <f>+GETPIVOTDATA(" Tot # Instr. New",'NEW Counts Pivot Table'!$A$3,"State","MS","Category2","Technical Institutes")</f>
        <v>0</v>
      </c>
    </row>
    <row r="78" spans="1:38">
      <c r="A78" s="30"/>
      <c r="B78" s="38" t="s">
        <v>315</v>
      </c>
      <c r="C78" s="32">
        <f t="shared" si="27"/>
        <v>3.4193548387096775E-2</v>
      </c>
      <c r="D78" s="34">
        <f t="shared" si="27"/>
        <v>1.7225747960108794E-2</v>
      </c>
      <c r="E78" s="34">
        <f t="shared" si="27"/>
        <v>0</v>
      </c>
      <c r="F78" s="34">
        <f t="shared" si="27"/>
        <v>0</v>
      </c>
      <c r="G78" s="34">
        <f t="shared" si="27"/>
        <v>0</v>
      </c>
      <c r="H78" s="68">
        <f t="shared" si="27"/>
        <v>0</v>
      </c>
      <c r="I78" s="32">
        <f t="shared" si="27"/>
        <v>2.2004889975550123E-2</v>
      </c>
      <c r="J78" s="32">
        <f t="shared" si="27"/>
        <v>0</v>
      </c>
      <c r="K78" s="34">
        <f t="shared" si="27"/>
        <v>0</v>
      </c>
      <c r="L78" s="34">
        <f t="shared" si="27"/>
        <v>0</v>
      </c>
      <c r="M78" s="34">
        <f t="shared" si="28"/>
        <v>0</v>
      </c>
      <c r="N78" s="32">
        <f t="shared" si="29"/>
        <v>0</v>
      </c>
      <c r="O78" s="32">
        <f t="shared" si="29"/>
        <v>0</v>
      </c>
      <c r="P78" s="34">
        <f t="shared" si="29"/>
        <v>0</v>
      </c>
      <c r="Q78" s="68">
        <f t="shared" si="29"/>
        <v>0</v>
      </c>
      <c r="R78" s="32">
        <f t="shared" si="29"/>
        <v>0</v>
      </c>
      <c r="S78" s="87"/>
      <c r="T78" s="108">
        <f>++GETPIVOTDATA(" Tot # Undes. New",'NEW Counts Pivot Table'!$A$3,"State","MS","Category",1,"Category2","Four-Year")</f>
        <v>53</v>
      </c>
      <c r="U78" s="109">
        <f>+GETPIVOTDATA(" Tot # Undes. New",'NEW Counts Pivot Table'!$A$3,"State","MS","Category",2,"Category2","Four-Year")</f>
        <v>19</v>
      </c>
      <c r="V78" s="109">
        <f>+GETPIVOTDATA(" Tot # Undes. New",'NEW Counts Pivot Table'!$A$3,"State","MS","Category",3,"Category2","Four-Year")</f>
        <v>0</v>
      </c>
      <c r="W78" s="109">
        <f>+GETPIVOTDATA(" Tot # Undes. New",'NEW Counts Pivot Table'!$A$3,"State","MS","Category",4,"Category2","Four-Year")</f>
        <v>0</v>
      </c>
      <c r="X78" s="109">
        <f>+GETPIVOTDATA(" Tot # Undes. New",'NEW Counts Pivot Table'!$A$3,"State","MS","Category",5,"Category2","Four-Year")</f>
        <v>0</v>
      </c>
      <c r="Y78" s="109">
        <f>+GETPIVOTDATA(" Tot # Undes. New",'NEW Counts Pivot Table'!$A$3,"State","MS","Category",6,"Category2","Four-Year")</f>
        <v>0</v>
      </c>
      <c r="Z78" s="111">
        <f>+GETPIVOTDATA(" Tot # Undes. New",'NEW Counts Pivot Table'!$A$3,"State","MS","Category2","Four-Year")</f>
        <v>72</v>
      </c>
      <c r="AA78" s="108">
        <f>+GETPIVOTDATA(" Tot # Undes. New",'NEW Counts Pivot Table'!$A$3,"State","AR","Category",7,"Category2","Group2")</f>
        <v>0</v>
      </c>
      <c r="AB78" s="109">
        <f>+GETPIVOTDATA(" Tot # Undes. New",'NEW Counts Pivot Table'!$A$3,"State","AR","Category",8,"Category2","Group2")</f>
        <v>0</v>
      </c>
      <c r="AC78" s="109">
        <f>+GETPIVOTDATA(" Tot # Undes. New",'NEW Counts Pivot Table'!$A$3,"State","DE","Category",9,"Category2","Group2")</f>
        <v>0</v>
      </c>
      <c r="AD78" s="109">
        <f>+GETPIVOTDATA(" Tot # Undes. New",'NEW Counts Pivot Table'!$A$3,"State","DE","Category",10,"Category2","Group2")</f>
        <v>0</v>
      </c>
      <c r="AE78" s="109">
        <f>+GETPIVOTDATA(" Tot # Undes. New",'NEW Counts Pivot Table'!$A$3,"State","MS","Category","11","Category2","Group2")</f>
        <v>0</v>
      </c>
      <c r="AF78" s="110">
        <f>+GETPIVOTDATA(" Tot # Undes. New",'NEW Counts Pivot Table'!$A$3,"State","MS","Category2","Group2")</f>
        <v>0</v>
      </c>
      <c r="AG78" s="108">
        <f>+GETPIVOTDATA(" Tot # Undes. New",'NEW Counts Pivot Table'!$A$3,"State","MS","Category",12,"Category2","Technical Institutes")</f>
        <v>0</v>
      </c>
      <c r="AH78" s="109">
        <f>+GETPIVOTDATA(" Tot # Undes. New",'NEW Counts Pivot Table'!$A$3,"State","MS","Category",13,"Category2","Technical Institutes")</f>
        <v>0</v>
      </c>
      <c r="AI78" s="110">
        <f>+GETPIVOTDATA(" Tot # Undes. New",'NEW Counts Pivot Table'!$A$3,"State","MS","Category",14,"Category2","Technical Institutes")</f>
        <v>0</v>
      </c>
      <c r="AJ78" s="108">
        <f>+GETPIVOTDATA(" Tot # Undes. New",'NEW Counts Pivot Table'!$A$3,"State","MS","Category2","Technical Institutes")</f>
        <v>0</v>
      </c>
    </row>
    <row r="79" spans="1:38">
      <c r="A79" s="30"/>
      <c r="B79" s="38" t="s">
        <v>314</v>
      </c>
      <c r="C79" s="32">
        <f t="shared" si="27"/>
        <v>0</v>
      </c>
      <c r="D79" s="34">
        <f t="shared" si="27"/>
        <v>0</v>
      </c>
      <c r="E79" s="185">
        <f t="shared" si="27"/>
        <v>0</v>
      </c>
      <c r="F79" s="34">
        <f t="shared" si="27"/>
        <v>0</v>
      </c>
      <c r="G79" s="185">
        <f t="shared" si="27"/>
        <v>0</v>
      </c>
      <c r="H79" s="68">
        <f t="shared" si="27"/>
        <v>0</v>
      </c>
      <c r="I79" s="184">
        <f t="shared" si="27"/>
        <v>0</v>
      </c>
      <c r="J79" s="32">
        <f t="shared" si="27"/>
        <v>0</v>
      </c>
      <c r="K79" s="34">
        <f t="shared" si="27"/>
        <v>1</v>
      </c>
      <c r="L79" s="34">
        <f t="shared" si="27"/>
        <v>1</v>
      </c>
      <c r="M79" s="34">
        <f t="shared" si="28"/>
        <v>1</v>
      </c>
      <c r="N79" s="32">
        <f t="shared" si="29"/>
        <v>1</v>
      </c>
      <c r="O79" s="32">
        <f t="shared" si="29"/>
        <v>0</v>
      </c>
      <c r="P79" s="34">
        <f t="shared" si="29"/>
        <v>0</v>
      </c>
      <c r="Q79" s="68">
        <f t="shared" si="29"/>
        <v>0</v>
      </c>
      <c r="R79" s="32">
        <f t="shared" si="29"/>
        <v>0</v>
      </c>
      <c r="S79" s="87"/>
      <c r="T79" s="108">
        <f>+GETPIVOTDATA(" Tot # Single Rnk New",'NEW Counts Pivot Table'!$A$3,"State","MS","Category",1,"Category2","Four-Year")</f>
        <v>0</v>
      </c>
      <c r="U79" s="109">
        <f>+GETPIVOTDATA(" Tot # Single Rnk New",'NEW Counts Pivot Table'!$A$3,"State","MS","Category",2,"Category2","Four-Year")</f>
        <v>0</v>
      </c>
      <c r="V79" s="109">
        <f>+GETPIVOTDATA(" Tot # Single Rnk New",'NEW Counts Pivot Table'!$A$3,"State","MS","Category",3,"Category2","Four-Year")</f>
        <v>0</v>
      </c>
      <c r="W79" s="109">
        <f>+GETPIVOTDATA(" Tot # Single Rnk New",'NEW Counts Pivot Table'!$A$3,"State","MS","Category",4,"Category2","Four-Year")</f>
        <v>0</v>
      </c>
      <c r="X79" s="109">
        <f>+GETPIVOTDATA(" Tot # Single Rnk New",'NEW Counts Pivot Table'!$A$3,"State","MS","Category",5,"Category2","Four-Year")</f>
        <v>0</v>
      </c>
      <c r="Y79" s="109">
        <f>+GETPIVOTDATA(" Tot # Single Rnk New",'NEW Counts Pivot Table'!$A$3,"State","MS","Category",6,"Category2","Four-Year")</f>
        <v>0</v>
      </c>
      <c r="Z79" s="111">
        <f>+GETPIVOTDATA(" Tot # Single Rnk New",'NEW Counts Pivot Table'!$A$3,"State","MS","Category2","Four-Year")</f>
        <v>0</v>
      </c>
      <c r="AA79" s="108">
        <f>+GETPIVOTDATA(" Tot # Single Rnk New",'NEW Counts Pivot Table'!$A$3,"State","AR","Category",7,"Category2","Group2")</f>
        <v>0</v>
      </c>
      <c r="AB79" s="109">
        <f>+GETPIVOTDATA(" Tot # Single Rnk New",'NEW Counts Pivot Table'!$A$3,"State","AR","Category",8,"Category2","Group2")</f>
        <v>171</v>
      </c>
      <c r="AC79" s="109">
        <f>+GETPIVOTDATA(" Tot # Single Rnk New",'NEW Counts Pivot Table'!$A$3,"State","DE","Category",9,"Category2","Group2")</f>
        <v>300</v>
      </c>
      <c r="AD79" s="109">
        <f>+GETPIVOTDATA(" Tot # Single Rnk New",'NEW Counts Pivot Table'!$A$3,"State","DE","Category",10,"Category2","Group2")</f>
        <v>84</v>
      </c>
      <c r="AE79" s="109">
        <f>+GETPIVOTDATA(" Tot # Single Rnk New",'NEW Counts Pivot Table'!$A$3,"State","MS","Category","11","Category2","Group2")</f>
        <v>0</v>
      </c>
      <c r="AF79" s="110">
        <f>+GETPIVOTDATA(" Tot # Single Rnk New",'NEW Counts Pivot Table'!$A$3,"State","MS","Category2","Group2")</f>
        <v>2505.3000000000002</v>
      </c>
      <c r="AG79" s="108">
        <f>+GETPIVOTDATA(" Tot # Single Rnk New",'NEW Counts Pivot Table'!$A$3,"State","MS","Category",12,"Category2","Technical Institutes")</f>
        <v>0</v>
      </c>
      <c r="AH79" s="109">
        <f>+GETPIVOTDATA(" Tot # Single Rnk New",'NEW Counts Pivot Table'!$A$3,"State","MS","Category",13,"Category2","Technical Institutes")</f>
        <v>0</v>
      </c>
      <c r="AI79" s="110">
        <f>+GETPIVOTDATA(" Tot # Single Rnk New",'NEW Counts Pivot Table'!$A$3,"State","MS","Category",14,"Category2","Technical Institutes")</f>
        <v>0</v>
      </c>
      <c r="AJ79" s="108">
        <f>+GETPIVOTDATA(" Tot # Single Rnk New",'NEW Counts Pivot Table'!$A$3,"State","MS","Category2","Technical Institutes")</f>
        <v>0</v>
      </c>
    </row>
    <row r="80" spans="1:38" s="54" customFormat="1">
      <c r="A80" s="191"/>
      <c r="B80" s="192" t="s">
        <v>316</v>
      </c>
      <c r="C80" s="33">
        <f t="shared" si="27"/>
        <v>1</v>
      </c>
      <c r="D80" s="31">
        <f t="shared" si="27"/>
        <v>1</v>
      </c>
      <c r="E80" s="31">
        <f t="shared" si="27"/>
        <v>0</v>
      </c>
      <c r="F80" s="31">
        <f t="shared" si="27"/>
        <v>1</v>
      </c>
      <c r="G80" s="31">
        <f t="shared" si="27"/>
        <v>1</v>
      </c>
      <c r="H80" s="69">
        <f t="shared" si="27"/>
        <v>0</v>
      </c>
      <c r="I80" s="33">
        <f t="shared" si="27"/>
        <v>1</v>
      </c>
      <c r="J80" s="33">
        <f t="shared" si="27"/>
        <v>0</v>
      </c>
      <c r="K80" s="31">
        <f t="shared" si="27"/>
        <v>1</v>
      </c>
      <c r="L80" s="31">
        <f t="shared" si="27"/>
        <v>1</v>
      </c>
      <c r="M80" s="31">
        <f t="shared" si="28"/>
        <v>1</v>
      </c>
      <c r="N80" s="33">
        <f t="shared" si="29"/>
        <v>1</v>
      </c>
      <c r="O80" s="33">
        <f t="shared" si="29"/>
        <v>0</v>
      </c>
      <c r="P80" s="31">
        <f t="shared" si="29"/>
        <v>0</v>
      </c>
      <c r="Q80" s="69">
        <f t="shared" si="29"/>
        <v>0</v>
      </c>
      <c r="R80" s="33">
        <f t="shared" si="29"/>
        <v>0</v>
      </c>
      <c r="S80" s="88"/>
      <c r="T80" s="112">
        <f>+GETPIVOTDATA(" All Ranks # New",'NEW Counts Pivot Table'!$A$3,"State","MS","Category",1,"Category2","Four-Year")</f>
        <v>1550</v>
      </c>
      <c r="U80" s="113">
        <f>+GETPIVOTDATA(" All Ranks # New",'NEW Counts Pivot Table'!$A$3,"State","MS","Category",2,"Category2","Four-Year")</f>
        <v>1103</v>
      </c>
      <c r="V80" s="113">
        <f>+GETPIVOTDATA(" All Ranks # New",'NEW Counts Pivot Table'!$A$3,"State","MS","Category",3,"Category2","Four-Year")</f>
        <v>0</v>
      </c>
      <c r="W80" s="113">
        <f>+GETPIVOTDATA(" All Ranks # New",'NEW Counts Pivot Table'!$A$3,"State","MS","Category",4,"Category2","Four-Year")</f>
        <v>489</v>
      </c>
      <c r="X80" s="113">
        <f>+GETPIVOTDATA(" All Ranks # New",'NEW Counts Pivot Table'!$A$3,"State","MS","Category",5,"Category2","Four-Year")</f>
        <v>130</v>
      </c>
      <c r="Y80" s="113">
        <f>+GETPIVOTDATA(" All Ranks # New",'NEW Counts Pivot Table'!$A$3,"State","MS","Category",6,"Category2","Four-Year")</f>
        <v>0</v>
      </c>
      <c r="Z80" s="115">
        <f>+GETPIVOTDATA(" All Ranks # New",'NEW Counts Pivot Table'!$A$3,"State","MS","Category2","Four-Year")</f>
        <v>3272</v>
      </c>
      <c r="AA80" s="112">
        <f>+GETPIVOTDATA(" All Ranks # New",'NEW Counts Pivot Table'!$A$3,"State","AR","Category",7,"Category2","Group2")</f>
        <v>0</v>
      </c>
      <c r="AB80" s="113">
        <f>+GETPIVOTDATA(" All Ranks # New",'NEW Counts Pivot Table'!$A$3,"State","AR","Category",8,"Category2","Group2")</f>
        <v>171</v>
      </c>
      <c r="AC80" s="113">
        <f>+GETPIVOTDATA(" All Ranks # New",'NEW Counts Pivot Table'!$A$3,"State","DE","Category",9,"Category2","Group2")</f>
        <v>300</v>
      </c>
      <c r="AD80" s="113">
        <f>+GETPIVOTDATA(" All Ranks # New",'NEW Counts Pivot Table'!$A$3,"State","DE","Category",10,"Category2","Group2")</f>
        <v>84</v>
      </c>
      <c r="AE80" s="113">
        <f>+GETPIVOTDATA(" All Ranks # New",'NEW Counts Pivot Table'!$A$3,"State","MS","Category","11","Category2","Group2")</f>
        <v>0</v>
      </c>
      <c r="AF80" s="114">
        <f>+GETPIVOTDATA(" All Ranks # New",'NEW Counts Pivot Table'!$A$3,"State","MS","Category2","Group2")</f>
        <v>2505.3000000000002</v>
      </c>
      <c r="AG80" s="112">
        <f>+GETPIVOTDATA(" All Ranks # New",'NEW Counts Pivot Table'!$A$3,"State","MS","Category",12,"Category2","Technical Institutes")</f>
        <v>0</v>
      </c>
      <c r="AH80" s="113">
        <f>+GETPIVOTDATA(" All Ranks # New",'NEW Counts Pivot Table'!$A$3,"State","MS","Category",13,"Category2","Technical Institutes")</f>
        <v>0</v>
      </c>
      <c r="AI80" s="114">
        <f>+GETPIVOTDATA(" All Ranks # New",'NEW Counts Pivot Table'!$A$3,"State","MS","Category",14,"Category2","Technical Institutes")</f>
        <v>0</v>
      </c>
      <c r="AJ80" s="112">
        <f>+GETPIVOTDATA(" All Ranks # New",'NEW Counts Pivot Table'!$A$3,"State","MS","Category2","Technical Institutes")</f>
        <v>0</v>
      </c>
      <c r="AK80" s="116"/>
      <c r="AL80" s="116"/>
    </row>
    <row r="81" spans="1:38">
      <c r="A81" s="38" t="s">
        <v>342</v>
      </c>
      <c r="B81" s="35" t="s">
        <v>332</v>
      </c>
      <c r="C81" s="36">
        <f t="shared" ref="C81:L87" si="30">IF(T$87&gt;0,(T81/T$87),0)</f>
        <v>0.38207822533566843</v>
      </c>
      <c r="D81" s="37">
        <f t="shared" si="30"/>
        <v>0.22259507829977629</v>
      </c>
      <c r="E81" s="37">
        <f t="shared" si="30"/>
        <v>0.22303384465546627</v>
      </c>
      <c r="F81" s="37">
        <f t="shared" si="30"/>
        <v>0.1588447653429603</v>
      </c>
      <c r="G81" s="37">
        <f t="shared" si="30"/>
        <v>0.14880952380952381</v>
      </c>
      <c r="H81" s="67">
        <f t="shared" si="30"/>
        <v>0.29715762273901808</v>
      </c>
      <c r="I81" s="36">
        <f t="shared" si="30"/>
        <v>0.27043257952519473</v>
      </c>
      <c r="J81" s="36">
        <f t="shared" si="30"/>
        <v>0</v>
      </c>
      <c r="K81" s="37">
        <f t="shared" si="30"/>
        <v>0</v>
      </c>
      <c r="L81" s="37">
        <f t="shared" si="30"/>
        <v>0</v>
      </c>
      <c r="M81" s="37">
        <f t="shared" ref="M81:M87" si="31">IF(AD$87&gt;0,(AD81/AD$87),0)</f>
        <v>0</v>
      </c>
      <c r="N81" s="36">
        <f t="shared" ref="N81:R87" si="32">IF(AF$87&gt;0,(AF81/AF$87),0)</f>
        <v>0</v>
      </c>
      <c r="O81" s="152">
        <f t="shared" si="32"/>
        <v>0</v>
      </c>
      <c r="P81" s="37">
        <f t="shared" si="32"/>
        <v>0</v>
      </c>
      <c r="Q81" s="67">
        <f t="shared" si="32"/>
        <v>0</v>
      </c>
      <c r="R81" s="152">
        <f t="shared" si="32"/>
        <v>0</v>
      </c>
      <c r="S81" s="117"/>
      <c r="T81" s="104">
        <f>+GETPIVOTDATA(" Total # Prof New",'NEW Counts Pivot Table'!$A$3,"State","NC","Category",1,"Category2","Four-Year")</f>
        <v>1309</v>
      </c>
      <c r="U81" s="105">
        <f>+GETPIVOTDATA(" Total # Prof New",'NEW Counts Pivot Table'!$A$3,"State","NC","Category",2,"Category2","Four-Year")</f>
        <v>398</v>
      </c>
      <c r="V81" s="105">
        <f>+GETPIVOTDATA(" Total # Prof New",'NEW Counts Pivot Table'!$A$3,"State","NC","Category",3,"Category2","Four-Year")</f>
        <v>916</v>
      </c>
      <c r="W81" s="105">
        <f>+GETPIVOTDATA(" Total # Prof New",'NEW Counts Pivot Table'!$A$3,"State","NC","Category",4,"Category2","Four-Year")</f>
        <v>44</v>
      </c>
      <c r="X81" s="105">
        <f>+GETPIVOTDATA(" Total # Prof New",'NEW Counts Pivot Table'!$A$3,"State","NC","Category",5,"Category2","Four-Year")</f>
        <v>100</v>
      </c>
      <c r="Y81" s="105">
        <f>+GETPIVOTDATA(" Total # Prof New",'NEW Counts Pivot Table'!$A$3,"State","NC","Category",6,"Category2","Four-Year")</f>
        <v>115</v>
      </c>
      <c r="Z81" s="107">
        <f>+GETPIVOTDATA(" Total # Prof New",'NEW Counts Pivot Table'!$A$3,"State","NC","Category2","Four-Year")</f>
        <v>2882</v>
      </c>
      <c r="AA81" s="104">
        <f>+GETPIVOTDATA(" Total # Prof New",'NEW Counts Pivot Table'!$A$3,"State","AR","Category",7,"Category2","Group2")</f>
        <v>0</v>
      </c>
      <c r="AB81" s="105">
        <f>+GETPIVOTDATA(" Total # Prof New",'NEW Counts Pivot Table'!$A$3,"State","AR","Category",8,"Category2","Group2")</f>
        <v>0</v>
      </c>
      <c r="AC81" s="105">
        <f>+GETPIVOTDATA(" Total # Prof New",'NEW Counts Pivot Table'!$A$3,"State","DE","Category",9,"Category2","Group2")</f>
        <v>0</v>
      </c>
      <c r="AD81" s="105">
        <f>+GETPIVOTDATA(" Total # Prof New",'NEW Counts Pivot Table'!$A$3,"State","DE","Category",10,"Category2","Group2")</f>
        <v>0</v>
      </c>
      <c r="AE81" s="105">
        <f>+GETPIVOTDATA(" Total # Prof New",'NEW Counts Pivot Table'!$A$3,"State","NC","Category","11","Category2","Group2")</f>
        <v>0</v>
      </c>
      <c r="AF81" s="106">
        <f>+GETPIVOTDATA(" Total # Prof New",'NEW Counts Pivot Table'!$A$3,"State","NC","Category2","Group2")</f>
        <v>0</v>
      </c>
      <c r="AG81" s="104">
        <f>+GETPIVOTDATA(" Total # Prof New",'NEW Counts Pivot Table'!$A$3,"State","NC","Category",12,"Category2","Technical Institutes")</f>
        <v>0</v>
      </c>
      <c r="AH81" s="105">
        <f>+GETPIVOTDATA(" Total # Prof New",'NEW Counts Pivot Table'!$A$3,"State","NC","Category",13,"Category2","Technical Institutes")</f>
        <v>0</v>
      </c>
      <c r="AI81" s="106">
        <f>+GETPIVOTDATA(" Total # Prof New",'NEW Counts Pivot Table'!$A$3,"State","NC","Category",14,"Category2","Technical Institutes")</f>
        <v>0</v>
      </c>
      <c r="AJ81" s="104">
        <f>+GETPIVOTDATA(" Total # Prof New",'NEW Counts Pivot Table'!$A$3,"State","NC","Category2","Technical Institutes")</f>
        <v>0</v>
      </c>
    </row>
    <row r="82" spans="1:38">
      <c r="A82" s="30"/>
      <c r="B82" s="38" t="s">
        <v>333</v>
      </c>
      <c r="C82" s="32">
        <f t="shared" si="30"/>
        <v>0.22767075306479859</v>
      </c>
      <c r="D82" s="34">
        <f t="shared" si="30"/>
        <v>0.30089485458612975</v>
      </c>
      <c r="E82" s="34">
        <f t="shared" si="30"/>
        <v>0.28682736790844898</v>
      </c>
      <c r="F82" s="34">
        <f t="shared" si="30"/>
        <v>0.29602888086642598</v>
      </c>
      <c r="G82" s="34">
        <f t="shared" si="30"/>
        <v>0.25744047619047616</v>
      </c>
      <c r="H82" s="68">
        <f t="shared" si="30"/>
        <v>0.25839793281653745</v>
      </c>
      <c r="I82" s="32">
        <f t="shared" si="30"/>
        <v>0.2675236933470958</v>
      </c>
      <c r="J82" s="32">
        <f t="shared" si="30"/>
        <v>0</v>
      </c>
      <c r="K82" s="34">
        <f t="shared" si="30"/>
        <v>0</v>
      </c>
      <c r="L82" s="34">
        <f t="shared" si="30"/>
        <v>0</v>
      </c>
      <c r="M82" s="34">
        <f t="shared" si="31"/>
        <v>0</v>
      </c>
      <c r="N82" s="32">
        <f t="shared" si="32"/>
        <v>0</v>
      </c>
      <c r="O82" s="32">
        <f t="shared" si="32"/>
        <v>0</v>
      </c>
      <c r="P82" s="34">
        <f t="shared" si="32"/>
        <v>0</v>
      </c>
      <c r="Q82" s="68">
        <f t="shared" si="32"/>
        <v>0</v>
      </c>
      <c r="R82" s="32">
        <f t="shared" si="32"/>
        <v>0</v>
      </c>
      <c r="S82" s="87"/>
      <c r="T82" s="108">
        <f>+GETPIVOTDATA(" Tot # Asc. Prof New",'NEW Counts Pivot Table'!$A$3,"State","NC","Category",1,"Category2","Four-Year")</f>
        <v>780</v>
      </c>
      <c r="U82" s="109">
        <f>+GETPIVOTDATA(" Tot # Asc. Prof New",'NEW Counts Pivot Table'!$A$3,"State","NC","Category",2,"Category2","Four-Year")</f>
        <v>538</v>
      </c>
      <c r="V82" s="109">
        <f>+GETPIVOTDATA(" Tot # Asc. Prof New",'NEW Counts Pivot Table'!$A$3,"State","NC","Category",3,"Category2","Four-Year")</f>
        <v>1178</v>
      </c>
      <c r="W82" s="109">
        <f>+GETPIVOTDATA(" Tot # Asc. Prof New",'NEW Counts Pivot Table'!$A$3,"State","NC","Category",4,"Category2","Four-Year")</f>
        <v>82</v>
      </c>
      <c r="X82" s="109">
        <f>+GETPIVOTDATA(" Tot # Asc. Prof New",'NEW Counts Pivot Table'!$A$3,"State","NC","Category",5,"Category2","Four-Year")</f>
        <v>173</v>
      </c>
      <c r="Y82" s="109">
        <f>+GETPIVOTDATA(" Tot # Asc. Prof New",'NEW Counts Pivot Table'!$A$3,"State","NC","Category",6,"Category2","Four-Year")</f>
        <v>100</v>
      </c>
      <c r="Z82" s="111">
        <f>+GETPIVOTDATA(" Tot # Asc. Prof New",'NEW Counts Pivot Table'!$A$3,"State","NC","Category2","Four-Year")</f>
        <v>2851</v>
      </c>
      <c r="AA82" s="108">
        <f>+GETPIVOTDATA(" Tot # Asc. Prof New",'NEW Counts Pivot Table'!$A$3,"State","AR","Category",7,"Category2","Group2")</f>
        <v>0</v>
      </c>
      <c r="AB82" s="109">
        <f>+GETPIVOTDATA(" Tot # Asc. Prof New",'NEW Counts Pivot Table'!$A$3,"State","AR","Category",8,"Category2","Group2")</f>
        <v>0</v>
      </c>
      <c r="AC82" s="109">
        <f>+GETPIVOTDATA(" Tot # Asc. Prof New",'NEW Counts Pivot Table'!$A$3,"State","DE","Category",9,"Category2","Group2")</f>
        <v>0</v>
      </c>
      <c r="AD82" s="109">
        <f>+GETPIVOTDATA(" Tot # Asc. Prof New",'NEW Counts Pivot Table'!$A$3,"State","DE","Category",10,"Category2","Group2")</f>
        <v>0</v>
      </c>
      <c r="AE82" s="109">
        <f>+GETPIVOTDATA(" Tot # Asc. Prof New",'NEW Counts Pivot Table'!$A$3,"State","NC","Category","11","Category2","Group2")</f>
        <v>0</v>
      </c>
      <c r="AF82" s="110">
        <f>+GETPIVOTDATA(" Tot # Asc. Prof New",'NEW Counts Pivot Table'!$A$3,"State","NC","Category2","Group2")</f>
        <v>0</v>
      </c>
      <c r="AG82" s="108">
        <f>+GETPIVOTDATA(" Tot # Asc. Prof New",'NEW Counts Pivot Table'!$A$3,"State","NC","Category",12,"Category2","Technical Institutes")</f>
        <v>0</v>
      </c>
      <c r="AH82" s="109">
        <f>+GETPIVOTDATA(" Tot # Asc. Prof New",'NEW Counts Pivot Table'!$A$3,"State","NC","Category",13,"Category2","Technical Institutes")</f>
        <v>0</v>
      </c>
      <c r="AI82" s="110">
        <f>+GETPIVOTDATA(" Tot # Asc. Prof New",'NEW Counts Pivot Table'!$A$3,"State","NC","Category",14,"Category2","Technical Institutes")</f>
        <v>0</v>
      </c>
      <c r="AJ82" s="108">
        <f>+GETPIVOTDATA(" Tot # Asc. Prof New",'NEW Counts Pivot Table'!$A$3,"State","NC","Category2","Technical Institutes")</f>
        <v>0</v>
      </c>
    </row>
    <row r="83" spans="1:38">
      <c r="A83" s="30"/>
      <c r="B83" s="38" t="s">
        <v>334</v>
      </c>
      <c r="C83" s="32">
        <f t="shared" si="30"/>
        <v>0.19643899591360187</v>
      </c>
      <c r="D83" s="34">
        <f t="shared" si="30"/>
        <v>0.21364653243847875</v>
      </c>
      <c r="E83" s="34">
        <f t="shared" si="30"/>
        <v>0.25687850012174335</v>
      </c>
      <c r="F83" s="34">
        <f t="shared" si="30"/>
        <v>0.39350180505415161</v>
      </c>
      <c r="G83" s="34">
        <f t="shared" si="30"/>
        <v>0.36607142857142855</v>
      </c>
      <c r="H83" s="68">
        <f t="shared" si="30"/>
        <v>0.22480620155038761</v>
      </c>
      <c r="I83" s="32">
        <f t="shared" si="30"/>
        <v>0.23946701698414188</v>
      </c>
      <c r="J83" s="32">
        <f t="shared" si="30"/>
        <v>0</v>
      </c>
      <c r="K83" s="34">
        <f t="shared" si="30"/>
        <v>0</v>
      </c>
      <c r="L83" s="34">
        <f t="shared" si="30"/>
        <v>0</v>
      </c>
      <c r="M83" s="34">
        <f t="shared" si="31"/>
        <v>0</v>
      </c>
      <c r="N83" s="32">
        <f t="shared" si="32"/>
        <v>0</v>
      </c>
      <c r="O83" s="32">
        <f t="shared" si="32"/>
        <v>0</v>
      </c>
      <c r="P83" s="34">
        <f t="shared" si="32"/>
        <v>0</v>
      </c>
      <c r="Q83" s="68">
        <f t="shared" si="32"/>
        <v>0</v>
      </c>
      <c r="R83" s="32">
        <f t="shared" si="32"/>
        <v>0</v>
      </c>
      <c r="S83" s="87"/>
      <c r="T83" s="108">
        <f>+GETPIVOTDATA(" Tot # Ast. Prof New",'NEW Counts Pivot Table'!$A$3,"State","NC","Category",1,"Category2","Four-Year")</f>
        <v>673</v>
      </c>
      <c r="U83" s="109">
        <f>+GETPIVOTDATA(" Tot # Ast. Prof New",'NEW Counts Pivot Table'!$A$3,"State","NC","Category",2,"Category2","Four-Year")</f>
        <v>382</v>
      </c>
      <c r="V83" s="109">
        <f>+GETPIVOTDATA(" Tot # Ast. Prof New",'NEW Counts Pivot Table'!$A$3,"State","NC","Category",3,"Category2","Four-Year")</f>
        <v>1055</v>
      </c>
      <c r="W83" s="109">
        <f>+GETPIVOTDATA(" Tot # Ast. Prof New",'NEW Counts Pivot Table'!$A$3,"State","NC","Category",4,"Category2","Four-Year")</f>
        <v>109</v>
      </c>
      <c r="X83" s="109">
        <f>+GETPIVOTDATA(" Tot # Ast. Prof New",'NEW Counts Pivot Table'!$A$3,"State","NC","Category",5,"Category2","Four-Year")</f>
        <v>246</v>
      </c>
      <c r="Y83" s="109">
        <f>+GETPIVOTDATA(" Tot # Ast. Prof New",'NEW Counts Pivot Table'!$A$3,"State","NC","Category",6,"Category2","Four-Year")</f>
        <v>87</v>
      </c>
      <c r="Z83" s="111">
        <f>+GETPIVOTDATA(" Tot # Ast. Prof New",'NEW Counts Pivot Table'!$A$3,"State","NC","Category2","Four-Year")</f>
        <v>2552</v>
      </c>
      <c r="AA83" s="108">
        <f>+GETPIVOTDATA(" Tot # Ast. Prof New",'NEW Counts Pivot Table'!$A$3,"State","AR","Category",7,"Category2","Group2")</f>
        <v>0</v>
      </c>
      <c r="AB83" s="109">
        <f>+GETPIVOTDATA(" Tot # Ast. Prof New",'NEW Counts Pivot Table'!$A$3,"State","AR","Category",8,"Category2","Group2")</f>
        <v>0</v>
      </c>
      <c r="AC83" s="109">
        <f>+GETPIVOTDATA(" Tot # Ast. Prof New",'NEW Counts Pivot Table'!$A$3,"State","DE","Category",9,"Category2","Group2")</f>
        <v>0</v>
      </c>
      <c r="AD83" s="109">
        <f>+GETPIVOTDATA(" Tot # Ast. Prof New",'NEW Counts Pivot Table'!$A$3,"State","DE","Category",10,"Category2","Group2")</f>
        <v>0</v>
      </c>
      <c r="AE83" s="109">
        <f>+GETPIVOTDATA(" Tot # Ast. Prof New",'NEW Counts Pivot Table'!$A$3,"State","NC","Category","11","Category2","Group2")</f>
        <v>0</v>
      </c>
      <c r="AF83" s="110">
        <f>+GETPIVOTDATA(" Tot # Ast. Prof New",'NEW Counts Pivot Table'!$A$3,"State","NC","Category2","Group2")</f>
        <v>0</v>
      </c>
      <c r="AG83" s="108">
        <f>+GETPIVOTDATA(" Tot # Ast. Prof New",'NEW Counts Pivot Table'!$A$3,"State","NC","Category",12,"Category2","Technical Institutes")</f>
        <v>0</v>
      </c>
      <c r="AH83" s="109">
        <f>+GETPIVOTDATA(" Tot # Ast. Prof New",'NEW Counts Pivot Table'!$A$3,"State","NC","Category",13,"Category2","Technical Institutes")</f>
        <v>0</v>
      </c>
      <c r="AI83" s="110">
        <f>+GETPIVOTDATA(" Tot # Ast. Prof New",'NEW Counts Pivot Table'!$A$3,"State","NC","Category",14,"Category2","Technical Institutes")</f>
        <v>0</v>
      </c>
      <c r="AJ83" s="108">
        <f>+GETPIVOTDATA(" Tot # Ast. Prof New",'NEW Counts Pivot Table'!$A$3,"State","NC","Category2","Technical Institutes")</f>
        <v>0</v>
      </c>
    </row>
    <row r="84" spans="1:38">
      <c r="A84" s="30"/>
      <c r="B84" s="38" t="s">
        <v>335</v>
      </c>
      <c r="C84" s="32">
        <f t="shared" si="30"/>
        <v>4.6701692936368944E-3</v>
      </c>
      <c r="D84" s="236">
        <f t="shared" si="30"/>
        <v>3.3557046979865772E-2</v>
      </c>
      <c r="E84" s="34">
        <f t="shared" si="30"/>
        <v>8.5220355490625756E-3</v>
      </c>
      <c r="F84" s="34">
        <f t="shared" si="30"/>
        <v>3.2490974729241874E-2</v>
      </c>
      <c r="G84" s="34">
        <f t="shared" si="30"/>
        <v>7.1428571428571425E-2</v>
      </c>
      <c r="H84" s="68">
        <f t="shared" si="30"/>
        <v>7.7519379844961239E-3</v>
      </c>
      <c r="I84" s="32">
        <f t="shared" si="30"/>
        <v>1.6045791498545556E-2</v>
      </c>
      <c r="J84" s="32">
        <f t="shared" si="30"/>
        <v>0</v>
      </c>
      <c r="K84" s="34">
        <f t="shared" si="30"/>
        <v>0</v>
      </c>
      <c r="L84" s="34">
        <f t="shared" si="30"/>
        <v>0</v>
      </c>
      <c r="M84" s="34">
        <f t="shared" si="31"/>
        <v>0</v>
      </c>
      <c r="N84" s="32">
        <f t="shared" si="32"/>
        <v>0</v>
      </c>
      <c r="O84" s="32">
        <f t="shared" si="32"/>
        <v>0</v>
      </c>
      <c r="P84" s="34">
        <f t="shared" si="32"/>
        <v>0</v>
      </c>
      <c r="Q84" s="68">
        <f t="shared" si="32"/>
        <v>0</v>
      </c>
      <c r="R84" s="32">
        <f t="shared" si="32"/>
        <v>0</v>
      </c>
      <c r="S84" s="87"/>
      <c r="T84" s="108">
        <f>+GETPIVOTDATA(" Tot # Instr. New",'NEW Counts Pivot Table'!$A$3,"State","NC","Category",1,"Category2","Four-Year")</f>
        <v>16</v>
      </c>
      <c r="U84" s="109">
        <f>+GETPIVOTDATA(" Tot # Instr. New",'NEW Counts Pivot Table'!$A$3,"State","NC","Category",2,"Category2","Four-Year")</f>
        <v>60</v>
      </c>
      <c r="V84" s="109">
        <f>+GETPIVOTDATA(" Tot # Instr. New",'NEW Counts Pivot Table'!$A$3,"State","NC","Category",3,"Category2","Four-Year")</f>
        <v>35</v>
      </c>
      <c r="W84" s="109">
        <f>+GETPIVOTDATA(" Tot # Instr. New",'NEW Counts Pivot Table'!$A$3,"State","NC","Category",4,"Category2","Four-Year")</f>
        <v>9</v>
      </c>
      <c r="X84" s="109">
        <f>+GETPIVOTDATA(" Tot # Instr. New",'NEW Counts Pivot Table'!$A$3,"State","NC","Category",5,"Category2","Four-Year")</f>
        <v>48</v>
      </c>
      <c r="Y84" s="109">
        <f>+GETPIVOTDATA(" Tot # Instr. New",'NEW Counts Pivot Table'!$A$3,"State","NC","Category",6,"Category2","Four-Year")</f>
        <v>3</v>
      </c>
      <c r="Z84" s="111">
        <f>+GETPIVOTDATA(" Tot # Instr. New",'NEW Counts Pivot Table'!$A$3,"State","NC","Category2","Four-Year")</f>
        <v>171</v>
      </c>
      <c r="AA84" s="108">
        <f>+GETPIVOTDATA(" Tot # Instr. New",'NEW Counts Pivot Table'!$A$3,"State","AR","Category",7,"Category2","Group2")</f>
        <v>0</v>
      </c>
      <c r="AB84" s="109">
        <f>+GETPIVOTDATA(" Tot # Instr. New",'NEW Counts Pivot Table'!$A$3,"State","AR","Category",8,"Category2","Group2")</f>
        <v>0</v>
      </c>
      <c r="AC84" s="109">
        <f>+GETPIVOTDATA(" Tot # Instr. New",'NEW Counts Pivot Table'!$A$3,"State","DE","Category",9,"Category2","Group2")</f>
        <v>0</v>
      </c>
      <c r="AD84" s="109">
        <f>+GETPIVOTDATA(" Tot # Instr. New",'NEW Counts Pivot Table'!$A$3,"State","DE","Category",10,"Category2","Group2")</f>
        <v>0</v>
      </c>
      <c r="AE84" s="109">
        <f>+GETPIVOTDATA(" Tot # Instr. New",'NEW Counts Pivot Table'!$A$3,"State","NC","Category","11","Category2","Group2")</f>
        <v>0</v>
      </c>
      <c r="AF84" s="110">
        <f>+GETPIVOTDATA(" Tot # Instr. New",'NEW Counts Pivot Table'!$A$3,"State","NC","Category2","Group2")</f>
        <v>0</v>
      </c>
      <c r="AG84" s="108">
        <f>+GETPIVOTDATA(" Tot # Instr. New",'NEW Counts Pivot Table'!$A$3,"State","NC","Category",12,"Category2","Technical Institutes")</f>
        <v>0</v>
      </c>
      <c r="AH84" s="109">
        <f>+GETPIVOTDATA(" Tot # Instr. New",'NEW Counts Pivot Table'!$A$3,"State","NC","Category",13,"Category2","Technical Institutes")</f>
        <v>0</v>
      </c>
      <c r="AI84" s="110">
        <f>+GETPIVOTDATA(" Tot # Instr. New",'NEW Counts Pivot Table'!$A$3,"State","NC","Category",14,"Category2","Technical Institutes")</f>
        <v>0</v>
      </c>
      <c r="AJ84" s="108">
        <f>+GETPIVOTDATA(" Tot # Instr. New",'NEW Counts Pivot Table'!$A$3,"State","NC","Category2","Technical Institutes")</f>
        <v>0</v>
      </c>
    </row>
    <row r="85" spans="1:38">
      <c r="A85" s="30"/>
      <c r="B85" s="38" t="s">
        <v>315</v>
      </c>
      <c r="C85" s="32">
        <f t="shared" si="30"/>
        <v>0.18914185639229422</v>
      </c>
      <c r="D85" s="34">
        <f t="shared" si="30"/>
        <v>0.22930648769574943</v>
      </c>
      <c r="E85" s="34">
        <f t="shared" si="30"/>
        <v>0.22473825176527878</v>
      </c>
      <c r="F85" s="34">
        <f t="shared" si="30"/>
        <v>0.11913357400722022</v>
      </c>
      <c r="G85" s="34">
        <f t="shared" si="30"/>
        <v>0.15625</v>
      </c>
      <c r="H85" s="68">
        <f t="shared" si="30"/>
        <v>0.21188630490956073</v>
      </c>
      <c r="I85" s="32">
        <f t="shared" si="30"/>
        <v>0.20653091864502204</v>
      </c>
      <c r="J85" s="32">
        <f t="shared" si="30"/>
        <v>0</v>
      </c>
      <c r="K85" s="34">
        <f t="shared" si="30"/>
        <v>0</v>
      </c>
      <c r="L85" s="34">
        <f t="shared" si="30"/>
        <v>0</v>
      </c>
      <c r="M85" s="34">
        <f t="shared" si="31"/>
        <v>0</v>
      </c>
      <c r="N85" s="32">
        <f t="shared" si="32"/>
        <v>0</v>
      </c>
      <c r="O85" s="32">
        <f t="shared" si="32"/>
        <v>0</v>
      </c>
      <c r="P85" s="34">
        <f t="shared" si="32"/>
        <v>0</v>
      </c>
      <c r="Q85" s="68">
        <f t="shared" si="32"/>
        <v>0</v>
      </c>
      <c r="R85" s="32">
        <f t="shared" si="32"/>
        <v>0</v>
      </c>
      <c r="S85" s="87"/>
      <c r="T85" s="108">
        <f>++GETPIVOTDATA(" Tot # Undes. New",'NEW Counts Pivot Table'!$A$3,"State","NC","Category",1,"Category2","Four-Year")</f>
        <v>648</v>
      </c>
      <c r="U85" s="109">
        <f>+GETPIVOTDATA(" Tot # Undes. New",'NEW Counts Pivot Table'!$A$3,"State","NC","Category",2,"Category2","Four-Year")</f>
        <v>410</v>
      </c>
      <c r="V85" s="109">
        <f>+GETPIVOTDATA(" Tot # Undes. New",'NEW Counts Pivot Table'!$A$3,"State","NC","Category",3,"Category2","Four-Year")</f>
        <v>923</v>
      </c>
      <c r="W85" s="109">
        <f>+GETPIVOTDATA(" Tot # Undes. New",'NEW Counts Pivot Table'!$A$3,"State","NC","Category",4,"Category2","Four-Year")</f>
        <v>33</v>
      </c>
      <c r="X85" s="109">
        <f>+GETPIVOTDATA(" Tot # Undes. New",'NEW Counts Pivot Table'!$A$3,"State","NC","Category",5,"Category2","Four-Year")</f>
        <v>105</v>
      </c>
      <c r="Y85" s="109">
        <f>+GETPIVOTDATA(" Tot # Undes. New",'NEW Counts Pivot Table'!$A$3,"State","NC","Category",6,"Category2","Four-Year")</f>
        <v>82</v>
      </c>
      <c r="Z85" s="111">
        <f>+GETPIVOTDATA(" Tot # Undes. New",'NEW Counts Pivot Table'!$A$3,"State","NC","Category2","Four-Year")</f>
        <v>2201</v>
      </c>
      <c r="AA85" s="108">
        <f>+GETPIVOTDATA(" Tot # Undes. New",'NEW Counts Pivot Table'!$A$3,"State","AR","Category",7,"Category2","Group2")</f>
        <v>0</v>
      </c>
      <c r="AB85" s="109">
        <f>+GETPIVOTDATA(" Tot # Undes. New",'NEW Counts Pivot Table'!$A$3,"State","AR","Category",8,"Category2","Group2")</f>
        <v>0</v>
      </c>
      <c r="AC85" s="109">
        <f>+GETPIVOTDATA(" Tot # Undes. New",'NEW Counts Pivot Table'!$A$3,"State","DE","Category",9,"Category2","Group2")</f>
        <v>0</v>
      </c>
      <c r="AD85" s="109">
        <f>+GETPIVOTDATA(" Tot # Undes. New",'NEW Counts Pivot Table'!$A$3,"State","DE","Category",10,"Category2","Group2")</f>
        <v>0</v>
      </c>
      <c r="AE85" s="109">
        <f>+GETPIVOTDATA(" Tot # Undes. New",'NEW Counts Pivot Table'!$A$3,"State","NC","Category","11","Category2","Group2")</f>
        <v>0</v>
      </c>
      <c r="AF85" s="110">
        <f>+GETPIVOTDATA(" Tot # Undes. New",'NEW Counts Pivot Table'!$A$3,"State","NC","Category2","Group2")</f>
        <v>0</v>
      </c>
      <c r="AG85" s="108">
        <f>+GETPIVOTDATA(" Tot # Undes. New",'NEW Counts Pivot Table'!$A$3,"State","NC","Category",12,"Category2","Technical Institutes")</f>
        <v>0</v>
      </c>
      <c r="AH85" s="109">
        <f>+GETPIVOTDATA(" Tot # Undes. New",'NEW Counts Pivot Table'!$A$3,"State","NC","Category",13,"Category2","Technical Institutes")</f>
        <v>0</v>
      </c>
      <c r="AI85" s="110">
        <f>+GETPIVOTDATA(" Tot # Undes. New",'NEW Counts Pivot Table'!$A$3,"State","NC","Category",14,"Category2","Technical Institutes")</f>
        <v>0</v>
      </c>
      <c r="AJ85" s="108">
        <f>+GETPIVOTDATA(" Tot # Undes. New",'NEW Counts Pivot Table'!$A$3,"State","NC","Category2","Technical Institutes")</f>
        <v>0</v>
      </c>
    </row>
    <row r="86" spans="1:38">
      <c r="A86" s="30"/>
      <c r="B86" s="38" t="s">
        <v>314</v>
      </c>
      <c r="C86" s="32">
        <f t="shared" si="30"/>
        <v>0</v>
      </c>
      <c r="D86" s="34">
        <f t="shared" si="30"/>
        <v>0</v>
      </c>
      <c r="E86" s="185">
        <f t="shared" si="30"/>
        <v>0</v>
      </c>
      <c r="F86" s="34">
        <f t="shared" si="30"/>
        <v>0</v>
      </c>
      <c r="G86" s="185">
        <f t="shared" si="30"/>
        <v>0</v>
      </c>
      <c r="H86" s="68">
        <f t="shared" si="30"/>
        <v>0</v>
      </c>
      <c r="I86" s="184">
        <f t="shared" si="30"/>
        <v>0</v>
      </c>
      <c r="J86" s="32">
        <f t="shared" si="30"/>
        <v>0</v>
      </c>
      <c r="K86" s="34">
        <f t="shared" si="30"/>
        <v>1</v>
      </c>
      <c r="L86" s="34">
        <f t="shared" si="30"/>
        <v>1</v>
      </c>
      <c r="M86" s="34">
        <f t="shared" si="31"/>
        <v>1</v>
      </c>
      <c r="N86" s="32">
        <f t="shared" si="32"/>
        <v>1</v>
      </c>
      <c r="O86" s="32">
        <f t="shared" si="32"/>
        <v>0</v>
      </c>
      <c r="P86" s="34">
        <f t="shared" si="32"/>
        <v>0</v>
      </c>
      <c r="Q86" s="68">
        <f t="shared" si="32"/>
        <v>0</v>
      </c>
      <c r="R86" s="32">
        <f t="shared" si="32"/>
        <v>0</v>
      </c>
      <c r="S86" s="87"/>
      <c r="T86" s="108">
        <f>+GETPIVOTDATA(" Tot # Single Rnk New",'NEW Counts Pivot Table'!$A$3,"State","NC","Category",1,"Category2","Four-Year")</f>
        <v>0</v>
      </c>
      <c r="U86" s="109">
        <f>+GETPIVOTDATA(" Tot # Single Rnk New",'NEW Counts Pivot Table'!$A$3,"State","NC","Category",2,"Category2","Four-Year")</f>
        <v>0</v>
      </c>
      <c r="V86" s="109">
        <f>+GETPIVOTDATA(" Tot # Single Rnk New",'NEW Counts Pivot Table'!$A$3,"State","NC","Category",3,"Category2","Four-Year")</f>
        <v>0</v>
      </c>
      <c r="W86" s="109">
        <f>+GETPIVOTDATA(" Tot # Single Rnk New",'NEW Counts Pivot Table'!$A$3,"State","NC","Category",4,"Category2","Four-Year")</f>
        <v>0</v>
      </c>
      <c r="X86" s="109">
        <f>+GETPIVOTDATA(" Tot # Single Rnk New",'NEW Counts Pivot Table'!$A$3,"State","NC","Category",5,"Category2","Four-Year")</f>
        <v>0</v>
      </c>
      <c r="Y86" s="109">
        <f>+GETPIVOTDATA(" Tot # Single Rnk New",'NEW Counts Pivot Table'!$A$3,"State","NC","Category",6,"Category2","Four-Year")</f>
        <v>0</v>
      </c>
      <c r="Z86" s="111">
        <f>+GETPIVOTDATA(" Tot # Single Rnk New",'NEW Counts Pivot Table'!$A$3,"State","NC","Category2","Four-Year")</f>
        <v>0</v>
      </c>
      <c r="AA86" s="108">
        <f>+GETPIVOTDATA(" Tot # Single Rnk New",'NEW Counts Pivot Table'!$A$3,"State","AR","Category",7,"Category2","Group2")</f>
        <v>0</v>
      </c>
      <c r="AB86" s="109">
        <f>+GETPIVOTDATA(" Tot # Single Rnk New",'NEW Counts Pivot Table'!$A$3,"State","AR","Category",8,"Category2","Group2")</f>
        <v>171</v>
      </c>
      <c r="AC86" s="109">
        <f>+GETPIVOTDATA(" Tot # Single Rnk New",'NEW Counts Pivot Table'!$A$3,"State","DE","Category",9,"Category2","Group2")</f>
        <v>300</v>
      </c>
      <c r="AD86" s="109">
        <f>+GETPIVOTDATA(" Tot # Single Rnk New",'NEW Counts Pivot Table'!$A$3,"State","DE","Category",10,"Category2","Group2")</f>
        <v>84</v>
      </c>
      <c r="AE86" s="109">
        <f>+GETPIVOTDATA(" Tot # Single Rnk New",'NEW Counts Pivot Table'!$A$3,"State","NC","Category","11","Category2","Group2")</f>
        <v>0</v>
      </c>
      <c r="AF86" s="110">
        <f>+GETPIVOTDATA(" Tot # Single Rnk New",'NEW Counts Pivot Table'!$A$3,"State","NC","Category2","Group2")</f>
        <v>6807</v>
      </c>
      <c r="AG86" s="108">
        <f>+GETPIVOTDATA(" Tot # Single Rnk New",'NEW Counts Pivot Table'!$A$3,"State","NC","Category",12,"Category2","Technical Institutes")</f>
        <v>0</v>
      </c>
      <c r="AH86" s="109">
        <f>+GETPIVOTDATA(" Tot # Single Rnk New",'NEW Counts Pivot Table'!$A$3,"State","NC","Category",13,"Category2","Technical Institutes")</f>
        <v>0</v>
      </c>
      <c r="AI86" s="110">
        <f>+GETPIVOTDATA(" Tot # Single Rnk New",'NEW Counts Pivot Table'!$A$3,"State","NC","Category",14,"Category2","Technical Institutes")</f>
        <v>0</v>
      </c>
      <c r="AJ86" s="108">
        <f>+GETPIVOTDATA(" Tot # Single Rnk New",'NEW Counts Pivot Table'!$A$3,"State","NC","Category2","Technical Institutes")</f>
        <v>0</v>
      </c>
    </row>
    <row r="87" spans="1:38" s="54" customFormat="1">
      <c r="A87" s="191"/>
      <c r="B87" s="192" t="s">
        <v>316</v>
      </c>
      <c r="C87" s="33">
        <f t="shared" si="30"/>
        <v>1</v>
      </c>
      <c r="D87" s="31">
        <f t="shared" si="30"/>
        <v>1</v>
      </c>
      <c r="E87" s="31">
        <f t="shared" si="30"/>
        <v>1</v>
      </c>
      <c r="F87" s="31">
        <f t="shared" si="30"/>
        <v>1</v>
      </c>
      <c r="G87" s="31">
        <f t="shared" si="30"/>
        <v>1</v>
      </c>
      <c r="H87" s="69">
        <f t="shared" si="30"/>
        <v>1</v>
      </c>
      <c r="I87" s="33">
        <f t="shared" si="30"/>
        <v>1</v>
      </c>
      <c r="J87" s="33">
        <f t="shared" si="30"/>
        <v>0</v>
      </c>
      <c r="K87" s="31">
        <f t="shared" si="30"/>
        <v>1</v>
      </c>
      <c r="L87" s="31">
        <f t="shared" si="30"/>
        <v>1</v>
      </c>
      <c r="M87" s="31">
        <f t="shared" si="31"/>
        <v>1</v>
      </c>
      <c r="N87" s="33">
        <f t="shared" si="32"/>
        <v>1</v>
      </c>
      <c r="O87" s="33">
        <f t="shared" si="32"/>
        <v>0</v>
      </c>
      <c r="P87" s="31">
        <f t="shared" si="32"/>
        <v>0</v>
      </c>
      <c r="Q87" s="69">
        <f t="shared" si="32"/>
        <v>0</v>
      </c>
      <c r="R87" s="33">
        <f t="shared" si="32"/>
        <v>0</v>
      </c>
      <c r="S87" s="88"/>
      <c r="T87" s="112">
        <f>+GETPIVOTDATA(" All Ranks # New",'NEW Counts Pivot Table'!$A$3,"State","NC","Category",1,"Category2","Four-Year")</f>
        <v>3426</v>
      </c>
      <c r="U87" s="113">
        <f>+GETPIVOTDATA(" All Ranks # New",'NEW Counts Pivot Table'!$A$3,"State","NC","Category",2,"Category2","Four-Year")</f>
        <v>1788</v>
      </c>
      <c r="V87" s="113">
        <f>+GETPIVOTDATA(" All Ranks # New",'NEW Counts Pivot Table'!$A$3,"State","NC","Category",3,"Category2","Four-Year")</f>
        <v>4107</v>
      </c>
      <c r="W87" s="113">
        <f>+GETPIVOTDATA(" All Ranks # New",'NEW Counts Pivot Table'!$A$3,"State","NC","Category",4,"Category2","Four-Year")</f>
        <v>277</v>
      </c>
      <c r="X87" s="113">
        <f>+GETPIVOTDATA(" All Ranks # New",'NEW Counts Pivot Table'!$A$3,"State","NC","Category",5,"Category2","Four-Year")</f>
        <v>672</v>
      </c>
      <c r="Y87" s="113">
        <f>+GETPIVOTDATA(" All Ranks # New",'NEW Counts Pivot Table'!$A$3,"State","NC","Category",6,"Category2","Four-Year")</f>
        <v>387</v>
      </c>
      <c r="Z87" s="115">
        <f>+GETPIVOTDATA(" All Ranks # New",'NEW Counts Pivot Table'!$A$3,"State","NC","Category2","Four-Year")</f>
        <v>10657</v>
      </c>
      <c r="AA87" s="112">
        <f>+GETPIVOTDATA(" All Ranks # New",'NEW Counts Pivot Table'!$A$3,"State","AR","Category",7,"Category2","Group2")</f>
        <v>0</v>
      </c>
      <c r="AB87" s="113">
        <f>+GETPIVOTDATA(" All Ranks # New",'NEW Counts Pivot Table'!$A$3,"State","AR","Category",8,"Category2","Group2")</f>
        <v>171</v>
      </c>
      <c r="AC87" s="113">
        <f>+GETPIVOTDATA(" All Ranks # New",'NEW Counts Pivot Table'!$A$3,"State","DE","Category",9,"Category2","Group2")</f>
        <v>300</v>
      </c>
      <c r="AD87" s="113">
        <f>+GETPIVOTDATA(" All Ranks # New",'NEW Counts Pivot Table'!$A$3,"State","DE","Category",10,"Category2","Group2")</f>
        <v>84</v>
      </c>
      <c r="AE87" s="113">
        <f>+GETPIVOTDATA(" All Ranks # New",'NEW Counts Pivot Table'!$A$3,"State","NC","Category","11","Category2","Group2")</f>
        <v>0</v>
      </c>
      <c r="AF87" s="114">
        <f>+GETPIVOTDATA(" All Ranks # New",'NEW Counts Pivot Table'!$A$3,"State","NC","Category2","Group2")</f>
        <v>6807</v>
      </c>
      <c r="AG87" s="112">
        <f>+GETPIVOTDATA(" All Ranks # New",'NEW Counts Pivot Table'!$A$3,"State","NC","Category",12,"Category2","Technical Institutes")</f>
        <v>0</v>
      </c>
      <c r="AH87" s="113">
        <f>+GETPIVOTDATA(" All Ranks # New",'NEW Counts Pivot Table'!$A$3,"State","NC","Category",13,"Category2","Technical Institutes")</f>
        <v>0</v>
      </c>
      <c r="AI87" s="114">
        <f>+GETPIVOTDATA(" All Ranks # New",'NEW Counts Pivot Table'!$A$3,"State","NC","Category",14,"Category2","Technical Institutes")</f>
        <v>0</v>
      </c>
      <c r="AJ87" s="112">
        <f>+GETPIVOTDATA(" All Ranks # New",'NEW Counts Pivot Table'!$A$3,"State","NC","Category2","Technical Institutes")</f>
        <v>0</v>
      </c>
      <c r="AK87" s="116"/>
      <c r="AL87" s="116"/>
    </row>
    <row r="88" spans="1:38">
      <c r="A88" s="38" t="s">
        <v>311</v>
      </c>
      <c r="B88" s="35" t="s">
        <v>332</v>
      </c>
      <c r="C88" s="36">
        <f t="shared" ref="C88:L94" si="33">IF(T$94&gt;0,(T88/T$94),0)</f>
        <v>0.33983422720624085</v>
      </c>
      <c r="D88" s="37">
        <f t="shared" si="33"/>
        <v>0</v>
      </c>
      <c r="E88" s="37">
        <f t="shared" si="33"/>
        <v>0.29705505761843792</v>
      </c>
      <c r="F88" s="37">
        <f t="shared" si="33"/>
        <v>0</v>
      </c>
      <c r="G88" s="37">
        <f t="shared" si="33"/>
        <v>0.21297297297297296</v>
      </c>
      <c r="H88" s="67">
        <f t="shared" si="33"/>
        <v>0.14953271028037382</v>
      </c>
      <c r="I88" s="36">
        <f t="shared" si="33"/>
        <v>0.29161420297154367</v>
      </c>
      <c r="J88" s="36">
        <f t="shared" si="33"/>
        <v>0</v>
      </c>
      <c r="K88" s="37">
        <f t="shared" si="33"/>
        <v>0</v>
      </c>
      <c r="L88" s="37">
        <f t="shared" si="33"/>
        <v>0</v>
      </c>
      <c r="M88" s="37">
        <f t="shared" ref="M88:M94" si="34">IF(AD$94&gt;0,(AD88/AD$94),0)</f>
        <v>0</v>
      </c>
      <c r="N88" s="36">
        <f t="shared" ref="N88:R94" si="35">IF(AF$94&gt;0,(AF88/AF$94),0)</f>
        <v>0</v>
      </c>
      <c r="O88" s="152">
        <f t="shared" si="35"/>
        <v>0</v>
      </c>
      <c r="P88" s="37">
        <f t="shared" si="35"/>
        <v>0</v>
      </c>
      <c r="Q88" s="67">
        <f t="shared" si="35"/>
        <v>0</v>
      </c>
      <c r="R88" s="152">
        <f t="shared" si="35"/>
        <v>0</v>
      </c>
      <c r="S88" s="117"/>
      <c r="T88" s="104">
        <f>+GETPIVOTDATA(" Total # Prof New",'NEW Counts Pivot Table'!$A$3,"State","OK","Category",1,"Category2","Four-Year")</f>
        <v>697</v>
      </c>
      <c r="U88" s="105">
        <f>+GETPIVOTDATA(" Total # Prof New",'NEW Counts Pivot Table'!$A$3,"State","OK","Category",2,"Category2","Four-Year")</f>
        <v>0</v>
      </c>
      <c r="V88" s="105">
        <f>+GETPIVOTDATA(" Total # Prof New",'NEW Counts Pivot Table'!$A$3,"State","OK","Category",3,"Category2","Four-Year")</f>
        <v>232</v>
      </c>
      <c r="W88" s="105">
        <f>+GETPIVOTDATA(" Total # Prof New",'NEW Counts Pivot Table'!$A$3,"State","OK","Category",4,"Category2","Four-Year")</f>
        <v>0</v>
      </c>
      <c r="X88" s="105">
        <f>+GETPIVOTDATA(" Total # Prof New",'NEW Counts Pivot Table'!$A$3,"State","OK","Category",5,"Category2","Four-Year")</f>
        <v>197</v>
      </c>
      <c r="Y88" s="105">
        <f>+GETPIVOTDATA(" Total # Prof New",'NEW Counts Pivot Table'!$A$3,"State","OK","Category",6,"Category2","Four-Year")</f>
        <v>32</v>
      </c>
      <c r="Z88" s="107">
        <f>+GETPIVOTDATA(" Total # Prof New",'NEW Counts Pivot Table'!$A$3,"State","OK","Category2","Four-Year")</f>
        <v>1158</v>
      </c>
      <c r="AA88" s="104">
        <f>+GETPIVOTDATA(" Total # Prof New",'NEW Counts Pivot Table'!$A$3,"State","AR","Category",7,"Category2","Group2")</f>
        <v>0</v>
      </c>
      <c r="AB88" s="105">
        <f>+GETPIVOTDATA(" Total # Prof New",'NEW Counts Pivot Table'!$A$3,"State","AR","Category",8,"Category2","Group2")</f>
        <v>0</v>
      </c>
      <c r="AC88" s="105">
        <f>+GETPIVOTDATA(" Total # Prof New",'NEW Counts Pivot Table'!$A$3,"State","DE","Category",9,"Category2","Group2")</f>
        <v>0</v>
      </c>
      <c r="AD88" s="105">
        <f>+GETPIVOTDATA(" Total # Prof New",'NEW Counts Pivot Table'!$A$3,"State","DE","Category",10,"Category2","Group2")</f>
        <v>0</v>
      </c>
      <c r="AE88" s="105">
        <f>+GETPIVOTDATA(" Total # Prof New",'NEW Counts Pivot Table'!$A$3,"State","OK","Category","11","Category2","Group2")</f>
        <v>0</v>
      </c>
      <c r="AF88" s="106">
        <f>+GETPIVOTDATA(" Total # Prof New",'NEW Counts Pivot Table'!$A$3,"State","OK","Category2","Group2")</f>
        <v>0</v>
      </c>
      <c r="AG88" s="104">
        <f>+GETPIVOTDATA(" Total # Prof New",'NEW Counts Pivot Table'!$A$3,"State","OK","Category",12,"Category2","Technical Institutes")</f>
        <v>0</v>
      </c>
      <c r="AH88" s="105">
        <f>+GETPIVOTDATA(" Total # Prof New",'NEW Counts Pivot Table'!$A$3,"State","OK","Category",13,"Category2","Technical Institutes")</f>
        <v>0</v>
      </c>
      <c r="AI88" s="106">
        <f>+GETPIVOTDATA(" Total # Prof New",'NEW Counts Pivot Table'!$A$3,"State","OK","Category",14,"Category2","Technical Institutes")</f>
        <v>0</v>
      </c>
      <c r="AJ88" s="104">
        <f>+GETPIVOTDATA(" Total # Prof New",'NEW Counts Pivot Table'!$A$3,"State","OK","Category2","Technical Institutes")</f>
        <v>0</v>
      </c>
    </row>
    <row r="89" spans="1:38">
      <c r="A89" s="30"/>
      <c r="B89" s="38" t="s">
        <v>333</v>
      </c>
      <c r="C89" s="32">
        <f t="shared" si="33"/>
        <v>0.27157484154071188</v>
      </c>
      <c r="D89" s="34">
        <f t="shared" si="33"/>
        <v>0</v>
      </c>
      <c r="E89" s="34">
        <f t="shared" si="33"/>
        <v>0.1946222791293214</v>
      </c>
      <c r="F89" s="34">
        <f t="shared" si="33"/>
        <v>0</v>
      </c>
      <c r="G89" s="34">
        <f t="shared" si="33"/>
        <v>0.20432432432432432</v>
      </c>
      <c r="H89" s="68">
        <f t="shared" si="33"/>
        <v>0.26168224299065418</v>
      </c>
      <c r="I89" s="32">
        <f t="shared" si="33"/>
        <v>0.24024175270712667</v>
      </c>
      <c r="J89" s="32">
        <f t="shared" si="33"/>
        <v>0</v>
      </c>
      <c r="K89" s="34">
        <f t="shared" si="33"/>
        <v>0</v>
      </c>
      <c r="L89" s="34">
        <f t="shared" si="33"/>
        <v>0</v>
      </c>
      <c r="M89" s="34">
        <f t="shared" si="34"/>
        <v>0</v>
      </c>
      <c r="N89" s="237">
        <f t="shared" si="35"/>
        <v>0</v>
      </c>
      <c r="O89" s="32">
        <f t="shared" si="35"/>
        <v>0</v>
      </c>
      <c r="P89" s="34">
        <f t="shared" si="35"/>
        <v>0</v>
      </c>
      <c r="Q89" s="68">
        <f t="shared" si="35"/>
        <v>0</v>
      </c>
      <c r="R89" s="32">
        <f t="shared" si="35"/>
        <v>0</v>
      </c>
      <c r="S89" s="87"/>
      <c r="T89" s="108">
        <f>+GETPIVOTDATA(" Tot # Asc. Prof New",'NEW Counts Pivot Table'!$A$3,"State","OK","Category",1,"Category2","Four-Year")</f>
        <v>557</v>
      </c>
      <c r="U89" s="109">
        <f>+GETPIVOTDATA(" Tot # Asc. Prof New",'NEW Counts Pivot Table'!$A$3,"State","OK","Category",2,"Category2","Four-Year")</f>
        <v>0</v>
      </c>
      <c r="V89" s="109">
        <f>+GETPIVOTDATA(" Tot # Asc. Prof New",'NEW Counts Pivot Table'!$A$3,"State","OK","Category",3,"Category2","Four-Year")</f>
        <v>152</v>
      </c>
      <c r="W89" s="109">
        <f>+GETPIVOTDATA(" Tot # Asc. Prof New",'NEW Counts Pivot Table'!$A$3,"State","OK","Category",4,"Category2","Four-Year")</f>
        <v>0</v>
      </c>
      <c r="X89" s="109">
        <f>+GETPIVOTDATA(" Tot # Asc. Prof New",'NEW Counts Pivot Table'!$A$3,"State","OK","Category",5,"Category2","Four-Year")</f>
        <v>189</v>
      </c>
      <c r="Y89" s="109">
        <f>+GETPIVOTDATA(" Tot # Asc. Prof New",'NEW Counts Pivot Table'!$A$3,"State","OK","Category",6,"Category2","Four-Year")</f>
        <v>56</v>
      </c>
      <c r="Z89" s="111">
        <f>+GETPIVOTDATA(" Tot # Asc. Prof New",'NEW Counts Pivot Table'!$A$3,"State","OK","Category2","Four-Year")</f>
        <v>954</v>
      </c>
      <c r="AA89" s="108">
        <f>+GETPIVOTDATA(" Tot # Asc. Prof New",'NEW Counts Pivot Table'!$A$3,"State","AR","Category",7,"Category2","Group2")</f>
        <v>0</v>
      </c>
      <c r="AB89" s="109">
        <f>+GETPIVOTDATA(" Tot # Asc. Prof New",'NEW Counts Pivot Table'!$A$3,"State","AR","Category",8,"Category2","Group2")</f>
        <v>0</v>
      </c>
      <c r="AC89" s="109">
        <f>+GETPIVOTDATA(" Tot # Asc. Prof New",'NEW Counts Pivot Table'!$A$3,"State","DE","Category",9,"Category2","Group2")</f>
        <v>0</v>
      </c>
      <c r="AD89" s="109">
        <f>+GETPIVOTDATA(" Tot # Asc. Prof New",'NEW Counts Pivot Table'!$A$3,"State","DE","Category",10,"Category2","Group2")</f>
        <v>0</v>
      </c>
      <c r="AE89" s="109">
        <f>+GETPIVOTDATA(" Tot # Asc. Prof New",'NEW Counts Pivot Table'!$A$3,"State","OK","Category","11","Category2","Group2")</f>
        <v>0</v>
      </c>
      <c r="AF89" s="110">
        <f>+GETPIVOTDATA(" Tot # Asc. Prof New",'NEW Counts Pivot Table'!$A$3,"State","OK","Category2","Group2")</f>
        <v>0</v>
      </c>
      <c r="AG89" s="108">
        <f>+GETPIVOTDATA(" Tot # Asc. Prof New",'NEW Counts Pivot Table'!$A$3,"State","OK","Category",12,"Category2","Technical Institutes")</f>
        <v>0</v>
      </c>
      <c r="AH89" s="109">
        <f>+GETPIVOTDATA(" Tot # Asc. Prof New",'NEW Counts Pivot Table'!$A$3,"State","OK","Category",13,"Category2","Technical Institutes")</f>
        <v>0</v>
      </c>
      <c r="AI89" s="110">
        <f>+GETPIVOTDATA(" Tot # Asc. Prof New",'NEW Counts Pivot Table'!$A$3,"State","OK","Category",14,"Category2","Technical Institutes")</f>
        <v>0</v>
      </c>
      <c r="AJ89" s="108">
        <f>+GETPIVOTDATA(" Tot # Asc. Prof New",'NEW Counts Pivot Table'!$A$3,"State","OK","Category2","Technical Institutes")</f>
        <v>0</v>
      </c>
    </row>
    <row r="90" spans="1:38">
      <c r="A90" s="30"/>
      <c r="B90" s="38" t="s">
        <v>334</v>
      </c>
      <c r="C90" s="32">
        <f t="shared" si="33"/>
        <v>0.24475865431496832</v>
      </c>
      <c r="D90" s="34">
        <f t="shared" si="33"/>
        <v>0</v>
      </c>
      <c r="E90" s="34">
        <f t="shared" si="33"/>
        <v>0.27528809218950062</v>
      </c>
      <c r="F90" s="34">
        <f t="shared" si="33"/>
        <v>0</v>
      </c>
      <c r="G90" s="34">
        <f t="shared" si="33"/>
        <v>0.28540540540540543</v>
      </c>
      <c r="H90" s="68">
        <f t="shared" si="33"/>
        <v>0.30841121495327101</v>
      </c>
      <c r="I90" s="32">
        <f t="shared" si="33"/>
        <v>0.26366154621002269</v>
      </c>
      <c r="J90" s="32">
        <f t="shared" si="33"/>
        <v>0</v>
      </c>
      <c r="K90" s="34">
        <f t="shared" si="33"/>
        <v>0</v>
      </c>
      <c r="L90" s="34">
        <f t="shared" si="33"/>
        <v>0</v>
      </c>
      <c r="M90" s="34">
        <f t="shared" si="34"/>
        <v>0</v>
      </c>
      <c r="N90" s="32">
        <f t="shared" si="35"/>
        <v>0</v>
      </c>
      <c r="O90" s="32">
        <f t="shared" si="35"/>
        <v>0</v>
      </c>
      <c r="P90" s="34">
        <f t="shared" si="35"/>
        <v>0</v>
      </c>
      <c r="Q90" s="68">
        <f t="shared" si="35"/>
        <v>0</v>
      </c>
      <c r="R90" s="32">
        <f t="shared" si="35"/>
        <v>0</v>
      </c>
      <c r="S90" s="87"/>
      <c r="T90" s="108">
        <f>+GETPIVOTDATA(" Tot # Ast. Prof New",'NEW Counts Pivot Table'!$A$3,"State","OK","Category",1,"Category2","Four-Year")</f>
        <v>502</v>
      </c>
      <c r="U90" s="109">
        <f>+GETPIVOTDATA(" Tot # Ast. Prof New",'NEW Counts Pivot Table'!$A$3,"State","OK","Category",2,"Category2","Four-Year")</f>
        <v>0</v>
      </c>
      <c r="V90" s="109">
        <f>+GETPIVOTDATA(" Tot # Ast. Prof New",'NEW Counts Pivot Table'!$A$3,"State","OK","Category",3,"Category2","Four-Year")</f>
        <v>215</v>
      </c>
      <c r="W90" s="109">
        <f>+GETPIVOTDATA(" Tot # Ast. Prof New",'NEW Counts Pivot Table'!$A$3,"State","OK","Category",4,"Category2","Four-Year")</f>
        <v>0</v>
      </c>
      <c r="X90" s="109">
        <f>+GETPIVOTDATA(" Tot # Ast. Prof New",'NEW Counts Pivot Table'!$A$3,"State","OK","Category",5,"Category2","Four-Year")</f>
        <v>264</v>
      </c>
      <c r="Y90" s="109">
        <f>+GETPIVOTDATA(" Tot # Ast. Prof New",'NEW Counts Pivot Table'!$A$3,"State","OK","Category",6,"Category2","Four-Year")</f>
        <v>66</v>
      </c>
      <c r="Z90" s="111">
        <f>+GETPIVOTDATA(" Tot # Ast. Prof New",'NEW Counts Pivot Table'!$A$3,"State","OK","Category2","Four-Year")</f>
        <v>1047</v>
      </c>
      <c r="AA90" s="108">
        <f>+GETPIVOTDATA(" Tot # Ast. Prof New",'NEW Counts Pivot Table'!$A$3,"State","AR","Category",7,"Category2","Group2")</f>
        <v>0</v>
      </c>
      <c r="AB90" s="109">
        <f>+GETPIVOTDATA(" Tot # Ast. Prof New",'NEW Counts Pivot Table'!$A$3,"State","AR","Category",8,"Category2","Group2")</f>
        <v>0</v>
      </c>
      <c r="AC90" s="109">
        <f>+GETPIVOTDATA(" Tot # Ast. Prof New",'NEW Counts Pivot Table'!$A$3,"State","DE","Category",9,"Category2","Group2")</f>
        <v>0</v>
      </c>
      <c r="AD90" s="109">
        <f>+GETPIVOTDATA(" Tot # Ast. Prof New",'NEW Counts Pivot Table'!$A$3,"State","DE","Category",10,"Category2","Group2")</f>
        <v>0</v>
      </c>
      <c r="AE90" s="109">
        <f>+GETPIVOTDATA(" Tot # Ast. Prof New",'NEW Counts Pivot Table'!$A$3,"State","OK","Category","11","Category2","Group2")</f>
        <v>0</v>
      </c>
      <c r="AF90" s="110">
        <f>+GETPIVOTDATA(" Tot # Ast. Prof New",'NEW Counts Pivot Table'!$A$3,"State","OK","Category2","Group2")</f>
        <v>0</v>
      </c>
      <c r="AG90" s="108">
        <f>+GETPIVOTDATA(" Tot # Ast. Prof New",'NEW Counts Pivot Table'!$A$3,"State","OK","Category",12,"Category2","Technical Institutes")</f>
        <v>0</v>
      </c>
      <c r="AH90" s="109">
        <f>+GETPIVOTDATA(" Tot # Ast. Prof New",'NEW Counts Pivot Table'!$A$3,"State","OK","Category",13,"Category2","Technical Institutes")</f>
        <v>0</v>
      </c>
      <c r="AI90" s="110">
        <f>+GETPIVOTDATA(" Tot # Ast. Prof New",'NEW Counts Pivot Table'!$A$3,"State","OK","Category",14,"Category2","Technical Institutes")</f>
        <v>0</v>
      </c>
      <c r="AJ90" s="108">
        <f>+GETPIVOTDATA(" Tot # Ast. Prof New",'NEW Counts Pivot Table'!$A$3,"State","OK","Category2","Technical Institutes")</f>
        <v>0</v>
      </c>
    </row>
    <row r="91" spans="1:38">
      <c r="A91" s="30"/>
      <c r="B91" s="38" t="s">
        <v>335</v>
      </c>
      <c r="C91" s="32">
        <f t="shared" si="33"/>
        <v>0.14383227693807898</v>
      </c>
      <c r="D91" s="34">
        <f t="shared" si="33"/>
        <v>0</v>
      </c>
      <c r="E91" s="34">
        <f t="shared" si="33"/>
        <v>0.23303457106274009</v>
      </c>
      <c r="F91" s="34">
        <f t="shared" si="33"/>
        <v>0</v>
      </c>
      <c r="G91" s="34">
        <f t="shared" si="33"/>
        <v>0.29729729729729731</v>
      </c>
      <c r="H91" s="68">
        <f t="shared" si="33"/>
        <v>0.28037383177570091</v>
      </c>
      <c r="I91" s="32">
        <f t="shared" si="33"/>
        <v>0.20448249811130698</v>
      </c>
      <c r="J91" s="32">
        <f t="shared" si="33"/>
        <v>0</v>
      </c>
      <c r="K91" s="34">
        <f t="shared" si="33"/>
        <v>0</v>
      </c>
      <c r="L91" s="34">
        <f t="shared" si="33"/>
        <v>0</v>
      </c>
      <c r="M91" s="34">
        <f t="shared" si="34"/>
        <v>0</v>
      </c>
      <c r="N91" s="32">
        <f t="shared" si="35"/>
        <v>0</v>
      </c>
      <c r="O91" s="32">
        <f t="shared" si="35"/>
        <v>0</v>
      </c>
      <c r="P91" s="34">
        <f t="shared" si="35"/>
        <v>0</v>
      </c>
      <c r="Q91" s="68">
        <f t="shared" si="35"/>
        <v>0</v>
      </c>
      <c r="R91" s="32">
        <f t="shared" si="35"/>
        <v>0</v>
      </c>
      <c r="S91" s="87"/>
      <c r="T91" s="108">
        <f>+GETPIVOTDATA(" Tot # Instr. New",'NEW Counts Pivot Table'!$A$3,"State","OK","Category",1,"Category2","Four-Year")</f>
        <v>295</v>
      </c>
      <c r="U91" s="109">
        <f>+GETPIVOTDATA(" Tot # Instr. New",'NEW Counts Pivot Table'!$A$3,"State","OK","Category",2,"Category2","Four-Year")</f>
        <v>0</v>
      </c>
      <c r="V91" s="109">
        <f>+GETPIVOTDATA(" Tot # Instr. New",'NEW Counts Pivot Table'!$A$3,"State","OK","Category",3,"Category2","Four-Year")</f>
        <v>182</v>
      </c>
      <c r="W91" s="109">
        <f>+GETPIVOTDATA(" Tot # Instr. New",'NEW Counts Pivot Table'!$A$3,"State","OK","Category",4,"Category2","Four-Year")</f>
        <v>0</v>
      </c>
      <c r="X91" s="109">
        <f>+GETPIVOTDATA(" Tot # Instr. New",'NEW Counts Pivot Table'!$A$3,"State","OK","Category",5,"Category2","Four-Year")</f>
        <v>275</v>
      </c>
      <c r="Y91" s="109">
        <f>+GETPIVOTDATA(" Tot # Instr. New",'NEW Counts Pivot Table'!$A$3,"State","OK","Category",6,"Category2","Four-Year")</f>
        <v>60</v>
      </c>
      <c r="Z91" s="111">
        <f>+GETPIVOTDATA(" Tot # Instr. New",'NEW Counts Pivot Table'!$A$3,"State","OK","Category2","Four-Year")</f>
        <v>812</v>
      </c>
      <c r="AA91" s="108">
        <f>+GETPIVOTDATA(" Tot # Instr. New",'NEW Counts Pivot Table'!$A$3,"State","AR","Category",7,"Category2","Group2")</f>
        <v>0</v>
      </c>
      <c r="AB91" s="109">
        <f>+GETPIVOTDATA(" Tot # Instr. New",'NEW Counts Pivot Table'!$A$3,"State","AR","Category",8,"Category2","Group2")</f>
        <v>0</v>
      </c>
      <c r="AC91" s="109">
        <f>+GETPIVOTDATA(" Tot # Instr. New",'NEW Counts Pivot Table'!$A$3,"State","DE","Category",9,"Category2","Group2")</f>
        <v>0</v>
      </c>
      <c r="AD91" s="109">
        <f>+GETPIVOTDATA(" Tot # Instr. New",'NEW Counts Pivot Table'!$A$3,"State","DE","Category",10,"Category2","Group2")</f>
        <v>0</v>
      </c>
      <c r="AE91" s="109">
        <f>+GETPIVOTDATA(" Tot # Instr. New",'NEW Counts Pivot Table'!$A$3,"State","OK","Category","11","Category2","Group2")</f>
        <v>0</v>
      </c>
      <c r="AF91" s="110">
        <f>+GETPIVOTDATA(" Tot # Instr. New",'NEW Counts Pivot Table'!$A$3,"State","OK","Category2","Group2")</f>
        <v>0</v>
      </c>
      <c r="AG91" s="108">
        <f>+GETPIVOTDATA(" Tot # Instr. New",'NEW Counts Pivot Table'!$A$3,"State","OK","Category",12,"Category2","Technical Institutes")</f>
        <v>0</v>
      </c>
      <c r="AH91" s="109">
        <f>+GETPIVOTDATA(" Tot # Instr. New",'NEW Counts Pivot Table'!$A$3,"State","OK","Category",13,"Category2","Technical Institutes")</f>
        <v>0</v>
      </c>
      <c r="AI91" s="110">
        <f>+GETPIVOTDATA(" Tot # Instr. New",'NEW Counts Pivot Table'!$A$3,"State","OK","Category",14,"Category2","Technical Institutes")</f>
        <v>0</v>
      </c>
      <c r="AJ91" s="108">
        <f>+GETPIVOTDATA(" Tot # Instr. New",'NEW Counts Pivot Table'!$A$3,"State","OK","Category2","Technical Institutes")</f>
        <v>0</v>
      </c>
    </row>
    <row r="92" spans="1:38">
      <c r="A92" s="30"/>
      <c r="B92" s="38" t="s">
        <v>315</v>
      </c>
      <c r="C92" s="32">
        <f t="shared" si="33"/>
        <v>0</v>
      </c>
      <c r="D92" s="34">
        <f t="shared" si="33"/>
        <v>0</v>
      </c>
      <c r="E92" s="34">
        <f t="shared" si="33"/>
        <v>0</v>
      </c>
      <c r="F92" s="34">
        <f t="shared" si="33"/>
        <v>0</v>
      </c>
      <c r="G92" s="34">
        <f t="shared" si="33"/>
        <v>0</v>
      </c>
      <c r="H92" s="68">
        <f t="shared" si="33"/>
        <v>0</v>
      </c>
      <c r="I92" s="32">
        <f t="shared" si="33"/>
        <v>0</v>
      </c>
      <c r="J92" s="32">
        <f t="shared" si="33"/>
        <v>0</v>
      </c>
      <c r="K92" s="34">
        <f t="shared" si="33"/>
        <v>0</v>
      </c>
      <c r="L92" s="34">
        <f t="shared" si="33"/>
        <v>0</v>
      </c>
      <c r="M92" s="34">
        <f t="shared" si="34"/>
        <v>0</v>
      </c>
      <c r="N92" s="32">
        <f t="shared" si="35"/>
        <v>0</v>
      </c>
      <c r="O92" s="32">
        <f t="shared" si="35"/>
        <v>0</v>
      </c>
      <c r="P92" s="34">
        <f t="shared" si="35"/>
        <v>0</v>
      </c>
      <c r="Q92" s="68">
        <f t="shared" si="35"/>
        <v>0</v>
      </c>
      <c r="R92" s="32">
        <f t="shared" si="35"/>
        <v>0</v>
      </c>
      <c r="S92" s="87"/>
      <c r="T92" s="108">
        <f>++GETPIVOTDATA(" Tot # Undes. New",'NEW Counts Pivot Table'!$A$3,"State","OK","Category",1,"Category2","Four-Year")</f>
        <v>0</v>
      </c>
      <c r="U92" s="109">
        <f>+GETPIVOTDATA(" Tot # Undes. New",'NEW Counts Pivot Table'!$A$3,"State","OK","Category",2,"Category2","Four-Year")</f>
        <v>0</v>
      </c>
      <c r="V92" s="109">
        <f>+GETPIVOTDATA(" Tot # Undes. New",'NEW Counts Pivot Table'!$A$3,"State","OK","Category",3,"Category2","Four-Year")</f>
        <v>0</v>
      </c>
      <c r="W92" s="109">
        <f>+GETPIVOTDATA(" Tot # Undes. New",'NEW Counts Pivot Table'!$A$3,"State","OK","Category",4,"Category2","Four-Year")</f>
        <v>0</v>
      </c>
      <c r="X92" s="109">
        <f>+GETPIVOTDATA(" Tot # Undes. New",'NEW Counts Pivot Table'!$A$3,"State","OK","Category",5,"Category2","Four-Year")</f>
        <v>0</v>
      </c>
      <c r="Y92" s="109">
        <f>+GETPIVOTDATA(" Tot # Undes. New",'NEW Counts Pivot Table'!$A$3,"State","OK","Category",6,"Category2","Four-Year")</f>
        <v>0</v>
      </c>
      <c r="Z92" s="111">
        <f>+GETPIVOTDATA(" Tot # Undes. New",'NEW Counts Pivot Table'!$A$3,"State","OK","Category2","Four-Year")</f>
        <v>0</v>
      </c>
      <c r="AA92" s="108">
        <f>+GETPIVOTDATA(" Tot # Undes. New",'NEW Counts Pivot Table'!$A$3,"State","AR","Category",7,"Category2","Group2")</f>
        <v>0</v>
      </c>
      <c r="AB92" s="109">
        <f>+GETPIVOTDATA(" Tot # Undes. New",'NEW Counts Pivot Table'!$A$3,"State","AR","Category",8,"Category2","Group2")</f>
        <v>0</v>
      </c>
      <c r="AC92" s="109">
        <f>+GETPIVOTDATA(" Tot # Undes. New",'NEW Counts Pivot Table'!$A$3,"State","DE","Category",9,"Category2","Group2")</f>
        <v>0</v>
      </c>
      <c r="AD92" s="109">
        <f>+GETPIVOTDATA(" Tot # Undes. New",'NEW Counts Pivot Table'!$A$3,"State","DE","Category",10,"Category2","Group2")</f>
        <v>0</v>
      </c>
      <c r="AE92" s="109">
        <f>+GETPIVOTDATA(" Tot # Undes. New",'NEW Counts Pivot Table'!$A$3,"State","OK","Category","11","Category2","Group2")</f>
        <v>0</v>
      </c>
      <c r="AF92" s="110">
        <f>+GETPIVOTDATA(" Tot # Undes. New",'NEW Counts Pivot Table'!$A$3,"State","OK","Category2","Group2")</f>
        <v>0</v>
      </c>
      <c r="AG92" s="108">
        <f>+GETPIVOTDATA(" Tot # Undes. New",'NEW Counts Pivot Table'!$A$3,"State","OK","Category",12,"Category2","Technical Institutes")</f>
        <v>0</v>
      </c>
      <c r="AH92" s="109">
        <f>+GETPIVOTDATA(" Tot # Undes. New",'NEW Counts Pivot Table'!$A$3,"State","OK","Category",13,"Category2","Technical Institutes")</f>
        <v>0</v>
      </c>
      <c r="AI92" s="110">
        <f>+GETPIVOTDATA(" Tot # Undes. New",'NEW Counts Pivot Table'!$A$3,"State","OK","Category",14,"Category2","Technical Institutes")</f>
        <v>0</v>
      </c>
      <c r="AJ92" s="108">
        <f>+GETPIVOTDATA(" Tot # Undes. New",'NEW Counts Pivot Table'!$A$3,"State","OK","Category2","Technical Institutes")</f>
        <v>0</v>
      </c>
    </row>
    <row r="93" spans="1:38">
      <c r="A93" s="30"/>
      <c r="B93" s="38" t="s">
        <v>314</v>
      </c>
      <c r="C93" s="32">
        <f t="shared" si="33"/>
        <v>0</v>
      </c>
      <c r="D93" s="34">
        <f t="shared" si="33"/>
        <v>0</v>
      </c>
      <c r="E93" s="185">
        <f t="shared" si="33"/>
        <v>0</v>
      </c>
      <c r="F93" s="34">
        <f t="shared" si="33"/>
        <v>0</v>
      </c>
      <c r="G93" s="185">
        <f t="shared" si="33"/>
        <v>0</v>
      </c>
      <c r="H93" s="68">
        <f t="shared" si="33"/>
        <v>0</v>
      </c>
      <c r="I93" s="184">
        <f t="shared" si="33"/>
        <v>0</v>
      </c>
      <c r="J93" s="32">
        <f t="shared" si="33"/>
        <v>0</v>
      </c>
      <c r="K93" s="34">
        <f t="shared" si="33"/>
        <v>1</v>
      </c>
      <c r="L93" s="34">
        <f t="shared" si="33"/>
        <v>1</v>
      </c>
      <c r="M93" s="34">
        <f t="shared" si="34"/>
        <v>1</v>
      </c>
      <c r="N93" s="32">
        <f t="shared" si="35"/>
        <v>1</v>
      </c>
      <c r="O93" s="32">
        <f t="shared" si="35"/>
        <v>1</v>
      </c>
      <c r="P93" s="34">
        <f t="shared" si="35"/>
        <v>1</v>
      </c>
      <c r="Q93" s="68">
        <f t="shared" si="35"/>
        <v>1</v>
      </c>
      <c r="R93" s="32">
        <f t="shared" si="35"/>
        <v>1</v>
      </c>
      <c r="S93" s="87"/>
      <c r="T93" s="108">
        <f>+GETPIVOTDATA(" Tot # Single Rnk New",'NEW Counts Pivot Table'!$A$3,"State","OK","Category",1,"Category2","Four-Year")</f>
        <v>0</v>
      </c>
      <c r="U93" s="109">
        <f>+GETPIVOTDATA(" Tot # Single Rnk New",'NEW Counts Pivot Table'!$A$3,"State","OK","Category",2,"Category2","Four-Year")</f>
        <v>0</v>
      </c>
      <c r="V93" s="109">
        <f>+GETPIVOTDATA(" Tot # Single Rnk New",'NEW Counts Pivot Table'!$A$3,"State","OK","Category",3,"Category2","Four-Year")</f>
        <v>0</v>
      </c>
      <c r="W93" s="109">
        <f>+GETPIVOTDATA(" Tot # Single Rnk New",'NEW Counts Pivot Table'!$A$3,"State","OK","Category",4,"Category2","Four-Year")</f>
        <v>0</v>
      </c>
      <c r="X93" s="109">
        <f>+GETPIVOTDATA(" Tot # Single Rnk New",'NEW Counts Pivot Table'!$A$3,"State","OK","Category",5,"Category2","Four-Year")</f>
        <v>0</v>
      </c>
      <c r="Y93" s="109">
        <f>+GETPIVOTDATA(" Tot # Single Rnk New",'NEW Counts Pivot Table'!$A$3,"State","OK","Category",6,"Category2","Four-Year")</f>
        <v>0</v>
      </c>
      <c r="Z93" s="111">
        <f>+GETPIVOTDATA(" Tot # Single Rnk New",'NEW Counts Pivot Table'!$A$3,"State","OK","Category2","Four-Year")</f>
        <v>0</v>
      </c>
      <c r="AA93" s="108">
        <f>+GETPIVOTDATA(" Tot # Single Rnk New",'NEW Counts Pivot Table'!$A$3,"State","AR","Category",7,"Category2","Group2")</f>
        <v>0</v>
      </c>
      <c r="AB93" s="109">
        <f>+GETPIVOTDATA(" Tot # Single Rnk New",'NEW Counts Pivot Table'!$A$3,"State","AR","Category",8,"Category2","Group2")</f>
        <v>171</v>
      </c>
      <c r="AC93" s="109">
        <f>+GETPIVOTDATA(" Tot # Single Rnk New",'NEW Counts Pivot Table'!$A$3,"State","DE","Category",9,"Category2","Group2")</f>
        <v>300</v>
      </c>
      <c r="AD93" s="109">
        <f>+GETPIVOTDATA(" Tot # Single Rnk New",'NEW Counts Pivot Table'!$A$3,"State","DE","Category",10,"Category2","Group2")</f>
        <v>84</v>
      </c>
      <c r="AE93" s="109">
        <f>+GETPIVOTDATA(" Tot # Single Rnk New",'NEW Counts Pivot Table'!$A$3,"State","OK","Category","11","Category2","Group2")</f>
        <v>0</v>
      </c>
      <c r="AF93" s="110">
        <f>+GETPIVOTDATA(" Tot # Single Rnk New",'NEW Counts Pivot Table'!$A$3,"State","OK","Category2","Group2")</f>
        <v>1236</v>
      </c>
      <c r="AG93" s="108">
        <f>+GETPIVOTDATA(" Tot # Single Rnk New",'NEW Counts Pivot Table'!$A$3,"State","OK","Category",12,"Category2","Technical Institutes")</f>
        <v>309</v>
      </c>
      <c r="AH93" s="109">
        <f>+GETPIVOTDATA(" Tot # Single Rnk New",'NEW Counts Pivot Table'!$A$3,"State","OK","Category",13,"Category2","Technical Institutes")</f>
        <v>814</v>
      </c>
      <c r="AI93" s="110">
        <f>+GETPIVOTDATA(" Tot # Single Rnk New",'NEW Counts Pivot Table'!$A$3,"State","OK","Category",14,"Category2","Technical Institutes")</f>
        <v>6</v>
      </c>
      <c r="AJ93" s="108">
        <f>+GETPIVOTDATA(" Tot # Single Rnk New",'NEW Counts Pivot Table'!$A$3,"State","OK","Category2","Technical Institutes")</f>
        <v>1129</v>
      </c>
    </row>
    <row r="94" spans="1:38" s="54" customFormat="1">
      <c r="A94" s="191"/>
      <c r="B94" s="192" t="s">
        <v>316</v>
      </c>
      <c r="C94" s="33">
        <f t="shared" si="33"/>
        <v>1</v>
      </c>
      <c r="D94" s="31">
        <f t="shared" si="33"/>
        <v>0</v>
      </c>
      <c r="E94" s="31">
        <f t="shared" si="33"/>
        <v>1</v>
      </c>
      <c r="F94" s="31">
        <f t="shared" si="33"/>
        <v>0</v>
      </c>
      <c r="G94" s="31">
        <f t="shared" si="33"/>
        <v>1</v>
      </c>
      <c r="H94" s="69">
        <f t="shared" si="33"/>
        <v>1</v>
      </c>
      <c r="I94" s="33">
        <f t="shared" si="33"/>
        <v>1</v>
      </c>
      <c r="J94" s="33">
        <f t="shared" si="33"/>
        <v>0</v>
      </c>
      <c r="K94" s="31">
        <f t="shared" si="33"/>
        <v>1</v>
      </c>
      <c r="L94" s="31">
        <f t="shared" si="33"/>
        <v>1</v>
      </c>
      <c r="M94" s="31">
        <f t="shared" si="34"/>
        <v>1</v>
      </c>
      <c r="N94" s="33">
        <f t="shared" si="35"/>
        <v>1</v>
      </c>
      <c r="O94" s="33">
        <f t="shared" si="35"/>
        <v>1</v>
      </c>
      <c r="P94" s="31">
        <f t="shared" si="35"/>
        <v>1</v>
      </c>
      <c r="Q94" s="69">
        <f t="shared" si="35"/>
        <v>1</v>
      </c>
      <c r="R94" s="33">
        <f t="shared" si="35"/>
        <v>1</v>
      </c>
      <c r="S94" s="88"/>
      <c r="T94" s="112">
        <f>+GETPIVOTDATA(" All Ranks # New",'NEW Counts Pivot Table'!$A$3,"State","OK","Category",1,"Category2","Four-Year")</f>
        <v>2051</v>
      </c>
      <c r="U94" s="113">
        <f>+GETPIVOTDATA(" All Ranks # New",'NEW Counts Pivot Table'!$A$3,"State","OK","Category",2,"Category2","Four-Year")</f>
        <v>0</v>
      </c>
      <c r="V94" s="113">
        <f>+GETPIVOTDATA(" All Ranks # New",'NEW Counts Pivot Table'!$A$3,"State","OK","Category",3,"Category2","Four-Year")</f>
        <v>781</v>
      </c>
      <c r="W94" s="113">
        <f>+GETPIVOTDATA(" All Ranks # New",'NEW Counts Pivot Table'!$A$3,"State","OK","Category",4,"Category2","Four-Year")</f>
        <v>0</v>
      </c>
      <c r="X94" s="113">
        <f>+GETPIVOTDATA(" All Ranks # New",'NEW Counts Pivot Table'!$A$3,"State","OK","Category",5,"Category2","Four-Year")</f>
        <v>925</v>
      </c>
      <c r="Y94" s="113">
        <f>+GETPIVOTDATA(" All Ranks # New",'NEW Counts Pivot Table'!$A$3,"State","OK","Category",6,"Category2","Four-Year")</f>
        <v>214</v>
      </c>
      <c r="Z94" s="115">
        <f>+GETPIVOTDATA(" All Ranks # New",'NEW Counts Pivot Table'!$A$3,"State","OK","Category2","Four-Year")</f>
        <v>3971</v>
      </c>
      <c r="AA94" s="112">
        <f>+GETPIVOTDATA(" All Ranks # New",'NEW Counts Pivot Table'!$A$3,"State","AR","Category",7,"Category2","Group2")</f>
        <v>0</v>
      </c>
      <c r="AB94" s="113">
        <f>+GETPIVOTDATA(" All Ranks # New",'NEW Counts Pivot Table'!$A$3,"State","AR","Category",8,"Category2","Group2")</f>
        <v>171</v>
      </c>
      <c r="AC94" s="113">
        <f>+GETPIVOTDATA(" All Ranks # New",'NEW Counts Pivot Table'!$A$3,"State","DE","Category",9,"Category2","Group2")</f>
        <v>300</v>
      </c>
      <c r="AD94" s="113">
        <f>+GETPIVOTDATA(" All Ranks # New",'NEW Counts Pivot Table'!$A$3,"State","DE","Category",10,"Category2","Group2")</f>
        <v>84</v>
      </c>
      <c r="AE94" s="113">
        <f>+GETPIVOTDATA(" All Ranks # New",'NEW Counts Pivot Table'!$A$3,"State","OK","Category","11","Category2","Group2")</f>
        <v>0</v>
      </c>
      <c r="AF94" s="114">
        <f>+GETPIVOTDATA(" All Ranks # New",'NEW Counts Pivot Table'!$A$3,"State","OK","Category2","Group2")</f>
        <v>1236</v>
      </c>
      <c r="AG94" s="112">
        <f>+GETPIVOTDATA(" All Ranks # New",'NEW Counts Pivot Table'!$A$3,"State","OK","Category",12,"Category2","Technical Institutes")</f>
        <v>309</v>
      </c>
      <c r="AH94" s="113">
        <f>+GETPIVOTDATA(" All Ranks # New",'NEW Counts Pivot Table'!$A$3,"State","OK","Category",13,"Category2","Technical Institutes")</f>
        <v>814</v>
      </c>
      <c r="AI94" s="114">
        <f>+GETPIVOTDATA(" All Ranks # New",'NEW Counts Pivot Table'!$A$3,"State","OK","Category",14,"Category2","Technical Institutes")</f>
        <v>6</v>
      </c>
      <c r="AJ94" s="112">
        <f>+GETPIVOTDATA(" All Ranks # New",'NEW Counts Pivot Table'!$A$3,"State","OK","Category2","Technical Institutes")</f>
        <v>1129</v>
      </c>
      <c r="AK94" s="116"/>
      <c r="AL94" s="116"/>
    </row>
    <row r="95" spans="1:38">
      <c r="A95" s="38" t="s">
        <v>346</v>
      </c>
      <c r="B95" s="35" t="s">
        <v>332</v>
      </c>
      <c r="C95" s="36">
        <f t="shared" ref="C95:L101" si="36">IF(T$101&gt;0,(T95/T$101),0)</f>
        <v>0.29986492570914003</v>
      </c>
      <c r="D95" s="37">
        <f t="shared" si="36"/>
        <v>0</v>
      </c>
      <c r="E95" s="37">
        <f t="shared" si="36"/>
        <v>0.24874371859296482</v>
      </c>
      <c r="F95" s="37">
        <f t="shared" si="36"/>
        <v>0.31176470588235294</v>
      </c>
      <c r="G95" s="37">
        <f t="shared" si="36"/>
        <v>0.21596858638743455</v>
      </c>
      <c r="H95" s="67">
        <f t="shared" si="36"/>
        <v>0.15352697095435686</v>
      </c>
      <c r="I95" s="36">
        <f t="shared" si="36"/>
        <v>0.26077148657793819</v>
      </c>
      <c r="J95" s="36">
        <f t="shared" si="36"/>
        <v>0</v>
      </c>
      <c r="K95" s="37">
        <f t="shared" si="36"/>
        <v>0</v>
      </c>
      <c r="L95" s="37">
        <f t="shared" si="36"/>
        <v>0</v>
      </c>
      <c r="M95" s="37">
        <f t="shared" ref="M95:M101" si="37">IF(AD$101&gt;0,(AD95/AD$101),0)</f>
        <v>0</v>
      </c>
      <c r="N95" s="36">
        <f t="shared" ref="N95:R101" si="38">IF(AF$101&gt;0,(AF95/AF$101),0)</f>
        <v>1.2676056338028169E-2</v>
      </c>
      <c r="O95" s="152">
        <f t="shared" si="38"/>
        <v>0</v>
      </c>
      <c r="P95" s="37">
        <f t="shared" si="38"/>
        <v>0</v>
      </c>
      <c r="Q95" s="67">
        <f t="shared" si="38"/>
        <v>0</v>
      </c>
      <c r="R95" s="152">
        <f t="shared" si="38"/>
        <v>0</v>
      </c>
      <c r="S95" s="117"/>
      <c r="T95" s="104">
        <f>+GETPIVOTDATA(" Total # Prof New",'NEW Counts Pivot Table'!$A$3,"State","SC","Category",1,"Category2","Four-Year")</f>
        <v>666</v>
      </c>
      <c r="U95" s="105">
        <f>+GETPIVOTDATA(" Total # Prof New",'NEW Counts Pivot Table'!$A$3,"State","SC","Category",2,"Category2","Four-Year")</f>
        <v>0</v>
      </c>
      <c r="V95" s="105">
        <f>+GETPIVOTDATA(" Total # Prof New",'NEW Counts Pivot Table'!$A$3,"State","SC","Category",3,"Category2","Four-Year")</f>
        <v>198</v>
      </c>
      <c r="W95" s="105">
        <f>+GETPIVOTDATA(" Total # Prof New",'NEW Counts Pivot Table'!$A$3,"State","SC","Category",4,"Category2","Four-Year")</f>
        <v>53</v>
      </c>
      <c r="X95" s="105">
        <f>+GETPIVOTDATA(" Total # Prof New",'NEW Counts Pivot Table'!$A$3,"State","SC","Category",5,"Category2","Four-Year")</f>
        <v>165</v>
      </c>
      <c r="Y95" s="105">
        <f>+GETPIVOTDATA(" Total # Prof New",'NEW Counts Pivot Table'!$A$3,"State","SC","Category",6,"Category2","Four-Year")</f>
        <v>74</v>
      </c>
      <c r="Z95" s="107">
        <f>+GETPIVOTDATA(" Total # Prof New",'NEW Counts Pivot Table'!$A$3,"State","SC","Category2","Four-Year")</f>
        <v>1156</v>
      </c>
      <c r="AA95" s="104">
        <f>+GETPIVOTDATA(" Total # Prof New",'NEW Counts Pivot Table'!$A$3,"State","AR","Category",7,"Category2","Group2")</f>
        <v>0</v>
      </c>
      <c r="AB95" s="105">
        <f>+GETPIVOTDATA(" Total # Prof New",'NEW Counts Pivot Table'!$A$3,"State","AR","Category",8,"Category2","Group2")</f>
        <v>0</v>
      </c>
      <c r="AC95" s="105">
        <f>+GETPIVOTDATA(" Total # Prof New",'NEW Counts Pivot Table'!$A$3,"State","DE","Category",9,"Category2","Group2")</f>
        <v>0</v>
      </c>
      <c r="AD95" s="105">
        <f>+GETPIVOTDATA(" Total # Prof New",'NEW Counts Pivot Table'!$A$3,"State","DE","Category",10,"Category2","Group2")</f>
        <v>0</v>
      </c>
      <c r="AE95" s="105">
        <f>+GETPIVOTDATA(" Total # Prof New",'NEW Counts Pivot Table'!$A$3,"State","SC","Category","11","Category2","Group2")</f>
        <v>0</v>
      </c>
      <c r="AF95" s="106">
        <f>+GETPIVOTDATA(" Total # Prof New",'NEW Counts Pivot Table'!$A$3,"State","SC","Category2","Group2")</f>
        <v>27</v>
      </c>
      <c r="AG95" s="104">
        <f>+GETPIVOTDATA(" Total # Prof New",'NEW Counts Pivot Table'!$A$3,"State","SC","Category",12,"Category2","Technical Institutes")</f>
        <v>0</v>
      </c>
      <c r="AH95" s="105">
        <f>+GETPIVOTDATA(" Total # Prof New",'NEW Counts Pivot Table'!$A$3,"State","SC","Category",13,"Category2","Technical Institutes")</f>
        <v>0</v>
      </c>
      <c r="AI95" s="106">
        <f>+GETPIVOTDATA(" Total # Prof New",'NEW Counts Pivot Table'!$A$3,"State","SC","Category",14,"Category2","Technical Institutes")</f>
        <v>0</v>
      </c>
      <c r="AJ95" s="104">
        <f>+GETPIVOTDATA(" Total # Prof New",'NEW Counts Pivot Table'!$A$3,"State","SC","Category2","Technical Institutes")</f>
        <v>0</v>
      </c>
    </row>
    <row r="96" spans="1:38">
      <c r="A96" s="30"/>
      <c r="B96" s="38" t="s">
        <v>333</v>
      </c>
      <c r="C96" s="32">
        <f t="shared" si="36"/>
        <v>0.26924808644754616</v>
      </c>
      <c r="D96" s="34">
        <f t="shared" si="36"/>
        <v>0</v>
      </c>
      <c r="E96" s="34">
        <f t="shared" si="36"/>
        <v>0.31281407035175879</v>
      </c>
      <c r="F96" s="34">
        <f t="shared" si="36"/>
        <v>0.3</v>
      </c>
      <c r="G96" s="34">
        <f t="shared" si="36"/>
        <v>0.23691099476439789</v>
      </c>
      <c r="H96" s="68">
        <f t="shared" si="36"/>
        <v>0.23029045643153526</v>
      </c>
      <c r="I96" s="32">
        <f t="shared" si="36"/>
        <v>0.26844123618317167</v>
      </c>
      <c r="J96" s="32">
        <f t="shared" si="36"/>
        <v>0</v>
      </c>
      <c r="K96" s="34">
        <f t="shared" si="36"/>
        <v>0</v>
      </c>
      <c r="L96" s="34">
        <f t="shared" si="36"/>
        <v>0</v>
      </c>
      <c r="M96" s="34">
        <f t="shared" si="37"/>
        <v>0</v>
      </c>
      <c r="N96" s="32">
        <f t="shared" si="38"/>
        <v>1.7840375586854459E-2</v>
      </c>
      <c r="O96" s="32">
        <f t="shared" si="38"/>
        <v>0</v>
      </c>
      <c r="P96" s="34">
        <f t="shared" si="38"/>
        <v>0</v>
      </c>
      <c r="Q96" s="68">
        <f t="shared" si="38"/>
        <v>0</v>
      </c>
      <c r="R96" s="32">
        <f t="shared" si="38"/>
        <v>0</v>
      </c>
      <c r="S96" s="87"/>
      <c r="T96" s="108">
        <f>+GETPIVOTDATA(" Tot # Asc. Prof New",'NEW Counts Pivot Table'!$A$3,"State","SC","Category",1,"Category2","Four-Year")</f>
        <v>598</v>
      </c>
      <c r="U96" s="109">
        <f>+GETPIVOTDATA(" Tot # Asc. Prof New",'NEW Counts Pivot Table'!$A$3,"State","SC","Category",2,"Category2","Four-Year")</f>
        <v>0</v>
      </c>
      <c r="V96" s="109">
        <f>+GETPIVOTDATA(" Tot # Asc. Prof New",'NEW Counts Pivot Table'!$A$3,"State","SC","Category",3,"Category2","Four-Year")</f>
        <v>249</v>
      </c>
      <c r="W96" s="109">
        <f>+GETPIVOTDATA(" Tot # Asc. Prof New",'NEW Counts Pivot Table'!$A$3,"State","SC","Category",4,"Category2","Four-Year")</f>
        <v>51</v>
      </c>
      <c r="X96" s="109">
        <f>+GETPIVOTDATA(" Tot # Asc. Prof New",'NEW Counts Pivot Table'!$A$3,"State","SC","Category",5,"Category2","Four-Year")</f>
        <v>181</v>
      </c>
      <c r="Y96" s="109">
        <f>+GETPIVOTDATA(" Tot # Asc. Prof New",'NEW Counts Pivot Table'!$A$3,"State","SC","Category",6,"Category2","Four-Year")</f>
        <v>111</v>
      </c>
      <c r="Z96" s="111">
        <f>+GETPIVOTDATA(" Tot # Asc. Prof New",'NEW Counts Pivot Table'!$A$3,"State","SC","Category2","Four-Year")</f>
        <v>1190</v>
      </c>
      <c r="AA96" s="108">
        <f>+GETPIVOTDATA(" Tot # Asc. Prof New",'NEW Counts Pivot Table'!$A$3,"State","AR","Category",7,"Category2","Group2")</f>
        <v>0</v>
      </c>
      <c r="AB96" s="109">
        <f>+GETPIVOTDATA(" Tot # Asc. Prof New",'NEW Counts Pivot Table'!$A$3,"State","AR","Category",8,"Category2","Group2")</f>
        <v>0</v>
      </c>
      <c r="AC96" s="109">
        <f>+GETPIVOTDATA(" Tot # Asc. Prof New",'NEW Counts Pivot Table'!$A$3,"State","DE","Category",9,"Category2","Group2")</f>
        <v>0</v>
      </c>
      <c r="AD96" s="109">
        <f>+GETPIVOTDATA(" Tot # Asc. Prof New",'NEW Counts Pivot Table'!$A$3,"State","DE","Category",10,"Category2","Group2")</f>
        <v>0</v>
      </c>
      <c r="AE96" s="109">
        <f>+GETPIVOTDATA(" Tot # Asc. Prof New",'NEW Counts Pivot Table'!$A$3,"State","SC","Category","11","Category2","Group2")</f>
        <v>0</v>
      </c>
      <c r="AF96" s="110">
        <f>+GETPIVOTDATA(" Tot # Asc. Prof New",'NEW Counts Pivot Table'!$A$3,"State","SC","Category2","Group2")</f>
        <v>38</v>
      </c>
      <c r="AG96" s="108">
        <f>+GETPIVOTDATA(" Tot # Asc. Prof New",'NEW Counts Pivot Table'!$A$3,"State","SC","Category",12,"Category2","Technical Institutes")</f>
        <v>0</v>
      </c>
      <c r="AH96" s="109">
        <f>+GETPIVOTDATA(" Tot # Asc. Prof New",'NEW Counts Pivot Table'!$A$3,"State","SC","Category",13,"Category2","Technical Institutes")</f>
        <v>0</v>
      </c>
      <c r="AI96" s="110">
        <f>+GETPIVOTDATA(" Tot # Asc. Prof New",'NEW Counts Pivot Table'!$A$3,"State","SC","Category",14,"Category2","Technical Institutes")</f>
        <v>0</v>
      </c>
      <c r="AJ96" s="108">
        <f>+GETPIVOTDATA(" Tot # Asc. Prof New",'NEW Counts Pivot Table'!$A$3,"State","SC","Category2","Technical Institutes")</f>
        <v>0</v>
      </c>
    </row>
    <row r="97" spans="1:38">
      <c r="A97" s="30"/>
      <c r="B97" s="38" t="s">
        <v>334</v>
      </c>
      <c r="C97" s="32">
        <f t="shared" si="36"/>
        <v>0.27059882935614588</v>
      </c>
      <c r="D97" s="34">
        <f t="shared" si="36"/>
        <v>0</v>
      </c>
      <c r="E97" s="34">
        <f t="shared" si="36"/>
        <v>0.32412060301507539</v>
      </c>
      <c r="F97" s="34">
        <f t="shared" si="36"/>
        <v>0.37647058823529411</v>
      </c>
      <c r="G97" s="34">
        <f t="shared" si="36"/>
        <v>0.37041884816753928</v>
      </c>
      <c r="H97" s="68">
        <f t="shared" si="36"/>
        <v>0.33402489626556015</v>
      </c>
      <c r="I97" s="32">
        <f t="shared" si="36"/>
        <v>0.30836905030453415</v>
      </c>
      <c r="J97" s="32">
        <f t="shared" si="36"/>
        <v>0</v>
      </c>
      <c r="K97" s="34">
        <f t="shared" si="36"/>
        <v>0</v>
      </c>
      <c r="L97" s="34">
        <f t="shared" si="36"/>
        <v>0</v>
      </c>
      <c r="M97" s="34">
        <f t="shared" si="37"/>
        <v>0</v>
      </c>
      <c r="N97" s="32">
        <f t="shared" si="38"/>
        <v>2.5352112676056339E-2</v>
      </c>
      <c r="O97" s="32">
        <f t="shared" si="38"/>
        <v>0</v>
      </c>
      <c r="P97" s="34">
        <f t="shared" si="38"/>
        <v>0</v>
      </c>
      <c r="Q97" s="68">
        <f t="shared" si="38"/>
        <v>0</v>
      </c>
      <c r="R97" s="32">
        <f t="shared" si="38"/>
        <v>0</v>
      </c>
      <c r="S97" s="87"/>
      <c r="T97" s="108">
        <f>+GETPIVOTDATA(" Tot # Ast. Prof New",'NEW Counts Pivot Table'!$A$3,"State","SC","Category",1,"Category2","Four-Year")</f>
        <v>601</v>
      </c>
      <c r="U97" s="109">
        <f>+GETPIVOTDATA(" Tot # Ast. Prof New",'NEW Counts Pivot Table'!$A$3,"State","SC","Category",2,"Category2","Four-Year")</f>
        <v>0</v>
      </c>
      <c r="V97" s="109">
        <f>+GETPIVOTDATA(" Tot # Ast. Prof New",'NEW Counts Pivot Table'!$A$3,"State","SC","Category",3,"Category2","Four-Year")</f>
        <v>258</v>
      </c>
      <c r="W97" s="109">
        <f>+GETPIVOTDATA(" Tot # Ast. Prof New",'NEW Counts Pivot Table'!$A$3,"State","SC","Category",4,"Category2","Four-Year")</f>
        <v>64</v>
      </c>
      <c r="X97" s="109">
        <f>+GETPIVOTDATA(" Tot # Ast. Prof New",'NEW Counts Pivot Table'!$A$3,"State","SC","Category",5,"Category2","Four-Year")</f>
        <v>283</v>
      </c>
      <c r="Y97" s="109">
        <f>+GETPIVOTDATA(" Tot # Ast. Prof New",'NEW Counts Pivot Table'!$A$3,"State","SC","Category",6,"Category2","Four-Year")</f>
        <v>161</v>
      </c>
      <c r="Z97" s="111">
        <f>+GETPIVOTDATA(" Tot # Ast. Prof New",'NEW Counts Pivot Table'!$A$3,"State","SC","Category2","Four-Year")</f>
        <v>1367</v>
      </c>
      <c r="AA97" s="108">
        <f>+GETPIVOTDATA(" Tot # Ast. Prof New",'NEW Counts Pivot Table'!$A$3,"State","AR","Category",7,"Category2","Group2")</f>
        <v>0</v>
      </c>
      <c r="AB97" s="109">
        <f>+GETPIVOTDATA(" Tot # Ast. Prof New",'NEW Counts Pivot Table'!$A$3,"State","AR","Category",8,"Category2","Group2")</f>
        <v>0</v>
      </c>
      <c r="AC97" s="109">
        <f>+GETPIVOTDATA(" Tot # Ast. Prof New",'NEW Counts Pivot Table'!$A$3,"State","DE","Category",9,"Category2","Group2")</f>
        <v>0</v>
      </c>
      <c r="AD97" s="109">
        <f>+GETPIVOTDATA(" Tot # Ast. Prof New",'NEW Counts Pivot Table'!$A$3,"State","DE","Category",10,"Category2","Group2")</f>
        <v>0</v>
      </c>
      <c r="AE97" s="109">
        <f>+GETPIVOTDATA(" Tot # Ast. Prof New",'NEW Counts Pivot Table'!$A$3,"State","SC","Category","11","Category2","Group2")</f>
        <v>0</v>
      </c>
      <c r="AF97" s="110">
        <f>+GETPIVOTDATA(" Tot # Ast. Prof New",'NEW Counts Pivot Table'!$A$3,"State","SC","Category2","Group2")</f>
        <v>54</v>
      </c>
      <c r="AG97" s="108">
        <f>+GETPIVOTDATA(" Tot # Ast. Prof New",'NEW Counts Pivot Table'!$A$3,"State","SC","Category",12,"Category2","Technical Institutes")</f>
        <v>0</v>
      </c>
      <c r="AH97" s="109">
        <f>+GETPIVOTDATA(" Tot # Ast. Prof New",'NEW Counts Pivot Table'!$A$3,"State","SC","Category",13,"Category2","Technical Institutes")</f>
        <v>0</v>
      </c>
      <c r="AI97" s="110">
        <f>+GETPIVOTDATA(" Tot # Ast. Prof New",'NEW Counts Pivot Table'!$A$3,"State","SC","Category",14,"Category2","Technical Institutes")</f>
        <v>0</v>
      </c>
      <c r="AJ97" s="108">
        <f>+GETPIVOTDATA(" Tot # Ast. Prof New",'NEW Counts Pivot Table'!$A$3,"State","SC","Category2","Technical Institutes")</f>
        <v>0</v>
      </c>
    </row>
    <row r="98" spans="1:38">
      <c r="A98" s="30"/>
      <c r="B98" s="38" t="s">
        <v>335</v>
      </c>
      <c r="C98" s="32">
        <f t="shared" si="36"/>
        <v>6.5285907248986946E-2</v>
      </c>
      <c r="D98" s="34">
        <f t="shared" si="36"/>
        <v>0</v>
      </c>
      <c r="E98" s="34">
        <f t="shared" si="36"/>
        <v>0.114321608040201</v>
      </c>
      <c r="F98" s="34">
        <f t="shared" si="36"/>
        <v>1.1764705882352941E-2</v>
      </c>
      <c r="G98" s="34">
        <f t="shared" si="36"/>
        <v>8.1151832460732987E-2</v>
      </c>
      <c r="H98" s="68">
        <f t="shared" si="36"/>
        <v>0.26970954356846472</v>
      </c>
      <c r="I98" s="32">
        <f t="shared" si="36"/>
        <v>9.6999774419129256E-2</v>
      </c>
      <c r="J98" s="32">
        <f t="shared" si="36"/>
        <v>0</v>
      </c>
      <c r="K98" s="34">
        <f t="shared" si="36"/>
        <v>0</v>
      </c>
      <c r="L98" s="34">
        <f t="shared" si="36"/>
        <v>0</v>
      </c>
      <c r="M98" s="34">
        <f t="shared" si="37"/>
        <v>0</v>
      </c>
      <c r="N98" s="32">
        <f t="shared" si="38"/>
        <v>3.0516431924882629E-2</v>
      </c>
      <c r="O98" s="32">
        <f t="shared" si="38"/>
        <v>0</v>
      </c>
      <c r="P98" s="34">
        <f t="shared" si="38"/>
        <v>0</v>
      </c>
      <c r="Q98" s="68">
        <f t="shared" si="38"/>
        <v>0</v>
      </c>
      <c r="R98" s="32">
        <f t="shared" si="38"/>
        <v>0</v>
      </c>
      <c r="S98" s="87"/>
      <c r="T98" s="108">
        <f>+GETPIVOTDATA(" Tot # Instr. New",'NEW Counts Pivot Table'!$A$3,"State","SC","Category",1,"Category2","Four-Year")</f>
        <v>145</v>
      </c>
      <c r="U98" s="109">
        <f>+GETPIVOTDATA(" Tot # Instr. New",'NEW Counts Pivot Table'!$A$3,"State","SC","Category",2,"Category2","Four-Year")</f>
        <v>0</v>
      </c>
      <c r="V98" s="109">
        <f>+GETPIVOTDATA(" Tot # Instr. New",'NEW Counts Pivot Table'!$A$3,"State","SC","Category",3,"Category2","Four-Year")</f>
        <v>91</v>
      </c>
      <c r="W98" s="109">
        <f>+GETPIVOTDATA(" Tot # Instr. New",'NEW Counts Pivot Table'!$A$3,"State","SC","Category",4,"Category2","Four-Year")</f>
        <v>2</v>
      </c>
      <c r="X98" s="109">
        <f>+GETPIVOTDATA(" Tot # Instr. New",'NEW Counts Pivot Table'!$A$3,"State","SC","Category",5,"Category2","Four-Year")</f>
        <v>62</v>
      </c>
      <c r="Y98" s="109">
        <f>+GETPIVOTDATA(" Tot # Instr. New",'NEW Counts Pivot Table'!$A$3,"State","SC","Category",6,"Category2","Four-Year")</f>
        <v>130</v>
      </c>
      <c r="Z98" s="111">
        <f>+GETPIVOTDATA(" Tot # Instr. New",'NEW Counts Pivot Table'!$A$3,"State","SC","Category2","Four-Year")</f>
        <v>430</v>
      </c>
      <c r="AA98" s="108">
        <f>+GETPIVOTDATA(" Tot # Instr. New",'NEW Counts Pivot Table'!$A$3,"State","AR","Category",7,"Category2","Group2")</f>
        <v>0</v>
      </c>
      <c r="AB98" s="109">
        <f>+GETPIVOTDATA(" Tot # Instr. New",'NEW Counts Pivot Table'!$A$3,"State","AR","Category",8,"Category2","Group2")</f>
        <v>0</v>
      </c>
      <c r="AC98" s="109">
        <f>+GETPIVOTDATA(" Tot # Instr. New",'NEW Counts Pivot Table'!$A$3,"State","DE","Category",9,"Category2","Group2")</f>
        <v>0</v>
      </c>
      <c r="AD98" s="109">
        <f>+GETPIVOTDATA(" Tot # Instr. New",'NEW Counts Pivot Table'!$A$3,"State","DE","Category",10,"Category2","Group2")</f>
        <v>0</v>
      </c>
      <c r="AE98" s="109">
        <f>+GETPIVOTDATA(" Tot # Instr. New",'NEW Counts Pivot Table'!$A$3,"State","SC","Category","11","Category2","Group2")</f>
        <v>0</v>
      </c>
      <c r="AF98" s="110">
        <f>+GETPIVOTDATA(" Tot # Instr. New",'NEW Counts Pivot Table'!$A$3,"State","SC","Category2","Group2")</f>
        <v>65</v>
      </c>
      <c r="AG98" s="108">
        <f>+GETPIVOTDATA(" Tot # Instr. New",'NEW Counts Pivot Table'!$A$3,"State","SC","Category",12,"Category2","Technical Institutes")</f>
        <v>0</v>
      </c>
      <c r="AH98" s="109">
        <f>+GETPIVOTDATA(" Tot # Instr. New",'NEW Counts Pivot Table'!$A$3,"State","SC","Category",13,"Category2","Technical Institutes")</f>
        <v>0</v>
      </c>
      <c r="AI98" s="110">
        <f>+GETPIVOTDATA(" Tot # Instr. New",'NEW Counts Pivot Table'!$A$3,"State","SC","Category",14,"Category2","Technical Institutes")</f>
        <v>0</v>
      </c>
      <c r="AJ98" s="108">
        <f>+GETPIVOTDATA(" Tot # Instr. New",'NEW Counts Pivot Table'!$A$3,"State","SC","Category2","Technical Institutes")</f>
        <v>0</v>
      </c>
    </row>
    <row r="99" spans="1:38">
      <c r="A99" s="30"/>
      <c r="B99" s="38" t="s">
        <v>315</v>
      </c>
      <c r="C99" s="32">
        <f t="shared" si="36"/>
        <v>9.5002251238180999E-2</v>
      </c>
      <c r="D99" s="34">
        <f t="shared" si="36"/>
        <v>0</v>
      </c>
      <c r="E99" s="34">
        <f t="shared" si="36"/>
        <v>0</v>
      </c>
      <c r="F99" s="34">
        <f t="shared" si="36"/>
        <v>0</v>
      </c>
      <c r="G99" s="34">
        <f t="shared" si="36"/>
        <v>9.5549738219895292E-2</v>
      </c>
      <c r="H99" s="68">
        <f t="shared" si="36"/>
        <v>1.2448132780082987E-2</v>
      </c>
      <c r="I99" s="32">
        <f t="shared" si="36"/>
        <v>6.541845251522671E-2</v>
      </c>
      <c r="J99" s="32">
        <f t="shared" si="36"/>
        <v>0</v>
      </c>
      <c r="K99" s="34">
        <f t="shared" si="36"/>
        <v>0</v>
      </c>
      <c r="L99" s="34">
        <f t="shared" si="36"/>
        <v>0</v>
      </c>
      <c r="M99" s="34">
        <f t="shared" si="37"/>
        <v>0</v>
      </c>
      <c r="N99" s="32">
        <f t="shared" si="38"/>
        <v>0.91361502347417844</v>
      </c>
      <c r="O99" s="32">
        <f t="shared" si="38"/>
        <v>0</v>
      </c>
      <c r="P99" s="34">
        <f t="shared" si="38"/>
        <v>0</v>
      </c>
      <c r="Q99" s="68">
        <f t="shared" si="38"/>
        <v>0</v>
      </c>
      <c r="R99" s="32">
        <f t="shared" si="38"/>
        <v>0</v>
      </c>
      <c r="S99" s="87"/>
      <c r="T99" s="108">
        <f>++GETPIVOTDATA(" Tot # Undes. New",'NEW Counts Pivot Table'!$A$3,"State","SC","Category",1,"Category2","Four-Year")</f>
        <v>211</v>
      </c>
      <c r="U99" s="109">
        <f>+GETPIVOTDATA(" Tot # Undes. New",'NEW Counts Pivot Table'!$A$3,"State","SC","Category",2,"Category2","Four-Year")</f>
        <v>0</v>
      </c>
      <c r="V99" s="109">
        <f>+GETPIVOTDATA(" Tot # Undes. New",'NEW Counts Pivot Table'!$A$3,"State","SC","Category",3,"Category2","Four-Year")</f>
        <v>0</v>
      </c>
      <c r="W99" s="109">
        <f>+GETPIVOTDATA(" Tot # Undes. New",'NEW Counts Pivot Table'!$A$3,"State","SC","Category",4,"Category2","Four-Year")</f>
        <v>0</v>
      </c>
      <c r="X99" s="109">
        <f>+GETPIVOTDATA(" Tot # Undes. New",'NEW Counts Pivot Table'!$A$3,"State","SC","Category",5,"Category2","Four-Year")</f>
        <v>73</v>
      </c>
      <c r="Y99" s="109">
        <f>+GETPIVOTDATA(" Tot # Undes. New",'NEW Counts Pivot Table'!$A$3,"State","SC","Category",6,"Category2","Four-Year")</f>
        <v>6</v>
      </c>
      <c r="Z99" s="111">
        <f>+GETPIVOTDATA(" Tot # Undes. New",'NEW Counts Pivot Table'!$A$3,"State","SC","Category2","Four-Year")</f>
        <v>290</v>
      </c>
      <c r="AA99" s="108">
        <f>+GETPIVOTDATA(" Tot # Undes. New",'NEW Counts Pivot Table'!$A$3,"State","AR","Category",7,"Category2","Group2")</f>
        <v>0</v>
      </c>
      <c r="AB99" s="109">
        <f>+GETPIVOTDATA(" Tot # Undes. New",'NEW Counts Pivot Table'!$A$3,"State","AR","Category",8,"Category2","Group2")</f>
        <v>0</v>
      </c>
      <c r="AC99" s="109">
        <f>+GETPIVOTDATA(" Tot # Undes. New",'NEW Counts Pivot Table'!$A$3,"State","DE","Category",9,"Category2","Group2")</f>
        <v>0</v>
      </c>
      <c r="AD99" s="109">
        <f>+GETPIVOTDATA(" Tot # Undes. New",'NEW Counts Pivot Table'!$A$3,"State","DE","Category",10,"Category2","Group2")</f>
        <v>0</v>
      </c>
      <c r="AE99" s="109">
        <f>+GETPIVOTDATA(" Tot # Undes. New",'NEW Counts Pivot Table'!$A$3,"State","SC","Category","11","Category2","Group2")</f>
        <v>0</v>
      </c>
      <c r="AF99" s="110">
        <f>+GETPIVOTDATA(" Tot # Undes. New",'NEW Counts Pivot Table'!$A$3,"State","SC","Category2","Group2")</f>
        <v>1946</v>
      </c>
      <c r="AG99" s="108">
        <f>+GETPIVOTDATA(" Tot # Undes. New",'NEW Counts Pivot Table'!$A$3,"State","SC","Category",12,"Category2","Technical Institutes")</f>
        <v>0</v>
      </c>
      <c r="AH99" s="109">
        <f>+GETPIVOTDATA(" Tot # Undes. New",'NEW Counts Pivot Table'!$A$3,"State","SC","Category",13,"Category2","Technical Institutes")</f>
        <v>0</v>
      </c>
      <c r="AI99" s="110">
        <f>+GETPIVOTDATA(" Tot # Undes. New",'NEW Counts Pivot Table'!$A$3,"State","SC","Category",14,"Category2","Technical Institutes")</f>
        <v>0</v>
      </c>
      <c r="AJ99" s="108">
        <f>+GETPIVOTDATA(" Tot # Undes. New",'NEW Counts Pivot Table'!$A$3,"State","SC","Category2","Technical Institutes")</f>
        <v>0</v>
      </c>
    </row>
    <row r="100" spans="1:38">
      <c r="A100" s="30"/>
      <c r="B100" s="38" t="s">
        <v>314</v>
      </c>
      <c r="C100" s="32">
        <f t="shared" si="36"/>
        <v>0</v>
      </c>
      <c r="D100" s="34">
        <f t="shared" si="36"/>
        <v>0</v>
      </c>
      <c r="E100" s="185">
        <f t="shared" si="36"/>
        <v>0</v>
      </c>
      <c r="F100" s="34">
        <f t="shared" si="36"/>
        <v>0</v>
      </c>
      <c r="G100" s="185">
        <f t="shared" si="36"/>
        <v>0</v>
      </c>
      <c r="H100" s="68">
        <f t="shared" si="36"/>
        <v>0</v>
      </c>
      <c r="I100" s="184">
        <f t="shared" si="36"/>
        <v>0</v>
      </c>
      <c r="J100" s="32">
        <f t="shared" si="36"/>
        <v>0</v>
      </c>
      <c r="K100" s="34">
        <f t="shared" si="36"/>
        <v>1</v>
      </c>
      <c r="L100" s="34">
        <f t="shared" si="36"/>
        <v>1</v>
      </c>
      <c r="M100" s="34">
        <f t="shared" si="37"/>
        <v>1</v>
      </c>
      <c r="N100" s="32">
        <f t="shared" si="38"/>
        <v>0</v>
      </c>
      <c r="O100" s="32">
        <f t="shared" si="38"/>
        <v>0</v>
      </c>
      <c r="P100" s="34">
        <f t="shared" si="38"/>
        <v>0</v>
      </c>
      <c r="Q100" s="68">
        <f t="shared" si="38"/>
        <v>0</v>
      </c>
      <c r="R100" s="32">
        <f t="shared" si="38"/>
        <v>0</v>
      </c>
      <c r="S100" s="87"/>
      <c r="T100" s="108">
        <f>+GETPIVOTDATA(" Tot # Single Rnk New",'NEW Counts Pivot Table'!$A$3,"State","SC","Category",1,"Category2","Four-Year")</f>
        <v>0</v>
      </c>
      <c r="U100" s="109">
        <f>+GETPIVOTDATA(" Tot # Single Rnk New",'NEW Counts Pivot Table'!$A$3,"State","SC","Category",2,"Category2","Four-Year")</f>
        <v>0</v>
      </c>
      <c r="V100" s="109">
        <f>+GETPIVOTDATA(" Tot # Single Rnk New",'NEW Counts Pivot Table'!$A$3,"State","SC","Category",3,"Category2","Four-Year")</f>
        <v>0</v>
      </c>
      <c r="W100" s="109">
        <f>+GETPIVOTDATA(" Tot # Single Rnk New",'NEW Counts Pivot Table'!$A$3,"State","SC","Category",4,"Category2","Four-Year")</f>
        <v>0</v>
      </c>
      <c r="X100" s="109">
        <f>+GETPIVOTDATA(" Tot # Single Rnk New",'NEW Counts Pivot Table'!$A$3,"State","SC","Category",5,"Category2","Four-Year")</f>
        <v>0</v>
      </c>
      <c r="Y100" s="109">
        <f>+GETPIVOTDATA(" Tot # Single Rnk New",'NEW Counts Pivot Table'!$A$3,"State","SC","Category",6,"Category2","Four-Year")</f>
        <v>0</v>
      </c>
      <c r="Z100" s="111">
        <f>+GETPIVOTDATA(" Tot # Single Rnk New",'NEW Counts Pivot Table'!$A$3,"State","SC","Category2","Four-Year")</f>
        <v>0</v>
      </c>
      <c r="AA100" s="108">
        <f>+GETPIVOTDATA(" Tot # Single Rnk New",'NEW Counts Pivot Table'!$A$3,"State","AR","Category",7,"Category2","Group2")</f>
        <v>0</v>
      </c>
      <c r="AB100" s="109">
        <f>+GETPIVOTDATA(" Tot # Single Rnk New",'NEW Counts Pivot Table'!$A$3,"State","AR","Category",8,"Category2","Group2")</f>
        <v>171</v>
      </c>
      <c r="AC100" s="109">
        <f>+GETPIVOTDATA(" Tot # Single Rnk New",'NEW Counts Pivot Table'!$A$3,"State","DE","Category",9,"Category2","Group2")</f>
        <v>300</v>
      </c>
      <c r="AD100" s="109">
        <f>+GETPIVOTDATA(" Tot # Single Rnk New",'NEW Counts Pivot Table'!$A$3,"State","DE","Category",10,"Category2","Group2")</f>
        <v>84</v>
      </c>
      <c r="AE100" s="109">
        <f>+GETPIVOTDATA(" Tot # Single Rnk New",'NEW Counts Pivot Table'!$A$3,"State","SC","Category","11","Category2","Group2")</f>
        <v>0</v>
      </c>
      <c r="AF100" s="110">
        <f>+GETPIVOTDATA(" Tot # Single Rnk New",'NEW Counts Pivot Table'!$A$3,"State","SC","Category2","Group2")</f>
        <v>0</v>
      </c>
      <c r="AG100" s="108">
        <f>+GETPIVOTDATA(" Tot # Single Rnk New",'NEW Counts Pivot Table'!$A$3,"State","SC","Category",12,"Category2","Technical Institutes")</f>
        <v>0</v>
      </c>
      <c r="AH100" s="109">
        <f>+GETPIVOTDATA(" Tot # Single Rnk New",'NEW Counts Pivot Table'!$A$3,"State","SC","Category",13,"Category2","Technical Institutes")</f>
        <v>0</v>
      </c>
      <c r="AI100" s="110">
        <f>+GETPIVOTDATA(" Tot # Single Rnk New",'NEW Counts Pivot Table'!$A$3,"State","SC","Category",14,"Category2","Technical Institutes")</f>
        <v>0</v>
      </c>
      <c r="AJ100" s="108">
        <f>+GETPIVOTDATA(" Tot # Single Rnk New",'NEW Counts Pivot Table'!$A$3,"State","SC","Category2","Technical Institutes")</f>
        <v>0</v>
      </c>
    </row>
    <row r="101" spans="1:38" s="54" customFormat="1">
      <c r="A101" s="191"/>
      <c r="B101" s="192" t="s">
        <v>316</v>
      </c>
      <c r="C101" s="33">
        <f t="shared" si="36"/>
        <v>1</v>
      </c>
      <c r="D101" s="31">
        <f t="shared" si="36"/>
        <v>0</v>
      </c>
      <c r="E101" s="31">
        <f t="shared" si="36"/>
        <v>1</v>
      </c>
      <c r="F101" s="31">
        <f t="shared" si="36"/>
        <v>1</v>
      </c>
      <c r="G101" s="31">
        <f t="shared" si="36"/>
        <v>1</v>
      </c>
      <c r="H101" s="69">
        <f t="shared" si="36"/>
        <v>1</v>
      </c>
      <c r="I101" s="33">
        <f t="shared" si="36"/>
        <v>1</v>
      </c>
      <c r="J101" s="33">
        <f t="shared" si="36"/>
        <v>0</v>
      </c>
      <c r="K101" s="31">
        <f t="shared" si="36"/>
        <v>1</v>
      </c>
      <c r="L101" s="31">
        <f t="shared" si="36"/>
        <v>1</v>
      </c>
      <c r="M101" s="31">
        <f t="shared" si="37"/>
        <v>1</v>
      </c>
      <c r="N101" s="33">
        <f t="shared" si="38"/>
        <v>1</v>
      </c>
      <c r="O101" s="33">
        <f t="shared" si="38"/>
        <v>0</v>
      </c>
      <c r="P101" s="31">
        <f t="shared" si="38"/>
        <v>0</v>
      </c>
      <c r="Q101" s="69">
        <f t="shared" si="38"/>
        <v>0</v>
      </c>
      <c r="R101" s="33">
        <f t="shared" si="38"/>
        <v>0</v>
      </c>
      <c r="S101" s="88"/>
      <c r="T101" s="112">
        <f>+GETPIVOTDATA(" All Ranks # New",'NEW Counts Pivot Table'!$A$3,"State","SC","Category",1,"Category2","Four-Year")</f>
        <v>2221</v>
      </c>
      <c r="U101" s="113">
        <f>+GETPIVOTDATA(" All Ranks # New",'NEW Counts Pivot Table'!$A$3,"State","SC","Category",2,"Category2","Four-Year")</f>
        <v>0</v>
      </c>
      <c r="V101" s="113">
        <f>+GETPIVOTDATA(" All Ranks # New",'NEW Counts Pivot Table'!$A$3,"State","SC","Category",3,"Category2","Four-Year")</f>
        <v>796</v>
      </c>
      <c r="W101" s="113">
        <f>+GETPIVOTDATA(" All Ranks # New",'NEW Counts Pivot Table'!$A$3,"State","SC","Category",4,"Category2","Four-Year")</f>
        <v>170</v>
      </c>
      <c r="X101" s="113">
        <f>+GETPIVOTDATA(" All Ranks # New",'NEW Counts Pivot Table'!$A$3,"State","SC","Category",5,"Category2","Four-Year")</f>
        <v>764</v>
      </c>
      <c r="Y101" s="113">
        <f>+GETPIVOTDATA(" All Ranks # New",'NEW Counts Pivot Table'!$A$3,"State","SC","Category",6,"Category2","Four-Year")</f>
        <v>482</v>
      </c>
      <c r="Z101" s="115">
        <f>+GETPIVOTDATA(" All Ranks # New",'NEW Counts Pivot Table'!$A$3,"State","SC","Category2","Four-Year")</f>
        <v>4433</v>
      </c>
      <c r="AA101" s="112">
        <f>+GETPIVOTDATA(" All Ranks # New",'NEW Counts Pivot Table'!$A$3,"State","AR","Category",7,"Category2","Group2")</f>
        <v>0</v>
      </c>
      <c r="AB101" s="113">
        <f>+GETPIVOTDATA(" All Ranks # New",'NEW Counts Pivot Table'!$A$3,"State","AR","Category",8,"Category2","Group2")</f>
        <v>171</v>
      </c>
      <c r="AC101" s="113">
        <f>+GETPIVOTDATA(" All Ranks # New",'NEW Counts Pivot Table'!$A$3,"State","DE","Category",9,"Category2","Group2")</f>
        <v>300</v>
      </c>
      <c r="AD101" s="113">
        <f>+GETPIVOTDATA(" All Ranks # New",'NEW Counts Pivot Table'!$A$3,"State","DE","Category",10,"Category2","Group2")</f>
        <v>84</v>
      </c>
      <c r="AE101" s="113">
        <f>+GETPIVOTDATA(" All Ranks # New",'NEW Counts Pivot Table'!$A$3,"State","SC","Category","11","Category2","Group2")</f>
        <v>0</v>
      </c>
      <c r="AF101" s="114">
        <f>+GETPIVOTDATA(" All Ranks # New",'NEW Counts Pivot Table'!$A$3,"State","SC","Category2","Group2")</f>
        <v>2130</v>
      </c>
      <c r="AG101" s="112">
        <f>+GETPIVOTDATA(" All Ranks # New",'NEW Counts Pivot Table'!$A$3,"State","SC","Category",12,"Category2","Technical Institutes")</f>
        <v>0</v>
      </c>
      <c r="AH101" s="113">
        <f>+GETPIVOTDATA(" All Ranks # New",'NEW Counts Pivot Table'!$A$3,"State","SC","Category",13,"Category2","Technical Institutes")</f>
        <v>0</v>
      </c>
      <c r="AI101" s="114">
        <f>+GETPIVOTDATA(" All Ranks # New",'NEW Counts Pivot Table'!$A$3,"State","SC","Category",14,"Category2","Technical Institutes")</f>
        <v>0</v>
      </c>
      <c r="AJ101" s="112">
        <f>+GETPIVOTDATA(" All Ranks # New",'NEW Counts Pivot Table'!$A$3,"State","SC","Category2","Technical Institutes")</f>
        <v>0</v>
      </c>
      <c r="AK101" s="116"/>
      <c r="AL101" s="116"/>
    </row>
    <row r="102" spans="1:38">
      <c r="A102" s="38" t="s">
        <v>310</v>
      </c>
      <c r="B102" s="35" t="s">
        <v>332</v>
      </c>
      <c r="C102" s="36">
        <f t="shared" ref="C102:L108" si="39">IF(T$108&gt;0,(T102/T$108),0)</f>
        <v>0.32051800890327803</v>
      </c>
      <c r="D102" s="37">
        <f t="shared" si="39"/>
        <v>0</v>
      </c>
      <c r="E102" s="37">
        <f t="shared" si="39"/>
        <v>0.32235294117647056</v>
      </c>
      <c r="F102" s="37">
        <f t="shared" si="39"/>
        <v>0</v>
      </c>
      <c r="G102" s="37">
        <f t="shared" si="39"/>
        <v>0.2805755395683453</v>
      </c>
      <c r="H102" s="67">
        <f t="shared" si="39"/>
        <v>0</v>
      </c>
      <c r="I102" s="36">
        <f t="shared" si="39"/>
        <v>0.3195317959468903</v>
      </c>
      <c r="J102" s="36">
        <f t="shared" si="39"/>
        <v>0</v>
      </c>
      <c r="K102" s="37">
        <f t="shared" si="39"/>
        <v>0</v>
      </c>
      <c r="L102" s="37">
        <f t="shared" si="39"/>
        <v>0</v>
      </c>
      <c r="M102" s="37">
        <f t="shared" ref="M102:M108" si="40">IF(AD$108&gt;0,(AD102/AD$108),0)</f>
        <v>0</v>
      </c>
      <c r="N102" s="36">
        <f t="shared" ref="N102:R108" si="41">IF(AF$108&gt;0,(AF102/AF$108),0)</f>
        <v>0.12548369264787176</v>
      </c>
      <c r="O102" s="152">
        <f t="shared" si="41"/>
        <v>0</v>
      </c>
      <c r="P102" s="37">
        <f t="shared" si="41"/>
        <v>0</v>
      </c>
      <c r="Q102" s="67">
        <f t="shared" si="41"/>
        <v>0</v>
      </c>
      <c r="R102" s="152">
        <f t="shared" si="41"/>
        <v>0</v>
      </c>
      <c r="S102" s="117"/>
      <c r="T102" s="104">
        <f>+GETPIVOTDATA(" Total # Prof New",'NEW Counts Pivot Table'!$A$3,"State","TN","Category",1,"Category2","Four-Year")</f>
        <v>792</v>
      </c>
      <c r="U102" s="105">
        <f>+GETPIVOTDATA(" Total # Prof New",'NEW Counts Pivot Table'!$A$3,"State","TN","Category",2,"Category2","Four-Year")</f>
        <v>0</v>
      </c>
      <c r="V102" s="105">
        <f>+GETPIVOTDATA(" Total # Prof New",'NEW Counts Pivot Table'!$A$3,"State","TN","Category",3,"Category2","Four-Year")</f>
        <v>959</v>
      </c>
      <c r="W102" s="105">
        <f>+GETPIVOTDATA(" Total # Prof New",'NEW Counts Pivot Table'!$A$3,"State","TN","Category",4,"Category2","Four-Year")</f>
        <v>0</v>
      </c>
      <c r="X102" s="105">
        <f>+GETPIVOTDATA(" Total # Prof New",'NEW Counts Pivot Table'!$A$3,"State","TN","Category",5,"Category2","Four-Year")</f>
        <v>78</v>
      </c>
      <c r="Y102" s="105">
        <f>+GETPIVOTDATA(" Total # Prof New",'NEW Counts Pivot Table'!$A$3,"State","TN","Category",6,"Category2","Four-Year")</f>
        <v>0</v>
      </c>
      <c r="Z102" s="107">
        <f>+GETPIVOTDATA(" Total # Prof New",'NEW Counts Pivot Table'!$A$3,"State","TN","Category2","Four-Year")</f>
        <v>1829</v>
      </c>
      <c r="AA102" s="104">
        <f>+GETPIVOTDATA(" Total # Prof New",'NEW Counts Pivot Table'!$A$3,"State","AR","Category",7,"Category2","Group2")</f>
        <v>0</v>
      </c>
      <c r="AB102" s="105">
        <f>+GETPIVOTDATA(" Total # Prof New",'NEW Counts Pivot Table'!$A$3,"State","AR","Category",8,"Category2","Group2")</f>
        <v>0</v>
      </c>
      <c r="AC102" s="105">
        <f>+GETPIVOTDATA(" Total # Prof New",'NEW Counts Pivot Table'!$A$3,"State","DE","Category",9,"Category2","Group2")</f>
        <v>0</v>
      </c>
      <c r="AD102" s="105">
        <f>+GETPIVOTDATA(" Total # Prof New",'NEW Counts Pivot Table'!$A$3,"State","DE","Category",10,"Category2","Group2")</f>
        <v>0</v>
      </c>
      <c r="AE102" s="105">
        <f>+GETPIVOTDATA(" Total # Prof New",'NEW Counts Pivot Table'!$A$3,"State","TN","Category","11","Category2","Group2")</f>
        <v>0</v>
      </c>
      <c r="AF102" s="106">
        <f>+GETPIVOTDATA(" Total # Prof New",'NEW Counts Pivot Table'!$A$3,"State","TN","Category2","Group2")</f>
        <v>227</v>
      </c>
      <c r="AG102" s="104">
        <f>+GETPIVOTDATA(" Total # Prof New",'NEW Counts Pivot Table'!$A$3,"State","TN","Category",12,"Category2","Technical Institutes")</f>
        <v>0</v>
      </c>
      <c r="AH102" s="105">
        <f>+GETPIVOTDATA(" Total # Prof New",'NEW Counts Pivot Table'!$A$3,"State","TN","Category",13,"Category2","Technical Institutes")</f>
        <v>0</v>
      </c>
      <c r="AI102" s="106">
        <f>+GETPIVOTDATA(" Total # Prof New",'NEW Counts Pivot Table'!$A$3,"State","TN","Category",14,"Category2","Technical Institutes")</f>
        <v>0</v>
      </c>
      <c r="AJ102" s="104">
        <f>+GETPIVOTDATA(" Total # Prof New",'NEW Counts Pivot Table'!$A$3,"State","TN","Category2","Technical Institutes")</f>
        <v>0</v>
      </c>
    </row>
    <row r="103" spans="1:38">
      <c r="A103" s="30"/>
      <c r="B103" s="38" t="s">
        <v>333</v>
      </c>
      <c r="C103" s="32">
        <f t="shared" si="39"/>
        <v>0.26669364629704573</v>
      </c>
      <c r="D103" s="34">
        <f t="shared" si="39"/>
        <v>0</v>
      </c>
      <c r="E103" s="34">
        <f t="shared" si="39"/>
        <v>0.25949579831932773</v>
      </c>
      <c r="F103" s="34">
        <f t="shared" si="39"/>
        <v>0</v>
      </c>
      <c r="G103" s="34">
        <f t="shared" si="39"/>
        <v>0.20503597122302158</v>
      </c>
      <c r="H103" s="68">
        <f t="shared" si="39"/>
        <v>0</v>
      </c>
      <c r="I103" s="32">
        <f t="shared" si="39"/>
        <v>0.25995807127882598</v>
      </c>
      <c r="J103" s="32">
        <f t="shared" si="39"/>
        <v>0</v>
      </c>
      <c r="K103" s="34">
        <f t="shared" si="39"/>
        <v>0</v>
      </c>
      <c r="L103" s="34">
        <f t="shared" si="39"/>
        <v>0</v>
      </c>
      <c r="M103" s="34">
        <f t="shared" si="40"/>
        <v>0</v>
      </c>
      <c r="N103" s="32">
        <f t="shared" si="41"/>
        <v>0.43228302929795465</v>
      </c>
      <c r="O103" s="32">
        <f t="shared" si="41"/>
        <v>0</v>
      </c>
      <c r="P103" s="34">
        <f t="shared" si="41"/>
        <v>0</v>
      </c>
      <c r="Q103" s="68">
        <f t="shared" si="41"/>
        <v>0</v>
      </c>
      <c r="R103" s="32">
        <f t="shared" si="41"/>
        <v>0</v>
      </c>
      <c r="S103" s="87"/>
      <c r="T103" s="108">
        <f>+GETPIVOTDATA(" Tot # Asc. Prof New",'NEW Counts Pivot Table'!$A$3,"State","TN","Category",1,"Category2","Four-Year")</f>
        <v>659</v>
      </c>
      <c r="U103" s="109">
        <f>+GETPIVOTDATA(" Tot # Asc. Prof New",'NEW Counts Pivot Table'!$A$3,"State","TN","Category",2,"Category2","Four-Year")</f>
        <v>0</v>
      </c>
      <c r="V103" s="109">
        <f>+GETPIVOTDATA(" Tot # Asc. Prof New",'NEW Counts Pivot Table'!$A$3,"State","TN","Category",3,"Category2","Four-Year")</f>
        <v>772</v>
      </c>
      <c r="W103" s="109">
        <f>+GETPIVOTDATA(" Tot # Asc. Prof New",'NEW Counts Pivot Table'!$A$3,"State","TN","Category",4,"Category2","Four-Year")</f>
        <v>0</v>
      </c>
      <c r="X103" s="109">
        <f>+GETPIVOTDATA(" Tot # Asc. Prof New",'NEW Counts Pivot Table'!$A$3,"State","TN","Category",5,"Category2","Four-Year")</f>
        <v>57</v>
      </c>
      <c r="Y103" s="109">
        <f>+GETPIVOTDATA(" Tot # Asc. Prof New",'NEW Counts Pivot Table'!$A$3,"State","TN","Category",6,"Category2","Four-Year")</f>
        <v>0</v>
      </c>
      <c r="Z103" s="111">
        <f>+GETPIVOTDATA(" Tot # Asc. Prof New",'NEW Counts Pivot Table'!$A$3,"State","TN","Category2","Four-Year")</f>
        <v>1488</v>
      </c>
      <c r="AA103" s="108">
        <f>+GETPIVOTDATA(" Tot # Asc. Prof New",'NEW Counts Pivot Table'!$A$3,"State","AR","Category",7,"Category2","Group2")</f>
        <v>0</v>
      </c>
      <c r="AB103" s="109">
        <f>+GETPIVOTDATA(" Tot # Asc. Prof New",'NEW Counts Pivot Table'!$A$3,"State","AR","Category",8,"Category2","Group2")</f>
        <v>0</v>
      </c>
      <c r="AC103" s="109">
        <f>+GETPIVOTDATA(" Tot # Asc. Prof New",'NEW Counts Pivot Table'!$A$3,"State","DE","Category",9,"Category2","Group2")</f>
        <v>0</v>
      </c>
      <c r="AD103" s="109">
        <f>+GETPIVOTDATA(" Tot # Asc. Prof New",'NEW Counts Pivot Table'!$A$3,"State","DE","Category",10,"Category2","Group2")</f>
        <v>0</v>
      </c>
      <c r="AE103" s="109">
        <f>+GETPIVOTDATA(" Tot # Asc. Prof New",'NEW Counts Pivot Table'!$A$3,"State","TN","Category","11","Category2","Group2")</f>
        <v>0</v>
      </c>
      <c r="AF103" s="110">
        <f>+GETPIVOTDATA(" Tot # Asc. Prof New",'NEW Counts Pivot Table'!$A$3,"State","TN","Category2","Group2")</f>
        <v>782</v>
      </c>
      <c r="AG103" s="108">
        <f>+GETPIVOTDATA(" Tot # Asc. Prof New",'NEW Counts Pivot Table'!$A$3,"State","TN","Category",12,"Category2","Technical Institutes")</f>
        <v>0</v>
      </c>
      <c r="AH103" s="109">
        <f>+GETPIVOTDATA(" Tot # Asc. Prof New",'NEW Counts Pivot Table'!$A$3,"State","TN","Category",13,"Category2","Technical Institutes")</f>
        <v>0</v>
      </c>
      <c r="AI103" s="110">
        <f>+GETPIVOTDATA(" Tot # Asc. Prof New",'NEW Counts Pivot Table'!$A$3,"State","TN","Category",14,"Category2","Technical Institutes")</f>
        <v>0</v>
      </c>
      <c r="AJ103" s="108">
        <f>+GETPIVOTDATA(" Tot # Asc. Prof New",'NEW Counts Pivot Table'!$A$3,"State","TN","Category2","Technical Institutes")</f>
        <v>0</v>
      </c>
    </row>
    <row r="104" spans="1:38">
      <c r="A104" s="30"/>
      <c r="B104" s="38" t="s">
        <v>334</v>
      </c>
      <c r="C104" s="32">
        <f t="shared" si="39"/>
        <v>0.24281667341157426</v>
      </c>
      <c r="D104" s="34">
        <f t="shared" si="39"/>
        <v>0</v>
      </c>
      <c r="E104" s="34">
        <f t="shared" si="39"/>
        <v>0.27663865546218486</v>
      </c>
      <c r="F104" s="34">
        <f t="shared" si="39"/>
        <v>0</v>
      </c>
      <c r="G104" s="34">
        <f t="shared" si="39"/>
        <v>0.29136690647482016</v>
      </c>
      <c r="H104" s="68">
        <f t="shared" si="39"/>
        <v>0</v>
      </c>
      <c r="I104" s="32">
        <f t="shared" si="39"/>
        <v>0.26275331935709295</v>
      </c>
      <c r="J104" s="32">
        <f t="shared" si="39"/>
        <v>0</v>
      </c>
      <c r="K104" s="34">
        <f t="shared" si="39"/>
        <v>0</v>
      </c>
      <c r="L104" s="34">
        <f t="shared" si="39"/>
        <v>0</v>
      </c>
      <c r="M104" s="34">
        <f t="shared" si="40"/>
        <v>0</v>
      </c>
      <c r="N104" s="32">
        <f t="shared" si="41"/>
        <v>0.20121614151464898</v>
      </c>
      <c r="O104" s="32">
        <f t="shared" si="41"/>
        <v>0</v>
      </c>
      <c r="P104" s="34">
        <f t="shared" si="41"/>
        <v>0</v>
      </c>
      <c r="Q104" s="68">
        <f t="shared" si="41"/>
        <v>0</v>
      </c>
      <c r="R104" s="32">
        <f t="shared" si="41"/>
        <v>0</v>
      </c>
      <c r="S104" s="87"/>
      <c r="T104" s="108">
        <f>+GETPIVOTDATA(" Tot # Ast. Prof New",'NEW Counts Pivot Table'!$A$3,"State","TN","Category",1,"Category2","Four-Year")</f>
        <v>600</v>
      </c>
      <c r="U104" s="109">
        <f>+GETPIVOTDATA(" Tot # Ast. Prof New",'NEW Counts Pivot Table'!$A$3,"State","TN","Category",2,"Category2","Four-Year")</f>
        <v>0</v>
      </c>
      <c r="V104" s="109">
        <f>+GETPIVOTDATA(" Tot # Ast. Prof New",'NEW Counts Pivot Table'!$A$3,"State","TN","Category",3,"Category2","Four-Year")</f>
        <v>823</v>
      </c>
      <c r="W104" s="109">
        <f>+GETPIVOTDATA(" Tot # Ast. Prof New",'NEW Counts Pivot Table'!$A$3,"State","TN","Category",4,"Category2","Four-Year")</f>
        <v>0</v>
      </c>
      <c r="X104" s="109">
        <f>+GETPIVOTDATA(" Tot # Ast. Prof New",'NEW Counts Pivot Table'!$A$3,"State","TN","Category",5,"Category2","Four-Year")</f>
        <v>81</v>
      </c>
      <c r="Y104" s="109">
        <f>+GETPIVOTDATA(" Tot # Ast. Prof New",'NEW Counts Pivot Table'!$A$3,"State","TN","Category",6,"Category2","Four-Year")</f>
        <v>0</v>
      </c>
      <c r="Z104" s="111">
        <f>+GETPIVOTDATA(" Tot # Ast. Prof New",'NEW Counts Pivot Table'!$A$3,"State","TN","Category2","Four-Year")</f>
        <v>1504</v>
      </c>
      <c r="AA104" s="108">
        <f>+GETPIVOTDATA(" Tot # Ast. Prof New",'NEW Counts Pivot Table'!$A$3,"State","AR","Category",7,"Category2","Group2")</f>
        <v>0</v>
      </c>
      <c r="AB104" s="109">
        <f>+GETPIVOTDATA(" Tot # Ast. Prof New",'NEW Counts Pivot Table'!$A$3,"State","AR","Category",8,"Category2","Group2")</f>
        <v>0</v>
      </c>
      <c r="AC104" s="109">
        <f>+GETPIVOTDATA(" Tot # Ast. Prof New",'NEW Counts Pivot Table'!$A$3,"State","DE","Category",9,"Category2","Group2")</f>
        <v>0</v>
      </c>
      <c r="AD104" s="109">
        <f>+GETPIVOTDATA(" Tot # Ast. Prof New",'NEW Counts Pivot Table'!$A$3,"State","DE","Category",10,"Category2","Group2")</f>
        <v>0</v>
      </c>
      <c r="AE104" s="109">
        <f>+GETPIVOTDATA(" Tot # Ast. Prof New",'NEW Counts Pivot Table'!$A$3,"State","TN","Category","11","Category2","Group2")</f>
        <v>0</v>
      </c>
      <c r="AF104" s="110">
        <f>+GETPIVOTDATA(" Tot # Ast. Prof New",'NEW Counts Pivot Table'!$A$3,"State","TN","Category2","Group2")</f>
        <v>364</v>
      </c>
      <c r="AG104" s="108">
        <f>+GETPIVOTDATA(" Tot # Ast. Prof New",'NEW Counts Pivot Table'!$A$3,"State","TN","Category",12,"Category2","Technical Institutes")</f>
        <v>0</v>
      </c>
      <c r="AH104" s="109">
        <f>+GETPIVOTDATA(" Tot # Ast. Prof New",'NEW Counts Pivot Table'!$A$3,"State","TN","Category",13,"Category2","Technical Institutes")</f>
        <v>0</v>
      </c>
      <c r="AI104" s="110">
        <f>+GETPIVOTDATA(" Tot # Ast. Prof New",'NEW Counts Pivot Table'!$A$3,"State","TN","Category",14,"Category2","Technical Institutes")</f>
        <v>0</v>
      </c>
      <c r="AJ104" s="108">
        <f>+GETPIVOTDATA(" Tot # Ast. Prof New",'NEW Counts Pivot Table'!$A$3,"State","TN","Category2","Technical Institutes")</f>
        <v>0</v>
      </c>
    </row>
    <row r="105" spans="1:38">
      <c r="A105" s="30"/>
      <c r="B105" s="38" t="s">
        <v>335</v>
      </c>
      <c r="C105" s="32">
        <f t="shared" si="39"/>
        <v>5.7871307163091863E-2</v>
      </c>
      <c r="D105" s="34">
        <f t="shared" si="39"/>
        <v>0</v>
      </c>
      <c r="E105" s="34">
        <f t="shared" si="39"/>
        <v>9.1764705882352943E-2</v>
      </c>
      <c r="F105" s="34">
        <f t="shared" si="39"/>
        <v>0</v>
      </c>
      <c r="G105" s="34">
        <f t="shared" si="39"/>
        <v>6.1151079136690649E-2</v>
      </c>
      <c r="H105" s="68">
        <f t="shared" si="39"/>
        <v>0</v>
      </c>
      <c r="I105" s="32">
        <f t="shared" si="39"/>
        <v>7.5646401118099227E-2</v>
      </c>
      <c r="J105" s="32">
        <f t="shared" si="39"/>
        <v>0</v>
      </c>
      <c r="K105" s="34">
        <f t="shared" si="39"/>
        <v>0</v>
      </c>
      <c r="L105" s="34">
        <f t="shared" si="39"/>
        <v>0</v>
      </c>
      <c r="M105" s="34">
        <f t="shared" si="40"/>
        <v>0</v>
      </c>
      <c r="N105" s="32">
        <f t="shared" si="41"/>
        <v>0.23659480375898287</v>
      </c>
      <c r="O105" s="32">
        <f t="shared" si="41"/>
        <v>0</v>
      </c>
      <c r="P105" s="34">
        <f t="shared" si="41"/>
        <v>0</v>
      </c>
      <c r="Q105" s="68">
        <f t="shared" si="41"/>
        <v>0</v>
      </c>
      <c r="R105" s="32">
        <f t="shared" si="41"/>
        <v>0</v>
      </c>
      <c r="S105" s="87"/>
      <c r="T105" s="108">
        <f>+GETPIVOTDATA(" Tot # Instr. New",'NEW Counts Pivot Table'!$A$3,"State","TN","Category",1,"Category2","Four-Year")</f>
        <v>143</v>
      </c>
      <c r="U105" s="109">
        <f>+GETPIVOTDATA(" Tot # Instr. New",'NEW Counts Pivot Table'!$A$3,"State","TN","Category",2,"Category2","Four-Year")</f>
        <v>0</v>
      </c>
      <c r="V105" s="109">
        <f>+GETPIVOTDATA(" Tot # Instr. New",'NEW Counts Pivot Table'!$A$3,"State","TN","Category",3,"Category2","Four-Year")</f>
        <v>273</v>
      </c>
      <c r="W105" s="109">
        <f>+GETPIVOTDATA(" Tot # Instr. New",'NEW Counts Pivot Table'!$A$3,"State","TN","Category",4,"Category2","Four-Year")</f>
        <v>0</v>
      </c>
      <c r="X105" s="109">
        <f>+GETPIVOTDATA(" Tot # Instr. New",'NEW Counts Pivot Table'!$A$3,"State","TN","Category",5,"Category2","Four-Year")</f>
        <v>17</v>
      </c>
      <c r="Y105" s="109">
        <f>+GETPIVOTDATA(" Tot # Instr. New",'NEW Counts Pivot Table'!$A$3,"State","TN","Category",6,"Category2","Four-Year")</f>
        <v>0</v>
      </c>
      <c r="Z105" s="111">
        <f>+GETPIVOTDATA(" Tot # Instr. New",'NEW Counts Pivot Table'!$A$3,"State","TN","Category2","Four-Year")</f>
        <v>433</v>
      </c>
      <c r="AA105" s="108">
        <f>+GETPIVOTDATA(" Tot # Instr. New",'NEW Counts Pivot Table'!$A$3,"State","AR","Category",7,"Category2","Group2")</f>
        <v>0</v>
      </c>
      <c r="AB105" s="109">
        <f>+GETPIVOTDATA(" Tot # Instr. New",'NEW Counts Pivot Table'!$A$3,"State","AR","Category",8,"Category2","Group2")</f>
        <v>0</v>
      </c>
      <c r="AC105" s="109">
        <f>+GETPIVOTDATA(" Tot # Instr. New",'NEW Counts Pivot Table'!$A$3,"State","DE","Category",9,"Category2","Group2")</f>
        <v>0</v>
      </c>
      <c r="AD105" s="109">
        <f>+GETPIVOTDATA(" Tot # Instr. New",'NEW Counts Pivot Table'!$A$3,"State","DE","Category",10,"Category2","Group2")</f>
        <v>0</v>
      </c>
      <c r="AE105" s="109">
        <f>+GETPIVOTDATA(" Tot # Instr. New",'NEW Counts Pivot Table'!$A$3,"State","TN","Category","11","Category2","Group2")</f>
        <v>0</v>
      </c>
      <c r="AF105" s="110">
        <f>+GETPIVOTDATA(" Tot # Instr. New",'NEW Counts Pivot Table'!$A$3,"State","TN","Category2","Group2")</f>
        <v>428</v>
      </c>
      <c r="AG105" s="108">
        <f>+GETPIVOTDATA(" Tot # Instr. New",'NEW Counts Pivot Table'!$A$3,"State","TN","Category",12,"Category2","Technical Institutes")</f>
        <v>0</v>
      </c>
      <c r="AH105" s="109">
        <f>+GETPIVOTDATA(" Tot # Instr. New",'NEW Counts Pivot Table'!$A$3,"State","TN","Category",13,"Category2","Technical Institutes")</f>
        <v>0</v>
      </c>
      <c r="AI105" s="110">
        <f>+GETPIVOTDATA(" Tot # Instr. New",'NEW Counts Pivot Table'!$A$3,"State","TN","Category",14,"Category2","Technical Institutes")</f>
        <v>0</v>
      </c>
      <c r="AJ105" s="108">
        <f>+GETPIVOTDATA(" Tot # Instr. New",'NEW Counts Pivot Table'!$A$3,"State","TN","Category2","Technical Institutes")</f>
        <v>0</v>
      </c>
    </row>
    <row r="106" spans="1:38">
      <c r="A106" s="30"/>
      <c r="B106" s="38" t="s">
        <v>315</v>
      </c>
      <c r="C106" s="32">
        <f t="shared" si="39"/>
        <v>0.11210036422501012</v>
      </c>
      <c r="D106" s="34">
        <f t="shared" si="39"/>
        <v>0</v>
      </c>
      <c r="E106" s="34">
        <f t="shared" si="39"/>
        <v>4.9747899159663864E-2</v>
      </c>
      <c r="F106" s="34">
        <f t="shared" si="39"/>
        <v>0</v>
      </c>
      <c r="G106" s="34">
        <f t="shared" si="39"/>
        <v>0.16187050359712229</v>
      </c>
      <c r="H106" s="68">
        <f t="shared" si="39"/>
        <v>0</v>
      </c>
      <c r="I106" s="32">
        <f t="shared" si="39"/>
        <v>8.2110412299091551E-2</v>
      </c>
      <c r="J106" s="32">
        <f t="shared" si="39"/>
        <v>0</v>
      </c>
      <c r="K106" s="236">
        <f t="shared" si="39"/>
        <v>0</v>
      </c>
      <c r="L106" s="34">
        <f t="shared" si="39"/>
        <v>0</v>
      </c>
      <c r="M106" s="34">
        <f t="shared" si="40"/>
        <v>0</v>
      </c>
      <c r="N106" s="237">
        <f t="shared" si="41"/>
        <v>4.4223327805417356E-3</v>
      </c>
      <c r="O106" s="32">
        <f t="shared" si="41"/>
        <v>0</v>
      </c>
      <c r="P106" s="34">
        <f t="shared" si="41"/>
        <v>0</v>
      </c>
      <c r="Q106" s="68">
        <f t="shared" si="41"/>
        <v>0</v>
      </c>
      <c r="R106" s="32">
        <f t="shared" si="41"/>
        <v>0</v>
      </c>
      <c r="S106" s="87"/>
      <c r="T106" s="108">
        <f>++GETPIVOTDATA(" Tot # Undes. New",'NEW Counts Pivot Table'!$A$3,"State","TN","Category",1,"Category2","Four-Year")</f>
        <v>277</v>
      </c>
      <c r="U106" s="109">
        <f>+GETPIVOTDATA(" Tot # Undes. New",'NEW Counts Pivot Table'!$A$3,"State","TN","Category",2,"Category2","Four-Year")</f>
        <v>0</v>
      </c>
      <c r="V106" s="109">
        <f>+GETPIVOTDATA(" Tot # Undes. New",'NEW Counts Pivot Table'!$A$3,"State","TN","Category",3,"Category2","Four-Year")</f>
        <v>148</v>
      </c>
      <c r="W106" s="109">
        <f>+GETPIVOTDATA(" Tot # Undes. New",'NEW Counts Pivot Table'!$A$3,"State","TN","Category",4,"Category2","Four-Year")</f>
        <v>0</v>
      </c>
      <c r="X106" s="109">
        <f>+GETPIVOTDATA(" Tot # Undes. New",'NEW Counts Pivot Table'!$A$3,"State","TN","Category",5,"Category2","Four-Year")</f>
        <v>45</v>
      </c>
      <c r="Y106" s="109">
        <f>+GETPIVOTDATA(" Tot # Undes. New",'NEW Counts Pivot Table'!$A$3,"State","TN","Category",6,"Category2","Four-Year")</f>
        <v>0</v>
      </c>
      <c r="Z106" s="111">
        <f>+GETPIVOTDATA(" Tot # Undes. New",'NEW Counts Pivot Table'!$A$3,"State","TN","Category2","Four-Year")</f>
        <v>470</v>
      </c>
      <c r="AA106" s="108">
        <f>+GETPIVOTDATA(" Tot # Undes. New",'NEW Counts Pivot Table'!$A$3,"State","AR","Category",7,"Category2","Group2")</f>
        <v>0</v>
      </c>
      <c r="AB106" s="109">
        <f>+GETPIVOTDATA(" Tot # Undes. New",'NEW Counts Pivot Table'!$A$3,"State","AR","Category",8,"Category2","Group2")</f>
        <v>0</v>
      </c>
      <c r="AC106" s="109">
        <f>+GETPIVOTDATA(" Tot # Undes. New",'NEW Counts Pivot Table'!$A$3,"State","DE","Category",9,"Category2","Group2")</f>
        <v>0</v>
      </c>
      <c r="AD106" s="109">
        <f>+GETPIVOTDATA(" Tot # Undes. New",'NEW Counts Pivot Table'!$A$3,"State","DE","Category",10,"Category2","Group2")</f>
        <v>0</v>
      </c>
      <c r="AE106" s="109">
        <f>+GETPIVOTDATA(" Tot # Undes. New",'NEW Counts Pivot Table'!$A$3,"State","TN","Category","11","Category2","Group2")</f>
        <v>0</v>
      </c>
      <c r="AF106" s="110">
        <f>+GETPIVOTDATA(" Tot # Undes. New",'NEW Counts Pivot Table'!$A$3,"State","TN","Category2","Group2")</f>
        <v>8</v>
      </c>
      <c r="AG106" s="108">
        <f>+GETPIVOTDATA(" Tot # Undes. New",'NEW Counts Pivot Table'!$A$3,"State","TN","Category",12,"Category2","Technical Institutes")</f>
        <v>0</v>
      </c>
      <c r="AH106" s="109">
        <f>+GETPIVOTDATA(" Tot # Undes. New",'NEW Counts Pivot Table'!$A$3,"State","TN","Category",13,"Category2","Technical Institutes")</f>
        <v>0</v>
      </c>
      <c r="AI106" s="110">
        <f>+GETPIVOTDATA(" Tot # Undes. New",'NEW Counts Pivot Table'!$A$3,"State","TN","Category",14,"Category2","Technical Institutes")</f>
        <v>0</v>
      </c>
      <c r="AJ106" s="108">
        <f>+GETPIVOTDATA(" Tot # Undes. New",'NEW Counts Pivot Table'!$A$3,"State","TN","Category2","Technical Institutes")</f>
        <v>0</v>
      </c>
    </row>
    <row r="107" spans="1:38">
      <c r="A107" s="30"/>
      <c r="B107" s="38" t="s">
        <v>314</v>
      </c>
      <c r="C107" s="32">
        <f t="shared" si="39"/>
        <v>0</v>
      </c>
      <c r="D107" s="34">
        <f t="shared" si="39"/>
        <v>0</v>
      </c>
      <c r="E107" s="185">
        <f t="shared" si="39"/>
        <v>0</v>
      </c>
      <c r="F107" s="34">
        <f t="shared" si="39"/>
        <v>0</v>
      </c>
      <c r="G107" s="185">
        <f t="shared" si="39"/>
        <v>0</v>
      </c>
      <c r="H107" s="68">
        <f t="shared" si="39"/>
        <v>0</v>
      </c>
      <c r="I107" s="184">
        <f t="shared" si="39"/>
        <v>0</v>
      </c>
      <c r="J107" s="32">
        <f t="shared" si="39"/>
        <v>0</v>
      </c>
      <c r="K107" s="34">
        <f t="shared" si="39"/>
        <v>1</v>
      </c>
      <c r="L107" s="34">
        <f t="shared" si="39"/>
        <v>1</v>
      </c>
      <c r="M107" s="34">
        <f t="shared" si="40"/>
        <v>1</v>
      </c>
      <c r="N107" s="32">
        <f t="shared" si="41"/>
        <v>0</v>
      </c>
      <c r="O107" s="32">
        <f t="shared" si="41"/>
        <v>0</v>
      </c>
      <c r="P107" s="34">
        <f t="shared" si="41"/>
        <v>1</v>
      </c>
      <c r="Q107" s="68">
        <f t="shared" si="41"/>
        <v>0</v>
      </c>
      <c r="R107" s="32">
        <f t="shared" si="41"/>
        <v>1</v>
      </c>
      <c r="S107" s="87"/>
      <c r="T107" s="108">
        <f>+GETPIVOTDATA(" Tot # Single Rnk New",'NEW Counts Pivot Table'!$A$3,"State","TN","Category",1,"Category2","Four-Year")</f>
        <v>0</v>
      </c>
      <c r="U107" s="109">
        <f>+GETPIVOTDATA(" Tot # Single Rnk New",'NEW Counts Pivot Table'!$A$3,"State","TN","Category",2,"Category2","Four-Year")</f>
        <v>0</v>
      </c>
      <c r="V107" s="109">
        <f>+GETPIVOTDATA(" Tot # Single Rnk New",'NEW Counts Pivot Table'!$A$3,"State","TN","Category",3,"Category2","Four-Year")</f>
        <v>0</v>
      </c>
      <c r="W107" s="109">
        <f>+GETPIVOTDATA(" Tot # Single Rnk New",'NEW Counts Pivot Table'!$A$3,"State","TN","Category",4,"Category2","Four-Year")</f>
        <v>0</v>
      </c>
      <c r="X107" s="109">
        <f>+GETPIVOTDATA(" Tot # Single Rnk New",'NEW Counts Pivot Table'!$A$3,"State","TN","Category",5,"Category2","Four-Year")</f>
        <v>0</v>
      </c>
      <c r="Y107" s="109">
        <f>+GETPIVOTDATA(" Tot # Single Rnk New",'NEW Counts Pivot Table'!$A$3,"State","TN","Category",6,"Category2","Four-Year")</f>
        <v>0</v>
      </c>
      <c r="Z107" s="111">
        <f>+GETPIVOTDATA(" Tot # Single Rnk New",'NEW Counts Pivot Table'!$A$3,"State","TN","Category2","Four-Year")</f>
        <v>0</v>
      </c>
      <c r="AA107" s="108">
        <f>+GETPIVOTDATA(" Tot # Single Rnk New",'NEW Counts Pivot Table'!$A$3,"State","AR","Category",7,"Category2","Group2")</f>
        <v>0</v>
      </c>
      <c r="AB107" s="109">
        <f>+GETPIVOTDATA(" Tot # Single Rnk New",'NEW Counts Pivot Table'!$A$3,"State","AR","Category",8,"Category2","Group2")</f>
        <v>171</v>
      </c>
      <c r="AC107" s="109">
        <f>+GETPIVOTDATA(" Tot # Single Rnk New",'NEW Counts Pivot Table'!$A$3,"State","DE","Category",9,"Category2","Group2")</f>
        <v>300</v>
      </c>
      <c r="AD107" s="109">
        <f>+GETPIVOTDATA(" Tot # Single Rnk New",'NEW Counts Pivot Table'!$A$3,"State","DE","Category",10,"Category2","Group2")</f>
        <v>84</v>
      </c>
      <c r="AE107" s="109">
        <f>+GETPIVOTDATA(" Tot # Single Rnk New",'NEW Counts Pivot Table'!$A$3,"State","TN","Category","11","Category2","Group2")</f>
        <v>0</v>
      </c>
      <c r="AF107" s="110">
        <f>+GETPIVOTDATA(" Tot # Single Rnk New",'NEW Counts Pivot Table'!$A$3,"State","TN","Category2","Group2")</f>
        <v>0</v>
      </c>
      <c r="AG107" s="108">
        <f>+GETPIVOTDATA(" Tot # Single Rnk New",'NEW Counts Pivot Table'!$A$3,"State","TN","Category",12,"Category2","Technical Institutes")</f>
        <v>0</v>
      </c>
      <c r="AH107" s="109">
        <f>+GETPIVOTDATA(" Tot # Single Rnk New",'NEW Counts Pivot Table'!$A$3,"State","TN","Category",13,"Category2","Technical Institutes")</f>
        <v>529</v>
      </c>
      <c r="AI107" s="110">
        <f>+GETPIVOTDATA(" Tot # Single Rnk New",'NEW Counts Pivot Table'!$A$3,"State","TN","Category",14,"Category2","Technical Institutes")</f>
        <v>0</v>
      </c>
      <c r="AJ107" s="108">
        <f>+GETPIVOTDATA(" Tot # Single Rnk New",'NEW Counts Pivot Table'!$A$3,"State","TN","Category2","Technical Institutes")</f>
        <v>529</v>
      </c>
    </row>
    <row r="108" spans="1:38" s="54" customFormat="1">
      <c r="A108" s="191"/>
      <c r="B108" s="192" t="s">
        <v>316</v>
      </c>
      <c r="C108" s="33">
        <f t="shared" si="39"/>
        <v>1</v>
      </c>
      <c r="D108" s="31">
        <f t="shared" si="39"/>
        <v>0</v>
      </c>
      <c r="E108" s="31">
        <f t="shared" si="39"/>
        <v>1</v>
      </c>
      <c r="F108" s="31">
        <f t="shared" si="39"/>
        <v>0</v>
      </c>
      <c r="G108" s="31">
        <f t="shared" si="39"/>
        <v>1</v>
      </c>
      <c r="H108" s="69">
        <f t="shared" si="39"/>
        <v>0</v>
      </c>
      <c r="I108" s="33">
        <f t="shared" si="39"/>
        <v>1</v>
      </c>
      <c r="J108" s="33">
        <f t="shared" si="39"/>
        <v>0</v>
      </c>
      <c r="K108" s="31">
        <f t="shared" si="39"/>
        <v>1</v>
      </c>
      <c r="L108" s="31">
        <f t="shared" si="39"/>
        <v>1</v>
      </c>
      <c r="M108" s="31">
        <f t="shared" si="40"/>
        <v>1</v>
      </c>
      <c r="N108" s="33">
        <f t="shared" si="41"/>
        <v>1</v>
      </c>
      <c r="O108" s="33">
        <f t="shared" si="41"/>
        <v>0</v>
      </c>
      <c r="P108" s="31">
        <f t="shared" si="41"/>
        <v>1</v>
      </c>
      <c r="Q108" s="69">
        <f t="shared" si="41"/>
        <v>0</v>
      </c>
      <c r="R108" s="33">
        <f t="shared" si="41"/>
        <v>1</v>
      </c>
      <c r="S108" s="88"/>
      <c r="T108" s="112">
        <f>+GETPIVOTDATA(" All Ranks # New",'NEW Counts Pivot Table'!$A$3,"State","TN","Category",1,"Category2","Four-Year")</f>
        <v>2471</v>
      </c>
      <c r="U108" s="113">
        <f>+GETPIVOTDATA(" All Ranks # New",'NEW Counts Pivot Table'!$A$3,"State","TN","Category",2,"Category2","Four-Year")</f>
        <v>0</v>
      </c>
      <c r="V108" s="113">
        <f>+GETPIVOTDATA(" All Ranks # New",'NEW Counts Pivot Table'!$A$3,"State","TN","Category",3,"Category2","Four-Year")</f>
        <v>2975</v>
      </c>
      <c r="W108" s="113">
        <f>+GETPIVOTDATA(" All Ranks # New",'NEW Counts Pivot Table'!$A$3,"State","TN","Category",4,"Category2","Four-Year")</f>
        <v>0</v>
      </c>
      <c r="X108" s="113">
        <f>+GETPIVOTDATA(" All Ranks # New",'NEW Counts Pivot Table'!$A$3,"State","TN","Category",5,"Category2","Four-Year")</f>
        <v>278</v>
      </c>
      <c r="Y108" s="113">
        <f>+GETPIVOTDATA(" All Ranks # New",'NEW Counts Pivot Table'!$A$3,"State","TN","Category",6,"Category2","Four-Year")</f>
        <v>0</v>
      </c>
      <c r="Z108" s="115">
        <f>+GETPIVOTDATA(" All Ranks # New",'NEW Counts Pivot Table'!$A$3,"State","TN","Category2","Four-Year")</f>
        <v>5724</v>
      </c>
      <c r="AA108" s="112">
        <f>+GETPIVOTDATA(" All Ranks # New",'NEW Counts Pivot Table'!$A$3,"State","AR","Category",7,"Category2","Group2")</f>
        <v>0</v>
      </c>
      <c r="AB108" s="113">
        <f>+GETPIVOTDATA(" All Ranks # New",'NEW Counts Pivot Table'!$A$3,"State","AR","Category",8,"Category2","Group2")</f>
        <v>171</v>
      </c>
      <c r="AC108" s="113">
        <f>+GETPIVOTDATA(" All Ranks # New",'NEW Counts Pivot Table'!$A$3,"State","DE","Category",9,"Category2","Group2")</f>
        <v>300</v>
      </c>
      <c r="AD108" s="113">
        <f>+GETPIVOTDATA(" All Ranks # New",'NEW Counts Pivot Table'!$A$3,"State","DE","Category",10,"Category2","Group2")</f>
        <v>84</v>
      </c>
      <c r="AE108" s="113">
        <f>+GETPIVOTDATA(" All Ranks # New",'NEW Counts Pivot Table'!$A$3,"State","TN","Category","11","Category2","Group2")</f>
        <v>0</v>
      </c>
      <c r="AF108" s="114">
        <f>+GETPIVOTDATA(" All Ranks # New",'NEW Counts Pivot Table'!$A$3,"State","TN","Category2","Group2")</f>
        <v>1809</v>
      </c>
      <c r="AG108" s="112">
        <f>+GETPIVOTDATA(" All Ranks # New",'NEW Counts Pivot Table'!$A$3,"State","TN","Category",12,"Category2","Technical Institutes")</f>
        <v>0</v>
      </c>
      <c r="AH108" s="113">
        <f>+GETPIVOTDATA(" All Ranks # New",'NEW Counts Pivot Table'!$A$3,"State","TN","Category",13,"Category2","Technical Institutes")</f>
        <v>529</v>
      </c>
      <c r="AI108" s="114">
        <f>+GETPIVOTDATA(" All Ranks # New",'NEW Counts Pivot Table'!$A$3,"State","TN","Category",14,"Category2","Technical Institutes")</f>
        <v>0</v>
      </c>
      <c r="AJ108" s="112">
        <f>+GETPIVOTDATA(" All Ranks # New",'NEW Counts Pivot Table'!$A$3,"State","TN","Category2","Technical Institutes")</f>
        <v>529</v>
      </c>
      <c r="AK108" s="116"/>
      <c r="AL108" s="116"/>
    </row>
    <row r="109" spans="1:38">
      <c r="A109" s="38" t="s">
        <v>309</v>
      </c>
      <c r="B109" s="35" t="s">
        <v>332</v>
      </c>
      <c r="C109" s="36">
        <f t="shared" ref="C109:L115" si="42">IF(T$115&gt;0,(T109/T$115),0)</f>
        <v>0.32923570283270975</v>
      </c>
      <c r="D109" s="37">
        <f t="shared" si="42"/>
        <v>0.20113460546673542</v>
      </c>
      <c r="E109" s="37">
        <f t="shared" si="42"/>
        <v>0.21115082201572552</v>
      </c>
      <c r="F109" s="37">
        <f t="shared" si="42"/>
        <v>0.23492063492063492</v>
      </c>
      <c r="G109" s="37">
        <f t="shared" si="42"/>
        <v>0.16838487972508592</v>
      </c>
      <c r="H109" s="67">
        <f t="shared" si="42"/>
        <v>0.24</v>
      </c>
      <c r="I109" s="36">
        <f t="shared" si="42"/>
        <v>0.26817583574624904</v>
      </c>
      <c r="J109" s="36">
        <f t="shared" si="42"/>
        <v>0</v>
      </c>
      <c r="K109" s="37">
        <f t="shared" si="42"/>
        <v>0</v>
      </c>
      <c r="L109" s="37">
        <f t="shared" si="42"/>
        <v>0</v>
      </c>
      <c r="M109" s="37">
        <f t="shared" ref="M109:M115" si="43">IF(AD$115&gt;0,(AD109/AD$115),0)</f>
        <v>0</v>
      </c>
      <c r="N109" s="36">
        <f t="shared" ref="N109:R115" si="44">IF(AF$115&gt;0,(AF109/AF$115),0)</f>
        <v>0.21962406015037594</v>
      </c>
      <c r="O109" s="152">
        <f t="shared" si="44"/>
        <v>0</v>
      </c>
      <c r="P109" s="37">
        <f t="shared" si="44"/>
        <v>0</v>
      </c>
      <c r="Q109" s="67">
        <f t="shared" si="44"/>
        <v>0</v>
      </c>
      <c r="R109" s="152">
        <f t="shared" si="44"/>
        <v>0</v>
      </c>
      <c r="S109" s="117"/>
      <c r="T109" s="104">
        <f>+GETPIVOTDATA(" Total # Prof New",'NEW Counts Pivot Table'!$A$3,"State","TX","Category",1,"Category2","Four-Year")</f>
        <v>3080</v>
      </c>
      <c r="U109" s="105">
        <f>+GETPIVOTDATA(" Total # Prof New",'NEW Counts Pivot Table'!$A$3,"State","TX","Category",2,"Category2","Four-Year")</f>
        <v>390</v>
      </c>
      <c r="V109" s="105">
        <f>+GETPIVOTDATA(" Total # Prof New",'NEW Counts Pivot Table'!$A$3,"State","TX","Category",3,"Category2","Four-Year")</f>
        <v>1477</v>
      </c>
      <c r="W109" s="105">
        <f>+GETPIVOTDATA(" Total # Prof New",'NEW Counts Pivot Table'!$A$3,"State","TX","Category",4,"Category2","Four-Year")</f>
        <v>74</v>
      </c>
      <c r="X109" s="105">
        <f>+GETPIVOTDATA(" Total # Prof New",'NEW Counts Pivot Table'!$A$3,"State","TX","Category",5,"Category2","Four-Year")</f>
        <v>49</v>
      </c>
      <c r="Y109" s="105">
        <f>+GETPIVOTDATA(" Total # Prof New",'NEW Counts Pivot Table'!$A$3,"State","TX","Category",6,"Category2","Four-Year")</f>
        <v>24</v>
      </c>
      <c r="Z109" s="107">
        <f>+GETPIVOTDATA(" Total # Prof New",'NEW Counts Pivot Table'!$A$3,"State","TX","Category2","Four-Year")</f>
        <v>5094</v>
      </c>
      <c r="AA109" s="104">
        <f>+GETPIVOTDATA(" Total # Prof New",'NEW Counts Pivot Table'!$A$3,"State","AR","Category",7,"Category2","Group2")</f>
        <v>0</v>
      </c>
      <c r="AB109" s="105">
        <f>+GETPIVOTDATA(" Total # Prof New",'NEW Counts Pivot Table'!$A$3,"State","AR","Category",8,"Category2","Group2")</f>
        <v>0</v>
      </c>
      <c r="AC109" s="105">
        <f>+GETPIVOTDATA(" Total # Prof New",'NEW Counts Pivot Table'!$A$3,"State","DE","Category",9,"Category2","Group2")</f>
        <v>0</v>
      </c>
      <c r="AD109" s="105">
        <f>+GETPIVOTDATA(" Total # Prof New",'NEW Counts Pivot Table'!$A$3,"State","DE","Category",10,"Category2","Group2")</f>
        <v>0</v>
      </c>
      <c r="AE109" s="105">
        <f>+GETPIVOTDATA(" Total # Prof New",'NEW Counts Pivot Table'!$A$3,"State","TX","Category","11","Category2","Group2")</f>
        <v>0</v>
      </c>
      <c r="AF109" s="106">
        <f>+GETPIVOTDATA(" Total # Prof New",'NEW Counts Pivot Table'!$A$3,"State","TX","Category2","Group2")</f>
        <v>2921</v>
      </c>
      <c r="AG109" s="104">
        <f>+GETPIVOTDATA(" Total # Prof New",'NEW Counts Pivot Table'!$A$3,"State","TX","Category",12,"Category2","Technical Institutes")</f>
        <v>0</v>
      </c>
      <c r="AH109" s="105">
        <f>+GETPIVOTDATA(" Total # Prof New",'NEW Counts Pivot Table'!$A$3,"State","TX","Category",13,"Category2","Technical Institutes")</f>
        <v>0</v>
      </c>
      <c r="AI109" s="106">
        <f>+GETPIVOTDATA(" Total # Prof New",'NEW Counts Pivot Table'!$A$3,"State","TX","Category",14,"Category2","Technical Institutes")</f>
        <v>0</v>
      </c>
      <c r="AJ109" s="104">
        <f>+GETPIVOTDATA(" Total # Prof New",'NEW Counts Pivot Table'!$A$3,"State","TX","Category2","Technical Institutes")</f>
        <v>0</v>
      </c>
    </row>
    <row r="110" spans="1:38">
      <c r="A110" s="30"/>
      <c r="B110" s="38" t="s">
        <v>333</v>
      </c>
      <c r="C110" s="32">
        <f t="shared" si="42"/>
        <v>0.24094067343666489</v>
      </c>
      <c r="D110" s="34">
        <f t="shared" si="42"/>
        <v>0.24600309437854564</v>
      </c>
      <c r="E110" s="34">
        <f t="shared" si="42"/>
        <v>0.23059328091493925</v>
      </c>
      <c r="F110" s="34">
        <f t="shared" si="42"/>
        <v>0.29206349206349208</v>
      </c>
      <c r="G110" s="34">
        <f t="shared" si="42"/>
        <v>0.32302405498281789</v>
      </c>
      <c r="H110" s="68">
        <f t="shared" si="42"/>
        <v>0.14000000000000001</v>
      </c>
      <c r="I110" s="32">
        <f t="shared" si="42"/>
        <v>0.23922084759147144</v>
      </c>
      <c r="J110" s="32">
        <f t="shared" si="42"/>
        <v>0</v>
      </c>
      <c r="K110" s="34">
        <f t="shared" si="42"/>
        <v>0</v>
      </c>
      <c r="L110" s="34">
        <f t="shared" si="42"/>
        <v>0</v>
      </c>
      <c r="M110" s="34">
        <f t="shared" si="43"/>
        <v>0</v>
      </c>
      <c r="N110" s="32">
        <f t="shared" si="44"/>
        <v>0.10857142857142857</v>
      </c>
      <c r="O110" s="32">
        <f t="shared" si="44"/>
        <v>0</v>
      </c>
      <c r="P110" s="34">
        <f t="shared" si="44"/>
        <v>0</v>
      </c>
      <c r="Q110" s="68">
        <f t="shared" si="44"/>
        <v>0</v>
      </c>
      <c r="R110" s="32">
        <f t="shared" si="44"/>
        <v>0</v>
      </c>
      <c r="S110" s="87"/>
      <c r="T110" s="108">
        <f>+GETPIVOTDATA(" Tot # Asc. Prof New",'NEW Counts Pivot Table'!$A$3,"State","TX","Category",1,"Category2","Four-Year")</f>
        <v>2254</v>
      </c>
      <c r="U110" s="109">
        <f>+GETPIVOTDATA(" Tot # Asc. Prof New",'NEW Counts Pivot Table'!$A$3,"State","TX","Category",2,"Category2","Four-Year")</f>
        <v>477</v>
      </c>
      <c r="V110" s="109">
        <f>+GETPIVOTDATA(" Tot # Asc. Prof New",'NEW Counts Pivot Table'!$A$3,"State","TX","Category",3,"Category2","Four-Year")</f>
        <v>1613</v>
      </c>
      <c r="W110" s="109">
        <f>+GETPIVOTDATA(" Tot # Asc. Prof New",'NEW Counts Pivot Table'!$A$3,"State","TX","Category",4,"Category2","Four-Year")</f>
        <v>92</v>
      </c>
      <c r="X110" s="109">
        <f>+GETPIVOTDATA(" Tot # Asc. Prof New",'NEW Counts Pivot Table'!$A$3,"State","TX","Category",5,"Category2","Four-Year")</f>
        <v>94</v>
      </c>
      <c r="Y110" s="109">
        <f>+GETPIVOTDATA(" Tot # Asc. Prof New",'NEW Counts Pivot Table'!$A$3,"State","TX","Category",6,"Category2","Four-Year")</f>
        <v>14</v>
      </c>
      <c r="Z110" s="111">
        <f>+GETPIVOTDATA(" Tot # Asc. Prof New",'NEW Counts Pivot Table'!$A$3,"State","TX","Category2","Four-Year")</f>
        <v>4544</v>
      </c>
      <c r="AA110" s="108">
        <f>+GETPIVOTDATA(" Tot # Asc. Prof New",'NEW Counts Pivot Table'!$A$3,"State","AR","Category",7,"Category2","Group2")</f>
        <v>0</v>
      </c>
      <c r="AB110" s="109">
        <f>+GETPIVOTDATA(" Tot # Asc. Prof New",'NEW Counts Pivot Table'!$A$3,"State","AR","Category",8,"Category2","Group2")</f>
        <v>0</v>
      </c>
      <c r="AC110" s="109">
        <f>+GETPIVOTDATA(" Tot # Asc. Prof New",'NEW Counts Pivot Table'!$A$3,"State","DE","Category",9,"Category2","Group2")</f>
        <v>0</v>
      </c>
      <c r="AD110" s="109">
        <f>+GETPIVOTDATA(" Tot # Asc. Prof New",'NEW Counts Pivot Table'!$A$3,"State","DE","Category",10,"Category2","Group2")</f>
        <v>0</v>
      </c>
      <c r="AE110" s="109">
        <f>+GETPIVOTDATA(" Tot # Asc. Prof New",'NEW Counts Pivot Table'!$A$3,"State","TX","Category","11","Category2","Group2")</f>
        <v>0</v>
      </c>
      <c r="AF110" s="110">
        <f>+GETPIVOTDATA(" Tot # Asc. Prof New",'NEW Counts Pivot Table'!$A$3,"State","TX","Category2","Group2")</f>
        <v>1444</v>
      </c>
      <c r="AG110" s="108">
        <f>+GETPIVOTDATA(" Tot # Asc. Prof New",'NEW Counts Pivot Table'!$A$3,"State","TX","Category",12,"Category2","Technical Institutes")</f>
        <v>0</v>
      </c>
      <c r="AH110" s="109">
        <f>+GETPIVOTDATA(" Tot # Asc. Prof New",'NEW Counts Pivot Table'!$A$3,"State","TX","Category",13,"Category2","Technical Institutes")</f>
        <v>0</v>
      </c>
      <c r="AI110" s="110">
        <f>+GETPIVOTDATA(" Tot # Asc. Prof New",'NEW Counts Pivot Table'!$A$3,"State","TX","Category",14,"Category2","Technical Institutes")</f>
        <v>0</v>
      </c>
      <c r="AJ110" s="108">
        <f>+GETPIVOTDATA(" Tot # Asc. Prof New",'NEW Counts Pivot Table'!$A$3,"State","TX","Category2","Technical Institutes")</f>
        <v>0</v>
      </c>
    </row>
    <row r="111" spans="1:38">
      <c r="A111" s="30"/>
      <c r="B111" s="38" t="s">
        <v>334</v>
      </c>
      <c r="C111" s="32">
        <f t="shared" si="42"/>
        <v>0.22191341528594336</v>
      </c>
      <c r="D111" s="34">
        <f t="shared" si="42"/>
        <v>0.21763795771015987</v>
      </c>
      <c r="E111" s="34">
        <f t="shared" si="42"/>
        <v>0.30879199428162973</v>
      </c>
      <c r="F111" s="34">
        <f t="shared" si="42"/>
        <v>0.27301587301587299</v>
      </c>
      <c r="G111" s="34">
        <f t="shared" si="42"/>
        <v>0.33333333333333331</v>
      </c>
      <c r="H111" s="68">
        <f t="shared" si="42"/>
        <v>0.18</v>
      </c>
      <c r="I111" s="32">
        <f t="shared" si="42"/>
        <v>0.25580415898920766</v>
      </c>
      <c r="J111" s="32">
        <f t="shared" si="42"/>
        <v>0</v>
      </c>
      <c r="K111" s="34">
        <f t="shared" si="42"/>
        <v>0</v>
      </c>
      <c r="L111" s="34">
        <f t="shared" si="42"/>
        <v>0</v>
      </c>
      <c r="M111" s="34">
        <f t="shared" si="43"/>
        <v>0</v>
      </c>
      <c r="N111" s="32">
        <f t="shared" si="44"/>
        <v>9.1203007518796994E-2</v>
      </c>
      <c r="O111" s="32">
        <f t="shared" si="44"/>
        <v>0</v>
      </c>
      <c r="P111" s="34">
        <f t="shared" si="44"/>
        <v>0</v>
      </c>
      <c r="Q111" s="68">
        <f t="shared" si="44"/>
        <v>0</v>
      </c>
      <c r="R111" s="32">
        <f t="shared" si="44"/>
        <v>0</v>
      </c>
      <c r="S111" s="87"/>
      <c r="T111" s="108">
        <f>+GETPIVOTDATA(" Tot # Ast. Prof New",'NEW Counts Pivot Table'!$A$3,"State","TX","Category",1,"Category2","Four-Year")</f>
        <v>2076</v>
      </c>
      <c r="U111" s="109">
        <f>+GETPIVOTDATA(" Tot # Ast. Prof New",'NEW Counts Pivot Table'!$A$3,"State","TX","Category",2,"Category2","Four-Year")</f>
        <v>422</v>
      </c>
      <c r="V111" s="109">
        <f>+GETPIVOTDATA(" Tot # Ast. Prof New",'NEW Counts Pivot Table'!$A$3,"State","TX","Category",3,"Category2","Four-Year")</f>
        <v>2160</v>
      </c>
      <c r="W111" s="109">
        <f>+GETPIVOTDATA(" Tot # Ast. Prof New",'NEW Counts Pivot Table'!$A$3,"State","TX","Category",4,"Category2","Four-Year")</f>
        <v>86</v>
      </c>
      <c r="X111" s="109">
        <f>+GETPIVOTDATA(" Tot # Ast. Prof New",'NEW Counts Pivot Table'!$A$3,"State","TX","Category",5,"Category2","Four-Year")</f>
        <v>97</v>
      </c>
      <c r="Y111" s="109">
        <f>+GETPIVOTDATA(" Tot # Ast. Prof New",'NEW Counts Pivot Table'!$A$3,"State","TX","Category",6,"Category2","Four-Year")</f>
        <v>18</v>
      </c>
      <c r="Z111" s="111">
        <f>+GETPIVOTDATA(" Tot # Ast. Prof New",'NEW Counts Pivot Table'!$A$3,"State","TX","Category2","Four-Year")</f>
        <v>4859</v>
      </c>
      <c r="AA111" s="108">
        <f>+GETPIVOTDATA(" Tot # Ast. Prof New",'NEW Counts Pivot Table'!$A$3,"State","AR","Category",7,"Category2","Group2")</f>
        <v>0</v>
      </c>
      <c r="AB111" s="109">
        <f>+GETPIVOTDATA(" Tot # Ast. Prof New",'NEW Counts Pivot Table'!$A$3,"State","AR","Category",8,"Category2","Group2")</f>
        <v>0</v>
      </c>
      <c r="AC111" s="109">
        <f>+GETPIVOTDATA(" Tot # Ast. Prof New",'NEW Counts Pivot Table'!$A$3,"State","DE","Category",9,"Category2","Group2")</f>
        <v>0</v>
      </c>
      <c r="AD111" s="109">
        <f>+GETPIVOTDATA(" Tot # Ast. Prof New",'NEW Counts Pivot Table'!$A$3,"State","DE","Category",10,"Category2","Group2")</f>
        <v>0</v>
      </c>
      <c r="AE111" s="109">
        <f>+GETPIVOTDATA(" Tot # Ast. Prof New",'NEW Counts Pivot Table'!$A$3,"State","TX","Category","11","Category2","Group2")</f>
        <v>0</v>
      </c>
      <c r="AF111" s="110">
        <f>+GETPIVOTDATA(" Tot # Ast. Prof New",'NEW Counts Pivot Table'!$A$3,"State","TX","Category2","Group2")</f>
        <v>1213</v>
      </c>
      <c r="AG111" s="108">
        <f>+GETPIVOTDATA(" Tot # Ast. Prof New",'NEW Counts Pivot Table'!$A$3,"State","TX","Category",12,"Category2","Technical Institutes")</f>
        <v>0</v>
      </c>
      <c r="AH111" s="109">
        <f>+GETPIVOTDATA(" Tot # Ast. Prof New",'NEW Counts Pivot Table'!$A$3,"State","TX","Category",13,"Category2","Technical Institutes")</f>
        <v>0</v>
      </c>
      <c r="AI111" s="110">
        <f>+GETPIVOTDATA(" Tot # Ast. Prof New",'NEW Counts Pivot Table'!$A$3,"State","TX","Category",14,"Category2","Technical Institutes")</f>
        <v>0</v>
      </c>
      <c r="AJ111" s="108">
        <f>+GETPIVOTDATA(" Tot # Ast. Prof New",'NEW Counts Pivot Table'!$A$3,"State","TX","Category2","Technical Institutes")</f>
        <v>0</v>
      </c>
    </row>
    <row r="112" spans="1:38">
      <c r="A112" s="30"/>
      <c r="B112" s="38" t="s">
        <v>335</v>
      </c>
      <c r="C112" s="32">
        <f t="shared" si="42"/>
        <v>3.2602886157135219E-2</v>
      </c>
      <c r="D112" s="34">
        <f t="shared" si="42"/>
        <v>5.6730273336771534E-3</v>
      </c>
      <c r="E112" s="34">
        <f t="shared" si="42"/>
        <v>8.2916368834882057E-2</v>
      </c>
      <c r="F112" s="34">
        <f t="shared" si="42"/>
        <v>3.4920634920634921E-2</v>
      </c>
      <c r="G112" s="34">
        <f t="shared" si="42"/>
        <v>2.4054982817869417E-2</v>
      </c>
      <c r="H112" s="68">
        <f t="shared" si="42"/>
        <v>0</v>
      </c>
      <c r="I112" s="32">
        <f t="shared" si="42"/>
        <v>4.8117925769939458E-2</v>
      </c>
      <c r="J112" s="32">
        <f t="shared" si="42"/>
        <v>0</v>
      </c>
      <c r="K112" s="34">
        <f t="shared" si="42"/>
        <v>0</v>
      </c>
      <c r="L112" s="34">
        <f t="shared" si="42"/>
        <v>0</v>
      </c>
      <c r="M112" s="34">
        <f t="shared" si="43"/>
        <v>0</v>
      </c>
      <c r="N112" s="32">
        <f t="shared" si="44"/>
        <v>0.3398496240601504</v>
      </c>
      <c r="O112" s="32">
        <f t="shared" si="44"/>
        <v>0</v>
      </c>
      <c r="P112" s="34">
        <f t="shared" si="44"/>
        <v>0</v>
      </c>
      <c r="Q112" s="68">
        <f t="shared" si="44"/>
        <v>0</v>
      </c>
      <c r="R112" s="32">
        <f t="shared" si="44"/>
        <v>0</v>
      </c>
      <c r="S112" s="87"/>
      <c r="T112" s="108">
        <f>+GETPIVOTDATA(" Tot # Instr. New",'NEW Counts Pivot Table'!$A$3,"State","TX","Category",1,"Category2","Four-Year")</f>
        <v>305</v>
      </c>
      <c r="U112" s="109">
        <f>+GETPIVOTDATA(" Tot # Instr. New",'NEW Counts Pivot Table'!$A$3,"State","TX","Category",2,"Category2","Four-Year")</f>
        <v>11</v>
      </c>
      <c r="V112" s="109">
        <f>+GETPIVOTDATA(" Tot # Instr. New",'NEW Counts Pivot Table'!$A$3,"State","TX","Category",3,"Category2","Four-Year")</f>
        <v>580</v>
      </c>
      <c r="W112" s="109">
        <f>+GETPIVOTDATA(" Tot # Instr. New",'NEW Counts Pivot Table'!$A$3,"State","TX","Category",4,"Category2","Four-Year")</f>
        <v>11</v>
      </c>
      <c r="X112" s="109">
        <f>+GETPIVOTDATA(" Tot # Instr. New",'NEW Counts Pivot Table'!$A$3,"State","TX","Category",5,"Category2","Four-Year")</f>
        <v>7</v>
      </c>
      <c r="Y112" s="109">
        <f>+GETPIVOTDATA(" Tot # Instr. New",'NEW Counts Pivot Table'!$A$3,"State","TX","Category",6,"Category2","Four-Year")</f>
        <v>0</v>
      </c>
      <c r="Z112" s="111">
        <f>+GETPIVOTDATA(" Tot # Instr. New",'NEW Counts Pivot Table'!$A$3,"State","TX","Category2","Four-Year")</f>
        <v>914</v>
      </c>
      <c r="AA112" s="108">
        <f>+GETPIVOTDATA(" Tot # Instr. New",'NEW Counts Pivot Table'!$A$3,"State","AR","Category",7,"Category2","Group2")</f>
        <v>0</v>
      </c>
      <c r="AB112" s="109">
        <f>+GETPIVOTDATA(" Tot # Instr. New",'NEW Counts Pivot Table'!$A$3,"State","AR","Category",8,"Category2","Group2")</f>
        <v>0</v>
      </c>
      <c r="AC112" s="109">
        <f>+GETPIVOTDATA(" Tot # Instr. New",'NEW Counts Pivot Table'!$A$3,"State","DE","Category",9,"Category2","Group2")</f>
        <v>0</v>
      </c>
      <c r="AD112" s="109">
        <f>+GETPIVOTDATA(" Tot # Instr. New",'NEW Counts Pivot Table'!$A$3,"State","DE","Category",10,"Category2","Group2")</f>
        <v>0</v>
      </c>
      <c r="AE112" s="109">
        <f>+GETPIVOTDATA(" Tot # Instr. New",'NEW Counts Pivot Table'!$A$3,"State","TX","Category","11","Category2","Group2")</f>
        <v>0</v>
      </c>
      <c r="AF112" s="110">
        <f>+GETPIVOTDATA(" Tot # Instr. New",'NEW Counts Pivot Table'!$A$3,"State","TX","Category2","Group2")</f>
        <v>4520</v>
      </c>
      <c r="AG112" s="108">
        <f>+GETPIVOTDATA(" Tot # Instr. New",'NEW Counts Pivot Table'!$A$3,"State","TX","Category",12,"Category2","Technical Institutes")</f>
        <v>0</v>
      </c>
      <c r="AH112" s="109">
        <f>+GETPIVOTDATA(" Tot # Instr. New",'NEW Counts Pivot Table'!$A$3,"State","TX","Category",13,"Category2","Technical Institutes")</f>
        <v>0</v>
      </c>
      <c r="AI112" s="110">
        <f>+GETPIVOTDATA(" Tot # Instr. New",'NEW Counts Pivot Table'!$A$3,"State","TX","Category",14,"Category2","Technical Institutes")</f>
        <v>0</v>
      </c>
      <c r="AJ112" s="108">
        <f>+GETPIVOTDATA(" Tot # Instr. New",'NEW Counts Pivot Table'!$A$3,"State","TX","Category2","Technical Institutes")</f>
        <v>0</v>
      </c>
    </row>
    <row r="113" spans="1:38">
      <c r="A113" s="30"/>
      <c r="B113" s="38" t="s">
        <v>315</v>
      </c>
      <c r="C113" s="32">
        <f t="shared" si="42"/>
        <v>0.13244254409406733</v>
      </c>
      <c r="D113" s="34">
        <f t="shared" si="42"/>
        <v>0.24909747292418771</v>
      </c>
      <c r="E113" s="34">
        <f t="shared" si="42"/>
        <v>0.13852751965689777</v>
      </c>
      <c r="F113" s="34">
        <f t="shared" si="42"/>
        <v>0.12380952380952381</v>
      </c>
      <c r="G113" s="34">
        <f t="shared" si="42"/>
        <v>0.12027491408934708</v>
      </c>
      <c r="H113" s="68">
        <f t="shared" si="42"/>
        <v>0.44</v>
      </c>
      <c r="I113" s="32">
        <f t="shared" si="42"/>
        <v>0.14788102132140038</v>
      </c>
      <c r="J113" s="32">
        <f t="shared" si="42"/>
        <v>0</v>
      </c>
      <c r="K113" s="34">
        <f t="shared" si="42"/>
        <v>0</v>
      </c>
      <c r="L113" s="236">
        <f t="shared" si="42"/>
        <v>0</v>
      </c>
      <c r="M113" s="236">
        <f t="shared" si="43"/>
        <v>0</v>
      </c>
      <c r="N113" s="32">
        <f t="shared" si="44"/>
        <v>5.7894736842105266E-3</v>
      </c>
      <c r="O113" s="32">
        <f t="shared" si="44"/>
        <v>0</v>
      </c>
      <c r="P113" s="34">
        <f t="shared" si="44"/>
        <v>0</v>
      </c>
      <c r="Q113" s="68">
        <f t="shared" si="44"/>
        <v>0</v>
      </c>
      <c r="R113" s="32">
        <f t="shared" si="44"/>
        <v>0</v>
      </c>
      <c r="S113" s="87"/>
      <c r="T113" s="108">
        <f>++GETPIVOTDATA(" Tot # Undes. New",'NEW Counts Pivot Table'!$A$3,"State","TX","Category",1,"Category2","Four-Year")</f>
        <v>1239</v>
      </c>
      <c r="U113" s="109">
        <f>+GETPIVOTDATA(" Tot # Undes. New",'NEW Counts Pivot Table'!$A$3,"State","TX","Category",2,"Category2","Four-Year")</f>
        <v>483</v>
      </c>
      <c r="V113" s="109">
        <f>+GETPIVOTDATA(" Tot # Undes. New",'NEW Counts Pivot Table'!$A$3,"State","TX","Category",3,"Category2","Four-Year")</f>
        <v>969</v>
      </c>
      <c r="W113" s="109">
        <f>+GETPIVOTDATA(" Tot # Undes. New",'NEW Counts Pivot Table'!$A$3,"State","TX","Category",4,"Category2","Four-Year")</f>
        <v>39</v>
      </c>
      <c r="X113" s="109">
        <f>+GETPIVOTDATA(" Tot # Undes. New",'NEW Counts Pivot Table'!$A$3,"State","TX","Category",5,"Category2","Four-Year")</f>
        <v>35</v>
      </c>
      <c r="Y113" s="109">
        <f>+GETPIVOTDATA(" Tot # Undes. New",'NEW Counts Pivot Table'!$A$3,"State","TX","Category",6,"Category2","Four-Year")</f>
        <v>44</v>
      </c>
      <c r="Z113" s="111">
        <f>+GETPIVOTDATA(" Tot # Undes. New",'NEW Counts Pivot Table'!$A$3,"State","TX","Category2","Four-Year")</f>
        <v>2809</v>
      </c>
      <c r="AA113" s="108">
        <f>+GETPIVOTDATA(" Tot # Undes. New",'NEW Counts Pivot Table'!$A$3,"State","AR","Category",7,"Category2","Group2")</f>
        <v>0</v>
      </c>
      <c r="AB113" s="109">
        <f>+GETPIVOTDATA(" Tot # Undes. New",'NEW Counts Pivot Table'!$A$3,"State","AR","Category",8,"Category2","Group2")</f>
        <v>0</v>
      </c>
      <c r="AC113" s="109">
        <f>+GETPIVOTDATA(" Tot # Undes. New",'NEW Counts Pivot Table'!$A$3,"State","DE","Category",9,"Category2","Group2")</f>
        <v>0</v>
      </c>
      <c r="AD113" s="109">
        <f>+GETPIVOTDATA(" Tot # Undes. New",'NEW Counts Pivot Table'!$A$3,"State","DE","Category",10,"Category2","Group2")</f>
        <v>0</v>
      </c>
      <c r="AE113" s="109">
        <f>+GETPIVOTDATA(" Tot # Undes. New",'NEW Counts Pivot Table'!$A$3,"State","TX","Category","11","Category2","Group2")</f>
        <v>0</v>
      </c>
      <c r="AF113" s="110">
        <f>+GETPIVOTDATA(" Tot # Undes. New",'NEW Counts Pivot Table'!$A$3,"State","TX","Category2","Group2")</f>
        <v>77</v>
      </c>
      <c r="AG113" s="108">
        <f>+GETPIVOTDATA(" Tot # Undes. New",'NEW Counts Pivot Table'!$A$3,"State","TX","Category",12,"Category2","Technical Institutes")</f>
        <v>0</v>
      </c>
      <c r="AH113" s="109">
        <f>+GETPIVOTDATA(" Tot # Undes. New",'NEW Counts Pivot Table'!$A$3,"State","TX","Category",13,"Category2","Technical Institutes")</f>
        <v>0</v>
      </c>
      <c r="AI113" s="110">
        <f>+GETPIVOTDATA(" Tot # Undes. New",'NEW Counts Pivot Table'!$A$3,"State","TX","Category",14,"Category2","Technical Institutes")</f>
        <v>0</v>
      </c>
      <c r="AJ113" s="108">
        <f>+GETPIVOTDATA(" Tot # Undes. New",'NEW Counts Pivot Table'!$A$3,"State","TX","Category2","Technical Institutes")</f>
        <v>0</v>
      </c>
    </row>
    <row r="114" spans="1:38">
      <c r="A114" s="30"/>
      <c r="B114" s="38" t="s">
        <v>314</v>
      </c>
      <c r="C114" s="32">
        <f t="shared" si="42"/>
        <v>4.2864778193479426E-2</v>
      </c>
      <c r="D114" s="34">
        <f t="shared" si="42"/>
        <v>8.0453842186694172E-2</v>
      </c>
      <c r="E114" s="34">
        <f t="shared" si="42"/>
        <v>2.8020014295925662E-2</v>
      </c>
      <c r="F114" s="34">
        <f t="shared" si="42"/>
        <v>4.1269841269841269E-2</v>
      </c>
      <c r="G114" s="34">
        <f t="shared" si="42"/>
        <v>3.0927835051546393E-2</v>
      </c>
      <c r="H114" s="68">
        <f t="shared" si="42"/>
        <v>0</v>
      </c>
      <c r="I114" s="32">
        <f t="shared" si="42"/>
        <v>4.0800210581732034E-2</v>
      </c>
      <c r="J114" s="32">
        <f t="shared" si="42"/>
        <v>0</v>
      </c>
      <c r="K114" s="34">
        <f t="shared" si="42"/>
        <v>1</v>
      </c>
      <c r="L114" s="34">
        <f t="shared" si="42"/>
        <v>1</v>
      </c>
      <c r="M114" s="34">
        <f t="shared" si="43"/>
        <v>1</v>
      </c>
      <c r="N114" s="32">
        <f t="shared" si="44"/>
        <v>0.23496240601503759</v>
      </c>
      <c r="O114" s="32">
        <f t="shared" si="44"/>
        <v>0</v>
      </c>
      <c r="P114" s="34">
        <f t="shared" si="44"/>
        <v>0</v>
      </c>
      <c r="Q114" s="68">
        <f t="shared" si="44"/>
        <v>0</v>
      </c>
      <c r="R114" s="32">
        <f t="shared" si="44"/>
        <v>0</v>
      </c>
      <c r="S114" s="87"/>
      <c r="T114" s="108">
        <f>+GETPIVOTDATA(" Tot # Single Rnk New",'NEW Counts Pivot Table'!$A$3,"State","TX","Category",1,"Category2","Four-Year")</f>
        <v>401</v>
      </c>
      <c r="U114" s="109">
        <f>+GETPIVOTDATA(" Tot # Single Rnk New",'NEW Counts Pivot Table'!$A$3,"State","TX","Category",2,"Category2","Four-Year")</f>
        <v>156</v>
      </c>
      <c r="V114" s="109">
        <f>+GETPIVOTDATA(" Tot # Single Rnk New",'NEW Counts Pivot Table'!$A$3,"State","TX","Category",3,"Category2","Four-Year")</f>
        <v>196</v>
      </c>
      <c r="W114" s="109">
        <f>+GETPIVOTDATA(" Tot # Single Rnk New",'NEW Counts Pivot Table'!$A$3,"State","TX","Category",4,"Category2","Four-Year")</f>
        <v>13</v>
      </c>
      <c r="X114" s="109">
        <f>+GETPIVOTDATA(" Tot # Single Rnk New",'NEW Counts Pivot Table'!$A$3,"State","TX","Category",5,"Category2","Four-Year")</f>
        <v>9</v>
      </c>
      <c r="Y114" s="109">
        <f>+GETPIVOTDATA(" Tot # Single Rnk New",'NEW Counts Pivot Table'!$A$3,"State","TX","Category",6,"Category2","Four-Year")</f>
        <v>0</v>
      </c>
      <c r="Z114" s="111">
        <f>+GETPIVOTDATA(" Tot # Single Rnk New",'NEW Counts Pivot Table'!$A$3,"State","TX","Category2","Four-Year")</f>
        <v>775</v>
      </c>
      <c r="AA114" s="108">
        <f>+GETPIVOTDATA(" Tot # Single Rnk New",'NEW Counts Pivot Table'!$A$3,"State","AR","Category",7,"Category2","Group2")</f>
        <v>0</v>
      </c>
      <c r="AB114" s="109">
        <f>+GETPIVOTDATA(" Tot # Single Rnk New",'NEW Counts Pivot Table'!$A$3,"State","AR","Category",8,"Category2","Group2")</f>
        <v>171</v>
      </c>
      <c r="AC114" s="109">
        <f>+GETPIVOTDATA(" Tot # Single Rnk New",'NEW Counts Pivot Table'!$A$3,"State","DE","Category",9,"Category2","Group2")</f>
        <v>300</v>
      </c>
      <c r="AD114" s="109">
        <f>+GETPIVOTDATA(" Tot # Single Rnk New",'NEW Counts Pivot Table'!$A$3,"State","DE","Category",10,"Category2","Group2")</f>
        <v>84</v>
      </c>
      <c r="AE114" s="109">
        <f>+GETPIVOTDATA(" Tot # Single Rnk New",'NEW Counts Pivot Table'!$A$3,"State","TX","Category","11","Category2","Group2")</f>
        <v>0</v>
      </c>
      <c r="AF114" s="110">
        <f>+GETPIVOTDATA(" Tot # Single Rnk New",'NEW Counts Pivot Table'!$A$3,"State","TX","Category2","Group2")</f>
        <v>3125</v>
      </c>
      <c r="AG114" s="108">
        <f>+GETPIVOTDATA(" Tot # Single Rnk New",'NEW Counts Pivot Table'!$A$3,"State","TX","Category",12,"Category2","Technical Institutes")</f>
        <v>0</v>
      </c>
      <c r="AH114" s="109">
        <f>+GETPIVOTDATA(" Tot # Single Rnk New",'NEW Counts Pivot Table'!$A$3,"State","TX","Category",13,"Category2","Technical Institutes")</f>
        <v>0</v>
      </c>
      <c r="AI114" s="110">
        <f>+GETPIVOTDATA(" Tot # Single Rnk New",'NEW Counts Pivot Table'!$A$3,"State","TX","Category",14,"Category2","Technical Institutes")</f>
        <v>0</v>
      </c>
      <c r="AJ114" s="108">
        <f>+GETPIVOTDATA(" Tot # Single Rnk New",'NEW Counts Pivot Table'!$A$3,"State","TX","Category2","Technical Institutes")</f>
        <v>0</v>
      </c>
    </row>
    <row r="115" spans="1:38" s="54" customFormat="1">
      <c r="A115" s="191"/>
      <c r="B115" s="192" t="s">
        <v>316</v>
      </c>
      <c r="C115" s="33">
        <f t="shared" si="42"/>
        <v>1</v>
      </c>
      <c r="D115" s="31">
        <f t="shared" si="42"/>
        <v>1</v>
      </c>
      <c r="E115" s="31">
        <f t="shared" si="42"/>
        <v>1</v>
      </c>
      <c r="F115" s="31">
        <f t="shared" si="42"/>
        <v>1</v>
      </c>
      <c r="G115" s="31">
        <f t="shared" si="42"/>
        <v>1</v>
      </c>
      <c r="H115" s="69">
        <f t="shared" si="42"/>
        <v>1</v>
      </c>
      <c r="I115" s="33">
        <f t="shared" si="42"/>
        <v>1</v>
      </c>
      <c r="J115" s="33">
        <f t="shared" si="42"/>
        <v>0</v>
      </c>
      <c r="K115" s="31">
        <f t="shared" si="42"/>
        <v>1</v>
      </c>
      <c r="L115" s="31">
        <f t="shared" si="42"/>
        <v>1</v>
      </c>
      <c r="M115" s="31">
        <f t="shared" si="43"/>
        <v>1</v>
      </c>
      <c r="N115" s="33">
        <f t="shared" si="44"/>
        <v>1</v>
      </c>
      <c r="O115" s="33">
        <f t="shared" si="44"/>
        <v>0</v>
      </c>
      <c r="P115" s="31">
        <f t="shared" si="44"/>
        <v>0</v>
      </c>
      <c r="Q115" s="69">
        <f t="shared" si="44"/>
        <v>0</v>
      </c>
      <c r="R115" s="33">
        <f t="shared" si="44"/>
        <v>0</v>
      </c>
      <c r="S115" s="88"/>
      <c r="T115" s="112">
        <f>+GETPIVOTDATA(" All Ranks # New",'NEW Counts Pivot Table'!$A$3,"State","TX","Category",1,"Category2","Four-Year")</f>
        <v>9355</v>
      </c>
      <c r="U115" s="113">
        <f>+GETPIVOTDATA(" All Ranks # New",'NEW Counts Pivot Table'!$A$3,"State","TX","Category",2,"Category2","Four-Year")</f>
        <v>1939</v>
      </c>
      <c r="V115" s="113">
        <f>+GETPIVOTDATA(" All Ranks # New",'NEW Counts Pivot Table'!$A$3,"State","TX","Category",3,"Category2","Four-Year")</f>
        <v>6995</v>
      </c>
      <c r="W115" s="113">
        <f>+GETPIVOTDATA(" All Ranks # New",'NEW Counts Pivot Table'!$A$3,"State","TX","Category",4,"Category2","Four-Year")</f>
        <v>315</v>
      </c>
      <c r="X115" s="113">
        <f>+GETPIVOTDATA(" All Ranks # New",'NEW Counts Pivot Table'!$A$3,"State","TX","Category",5,"Category2","Four-Year")</f>
        <v>291</v>
      </c>
      <c r="Y115" s="113">
        <f>+GETPIVOTDATA(" All Ranks # New",'NEW Counts Pivot Table'!$A$3,"State","TX","Category",6,"Category2","Four-Year")</f>
        <v>100</v>
      </c>
      <c r="Z115" s="115">
        <f>+GETPIVOTDATA(" All Ranks # New",'NEW Counts Pivot Table'!$A$3,"State","TX","Category2","Four-Year")</f>
        <v>18995</v>
      </c>
      <c r="AA115" s="112">
        <f>+GETPIVOTDATA(" All Ranks # New",'NEW Counts Pivot Table'!$A$3,"State","AR","Category",7,"Category2","Group2")</f>
        <v>0</v>
      </c>
      <c r="AB115" s="113">
        <f>+GETPIVOTDATA(" All Ranks # New",'NEW Counts Pivot Table'!$A$3,"State","AR","Category",8,"Category2","Group2")</f>
        <v>171</v>
      </c>
      <c r="AC115" s="113">
        <f>+GETPIVOTDATA(" All Ranks # New",'NEW Counts Pivot Table'!$A$3,"State","DE","Category",9,"Category2","Group2")</f>
        <v>300</v>
      </c>
      <c r="AD115" s="113">
        <f>+GETPIVOTDATA(" All Ranks # New",'NEW Counts Pivot Table'!$A$3,"State","DE","Category",10,"Category2","Group2")</f>
        <v>84</v>
      </c>
      <c r="AE115" s="113">
        <f>+GETPIVOTDATA(" All Ranks # New",'NEW Counts Pivot Table'!$A$3,"State","TX","Category","11","Category2","Group2")</f>
        <v>0</v>
      </c>
      <c r="AF115" s="114">
        <f>+GETPIVOTDATA(" All Ranks # New",'NEW Counts Pivot Table'!$A$3,"State","TX","Category2","Group2")</f>
        <v>13300</v>
      </c>
      <c r="AG115" s="112">
        <f>+GETPIVOTDATA(" All Ranks # New",'NEW Counts Pivot Table'!$A$3,"State","TX","Category",12,"Category2","Technical Institutes")</f>
        <v>0</v>
      </c>
      <c r="AH115" s="113">
        <f>+GETPIVOTDATA(" All Ranks # New",'NEW Counts Pivot Table'!$A$3,"State","TX","Category",13,"Category2","Technical Institutes")</f>
        <v>0</v>
      </c>
      <c r="AI115" s="114">
        <f>+GETPIVOTDATA(" All Ranks # New",'NEW Counts Pivot Table'!$A$3,"State","TX","Category",14,"Category2","Technical Institutes")</f>
        <v>0</v>
      </c>
      <c r="AJ115" s="112">
        <f>+GETPIVOTDATA(" All Ranks # New",'NEW Counts Pivot Table'!$A$3,"State","TX","Category2","Technical Institutes")</f>
        <v>0</v>
      </c>
      <c r="AK115" s="116"/>
      <c r="AL115" s="116"/>
    </row>
    <row r="116" spans="1:38">
      <c r="A116" s="38" t="s">
        <v>344</v>
      </c>
      <c r="B116" s="35" t="s">
        <v>332</v>
      </c>
      <c r="C116" s="36">
        <f t="shared" ref="C116:L122" si="45">IF(T$122&gt;0,(T116/T$122),0)</f>
        <v>0.34728323699421965</v>
      </c>
      <c r="D116" s="37">
        <f t="shared" si="45"/>
        <v>0.25348837209302327</v>
      </c>
      <c r="E116" s="37">
        <f t="shared" si="45"/>
        <v>0.294468085106383</v>
      </c>
      <c r="F116" s="37">
        <f t="shared" si="45"/>
        <v>0.25624999999999998</v>
      </c>
      <c r="G116" s="37">
        <f t="shared" si="45"/>
        <v>0.23242467718794835</v>
      </c>
      <c r="H116" s="67">
        <f t="shared" si="45"/>
        <v>0.2</v>
      </c>
      <c r="I116" s="36">
        <f t="shared" si="45"/>
        <v>0.30392043483289</v>
      </c>
      <c r="J116" s="36">
        <f t="shared" si="45"/>
        <v>0</v>
      </c>
      <c r="K116" s="37">
        <f t="shared" si="45"/>
        <v>0</v>
      </c>
      <c r="L116" s="37">
        <f t="shared" si="45"/>
        <v>0</v>
      </c>
      <c r="M116" s="37">
        <f t="shared" ref="M116:M122" si="46">IF(AD$122&gt;0,(AD116/AD$122),0)</f>
        <v>0</v>
      </c>
      <c r="N116" s="36">
        <f t="shared" ref="N116:R122" si="47">IF(AF$122&gt;0,(AF116/AF$122),0)</f>
        <v>0.20053120849933598</v>
      </c>
      <c r="O116" s="152">
        <f t="shared" si="47"/>
        <v>0</v>
      </c>
      <c r="P116" s="37">
        <f t="shared" si="47"/>
        <v>0</v>
      </c>
      <c r="Q116" s="67">
        <f t="shared" si="47"/>
        <v>0</v>
      </c>
      <c r="R116" s="152">
        <f t="shared" si="47"/>
        <v>0</v>
      </c>
      <c r="S116" s="117"/>
      <c r="T116" s="104">
        <f>+GETPIVOTDATA(" Total # Prof New",'NEW Counts Pivot Table'!$A$3,"State","VA","Category",1,"Category2","Four-Year")</f>
        <v>1502</v>
      </c>
      <c r="U116" s="105">
        <f>+GETPIVOTDATA(" Total # Prof New",'NEW Counts Pivot Table'!$A$3,"State","VA","Category",2,"Category2","Four-Year")</f>
        <v>436</v>
      </c>
      <c r="V116" s="105">
        <f>+GETPIVOTDATA(" Total # Prof New",'NEW Counts Pivot Table'!$A$3,"State","VA","Category",3,"Category2","Four-Year")</f>
        <v>346</v>
      </c>
      <c r="W116" s="105">
        <f>+GETPIVOTDATA(" Total # Prof New",'NEW Counts Pivot Table'!$A$3,"State","VA","Category",4,"Category2","Four-Year")</f>
        <v>164</v>
      </c>
      <c r="X116" s="105">
        <f>+GETPIVOTDATA(" Total # Prof New",'NEW Counts Pivot Table'!$A$3,"State","VA","Category",5,"Category2","Four-Year")</f>
        <v>162</v>
      </c>
      <c r="Y116" s="105">
        <f>+GETPIVOTDATA(" Total # Prof New",'NEW Counts Pivot Table'!$A$3,"State","VA","Category",6,"Category2","Four-Year")</f>
        <v>18</v>
      </c>
      <c r="Z116" s="107">
        <f>+GETPIVOTDATA(" Total # Prof New",'NEW Counts Pivot Table'!$A$3,"State","VA","Category2","Four-Year")</f>
        <v>2628</v>
      </c>
      <c r="AA116" s="104">
        <f>+GETPIVOTDATA(" Total # Prof New",'NEW Counts Pivot Table'!$A$3,"State","AR","Category",7,"Category2","Group2")</f>
        <v>0</v>
      </c>
      <c r="AB116" s="105">
        <f>+GETPIVOTDATA(" Total # Prof New",'NEW Counts Pivot Table'!$A$3,"State","AR","Category",8,"Category2","Group2")</f>
        <v>0</v>
      </c>
      <c r="AC116" s="105">
        <f>+GETPIVOTDATA(" Total # Prof New",'NEW Counts Pivot Table'!$A$3,"State","DE","Category",9,"Category2","Group2")</f>
        <v>0</v>
      </c>
      <c r="AD116" s="105">
        <f>+GETPIVOTDATA(" Total # Prof New",'NEW Counts Pivot Table'!$A$3,"State","DE","Category",10,"Category2","Group2")</f>
        <v>0</v>
      </c>
      <c r="AE116" s="105">
        <f>+GETPIVOTDATA(" Total # Prof New",'NEW Counts Pivot Table'!$A$3,"State","VA","Category","11","Category2","Group2")</f>
        <v>444</v>
      </c>
      <c r="AF116" s="106">
        <f>+GETPIVOTDATA(" Total # Prof New",'NEW Counts Pivot Table'!$A$3,"State","VA","Category2","Group2")</f>
        <v>453</v>
      </c>
      <c r="AG116" s="104">
        <f>+GETPIVOTDATA(" Total # Prof New",'NEW Counts Pivot Table'!$A$3,"State","VA","Category",12,"Category2","Technical Institutes")</f>
        <v>0</v>
      </c>
      <c r="AH116" s="105">
        <f>+GETPIVOTDATA(" Total # Prof New",'NEW Counts Pivot Table'!$A$3,"State","VA","Category",13,"Category2","Technical Institutes")</f>
        <v>0</v>
      </c>
      <c r="AI116" s="106">
        <f>+GETPIVOTDATA(" Total # Prof New",'NEW Counts Pivot Table'!$A$3,"State","VA","Category",14,"Category2","Technical Institutes")</f>
        <v>0</v>
      </c>
      <c r="AJ116" s="104">
        <f>+GETPIVOTDATA(" Total # Prof New",'NEW Counts Pivot Table'!$A$3,"State","VA","Category2","Technical Institutes")</f>
        <v>0</v>
      </c>
    </row>
    <row r="117" spans="1:38">
      <c r="A117" s="30"/>
      <c r="B117" s="38" t="s">
        <v>333</v>
      </c>
      <c r="C117" s="32">
        <f t="shared" si="45"/>
        <v>0.29919075144508672</v>
      </c>
      <c r="D117" s="34">
        <f t="shared" si="45"/>
        <v>0.28488372093023256</v>
      </c>
      <c r="E117" s="34">
        <f t="shared" si="45"/>
        <v>0.24765957446808512</v>
      </c>
      <c r="F117" s="34">
        <f t="shared" si="45"/>
        <v>0.29062500000000002</v>
      </c>
      <c r="G117" s="34">
        <f t="shared" si="45"/>
        <v>0.32711621233859395</v>
      </c>
      <c r="H117" s="68">
        <f t="shared" si="45"/>
        <v>0.32222222222222224</v>
      </c>
      <c r="I117" s="32">
        <f t="shared" si="45"/>
        <v>0.2911992598589106</v>
      </c>
      <c r="J117" s="32">
        <f t="shared" si="45"/>
        <v>0</v>
      </c>
      <c r="K117" s="34">
        <f t="shared" si="45"/>
        <v>0</v>
      </c>
      <c r="L117" s="34">
        <f t="shared" si="45"/>
        <v>0</v>
      </c>
      <c r="M117" s="34">
        <f t="shared" si="46"/>
        <v>0</v>
      </c>
      <c r="N117" s="32">
        <f t="shared" si="47"/>
        <v>0.3010181496237273</v>
      </c>
      <c r="O117" s="32">
        <f t="shared" si="47"/>
        <v>0</v>
      </c>
      <c r="P117" s="34">
        <f t="shared" si="47"/>
        <v>0</v>
      </c>
      <c r="Q117" s="68">
        <f t="shared" si="47"/>
        <v>0</v>
      </c>
      <c r="R117" s="32">
        <f t="shared" si="47"/>
        <v>0</v>
      </c>
      <c r="S117" s="87"/>
      <c r="T117" s="108">
        <f>+GETPIVOTDATA(" Tot # Asc. Prof New",'NEW Counts Pivot Table'!$A$3,"State","VA","Category",1,"Category2","Four-Year")</f>
        <v>1294</v>
      </c>
      <c r="U117" s="109">
        <f>+GETPIVOTDATA(" Tot # Asc. Prof New",'NEW Counts Pivot Table'!$A$3,"State","VA","Category",2,"Category2","Four-Year")</f>
        <v>490</v>
      </c>
      <c r="V117" s="109">
        <f>+GETPIVOTDATA(" Tot # Asc. Prof New",'NEW Counts Pivot Table'!$A$3,"State","VA","Category",3,"Category2","Four-Year")</f>
        <v>291</v>
      </c>
      <c r="W117" s="109">
        <f>+GETPIVOTDATA(" Tot # Asc. Prof New",'NEW Counts Pivot Table'!$A$3,"State","VA","Category",4,"Category2","Four-Year")</f>
        <v>186</v>
      </c>
      <c r="X117" s="109">
        <f>+GETPIVOTDATA(" Tot # Asc. Prof New",'NEW Counts Pivot Table'!$A$3,"State","VA","Category",5,"Category2","Four-Year")</f>
        <v>228</v>
      </c>
      <c r="Y117" s="109">
        <f>+GETPIVOTDATA(" Tot # Asc. Prof New",'NEW Counts Pivot Table'!$A$3,"State","VA","Category",6,"Category2","Four-Year")</f>
        <v>29</v>
      </c>
      <c r="Z117" s="111">
        <f>+GETPIVOTDATA(" Tot # Asc. Prof New",'NEW Counts Pivot Table'!$A$3,"State","VA","Category2","Four-Year")</f>
        <v>2518</v>
      </c>
      <c r="AA117" s="108">
        <f>+GETPIVOTDATA(" Tot # Asc. Prof New",'NEW Counts Pivot Table'!$A$3,"State","AR","Category",7,"Category2","Group2")</f>
        <v>0</v>
      </c>
      <c r="AB117" s="109">
        <f>+GETPIVOTDATA(" Tot # Asc. Prof New",'NEW Counts Pivot Table'!$A$3,"State","AR","Category",8,"Category2","Group2")</f>
        <v>0</v>
      </c>
      <c r="AC117" s="109">
        <f>+GETPIVOTDATA(" Tot # Asc. Prof New",'NEW Counts Pivot Table'!$A$3,"State","DE","Category",9,"Category2","Group2")</f>
        <v>0</v>
      </c>
      <c r="AD117" s="109">
        <f>+GETPIVOTDATA(" Tot # Asc. Prof New",'NEW Counts Pivot Table'!$A$3,"State","DE","Category",10,"Category2","Group2")</f>
        <v>0</v>
      </c>
      <c r="AE117" s="109">
        <f>+GETPIVOTDATA(" Tot # Asc. Prof New",'NEW Counts Pivot Table'!$A$3,"State","VA","Category","11","Category2","Group2")</f>
        <v>667</v>
      </c>
      <c r="AF117" s="110">
        <f>+GETPIVOTDATA(" Tot # Asc. Prof New",'NEW Counts Pivot Table'!$A$3,"State","VA","Category2","Group2")</f>
        <v>680</v>
      </c>
      <c r="AG117" s="108">
        <f>+GETPIVOTDATA(" Tot # Asc. Prof New",'NEW Counts Pivot Table'!$A$3,"State","VA","Category",12,"Category2","Technical Institutes")</f>
        <v>0</v>
      </c>
      <c r="AH117" s="109">
        <f>+GETPIVOTDATA(" Tot # Asc. Prof New",'NEW Counts Pivot Table'!$A$3,"State","VA","Category",13,"Category2","Technical Institutes")</f>
        <v>0</v>
      </c>
      <c r="AI117" s="110">
        <f>+GETPIVOTDATA(" Tot # Asc. Prof New",'NEW Counts Pivot Table'!$A$3,"State","VA","Category",14,"Category2","Technical Institutes")</f>
        <v>0</v>
      </c>
      <c r="AJ117" s="108">
        <f>+GETPIVOTDATA(" Tot # Asc. Prof New",'NEW Counts Pivot Table'!$A$3,"State","VA","Category2","Technical Institutes")</f>
        <v>0</v>
      </c>
    </row>
    <row r="118" spans="1:38">
      <c r="A118" s="30"/>
      <c r="B118" s="38" t="s">
        <v>334</v>
      </c>
      <c r="C118" s="32">
        <f t="shared" si="45"/>
        <v>0.23375722543352601</v>
      </c>
      <c r="D118" s="34">
        <f t="shared" si="45"/>
        <v>0.29709302325581394</v>
      </c>
      <c r="E118" s="34">
        <f t="shared" si="45"/>
        <v>0.30893617021276598</v>
      </c>
      <c r="F118" s="34">
        <f t="shared" si="45"/>
        <v>0.33750000000000002</v>
      </c>
      <c r="G118" s="34">
        <f t="shared" si="45"/>
        <v>0.28120516499282638</v>
      </c>
      <c r="H118" s="68">
        <f t="shared" si="45"/>
        <v>0.22222222222222221</v>
      </c>
      <c r="I118" s="32">
        <f t="shared" si="45"/>
        <v>0.26795420377009366</v>
      </c>
      <c r="J118" s="32">
        <f t="shared" si="45"/>
        <v>0</v>
      </c>
      <c r="K118" s="34">
        <f t="shared" si="45"/>
        <v>0</v>
      </c>
      <c r="L118" s="34">
        <f t="shared" si="45"/>
        <v>0</v>
      </c>
      <c r="M118" s="34">
        <f t="shared" si="46"/>
        <v>0</v>
      </c>
      <c r="N118" s="32">
        <f t="shared" si="47"/>
        <v>0.30721558211598055</v>
      </c>
      <c r="O118" s="32">
        <f t="shared" si="47"/>
        <v>0</v>
      </c>
      <c r="P118" s="34">
        <f t="shared" si="47"/>
        <v>0</v>
      </c>
      <c r="Q118" s="68">
        <f t="shared" si="47"/>
        <v>0</v>
      </c>
      <c r="R118" s="32">
        <f t="shared" si="47"/>
        <v>0</v>
      </c>
      <c r="S118" s="87"/>
      <c r="T118" s="108">
        <f>+GETPIVOTDATA(" Tot # Ast. Prof New",'NEW Counts Pivot Table'!$A$3,"State","VA","Category",1,"Category2","Four-Year")</f>
        <v>1011</v>
      </c>
      <c r="U118" s="109">
        <f>+GETPIVOTDATA(" Tot # Ast. Prof New",'NEW Counts Pivot Table'!$A$3,"State","VA","Category",2,"Category2","Four-Year")</f>
        <v>511</v>
      </c>
      <c r="V118" s="109">
        <f>+GETPIVOTDATA(" Tot # Ast. Prof New",'NEW Counts Pivot Table'!$A$3,"State","VA","Category",3,"Category2","Four-Year")</f>
        <v>363</v>
      </c>
      <c r="W118" s="109">
        <f>+GETPIVOTDATA(" Tot # Ast. Prof New",'NEW Counts Pivot Table'!$A$3,"State","VA","Category",4,"Category2","Four-Year")</f>
        <v>216</v>
      </c>
      <c r="X118" s="109">
        <f>+GETPIVOTDATA(" Tot # Ast. Prof New",'NEW Counts Pivot Table'!$A$3,"State","VA","Category",5,"Category2","Four-Year")</f>
        <v>196</v>
      </c>
      <c r="Y118" s="109">
        <f>+GETPIVOTDATA(" Tot # Ast. Prof New",'NEW Counts Pivot Table'!$A$3,"State","VA","Category",6,"Category2","Four-Year")</f>
        <v>20</v>
      </c>
      <c r="Z118" s="111">
        <f>+GETPIVOTDATA(" Tot # Ast. Prof New",'NEW Counts Pivot Table'!$A$3,"State","VA","Category2","Four-Year")</f>
        <v>2317</v>
      </c>
      <c r="AA118" s="108">
        <f>+GETPIVOTDATA(" Tot # Ast. Prof New",'NEW Counts Pivot Table'!$A$3,"State","AR","Category",7,"Category2","Group2")</f>
        <v>0</v>
      </c>
      <c r="AB118" s="109">
        <f>+GETPIVOTDATA(" Tot # Ast. Prof New",'NEW Counts Pivot Table'!$A$3,"State","AR","Category",8,"Category2","Group2")</f>
        <v>0</v>
      </c>
      <c r="AC118" s="109">
        <f>+GETPIVOTDATA(" Tot # Ast. Prof New",'NEW Counts Pivot Table'!$A$3,"State","DE","Category",9,"Category2","Group2")</f>
        <v>0</v>
      </c>
      <c r="AD118" s="109">
        <f>+GETPIVOTDATA(" Tot # Ast. Prof New",'NEW Counts Pivot Table'!$A$3,"State","DE","Category",10,"Category2","Group2")</f>
        <v>0</v>
      </c>
      <c r="AE118" s="109">
        <f>+GETPIVOTDATA(" Tot # Ast. Prof New",'NEW Counts Pivot Table'!$A$3,"State","VA","Category","11","Category2","Group2")</f>
        <v>683</v>
      </c>
      <c r="AF118" s="110">
        <f>+GETPIVOTDATA(" Tot # Ast. Prof New",'NEW Counts Pivot Table'!$A$3,"State","VA","Category2","Group2")</f>
        <v>694</v>
      </c>
      <c r="AG118" s="108">
        <f>+GETPIVOTDATA(" Tot # Ast. Prof New",'NEW Counts Pivot Table'!$A$3,"State","VA","Category",12,"Category2","Technical Institutes")</f>
        <v>0</v>
      </c>
      <c r="AH118" s="109">
        <f>+GETPIVOTDATA(" Tot # Ast. Prof New",'NEW Counts Pivot Table'!$A$3,"State","VA","Category",13,"Category2","Technical Institutes")</f>
        <v>0</v>
      </c>
      <c r="AI118" s="110">
        <f>+GETPIVOTDATA(" Tot # Ast. Prof New",'NEW Counts Pivot Table'!$A$3,"State","VA","Category",14,"Category2","Technical Institutes")</f>
        <v>0</v>
      </c>
      <c r="AJ118" s="108">
        <f>+GETPIVOTDATA(" Tot # Ast. Prof New",'NEW Counts Pivot Table'!$A$3,"State","VA","Category2","Technical Institutes")</f>
        <v>0</v>
      </c>
    </row>
    <row r="119" spans="1:38">
      <c r="A119" s="30"/>
      <c r="B119" s="38" t="s">
        <v>335</v>
      </c>
      <c r="C119" s="32">
        <f t="shared" si="45"/>
        <v>6.7514450867052017E-2</v>
      </c>
      <c r="D119" s="34">
        <f t="shared" si="45"/>
        <v>0.15930232558139534</v>
      </c>
      <c r="E119" s="34">
        <f t="shared" si="45"/>
        <v>0.14893617021276595</v>
      </c>
      <c r="F119" s="34">
        <f t="shared" si="45"/>
        <v>0.1140625</v>
      </c>
      <c r="G119" s="34">
        <f t="shared" si="45"/>
        <v>0.10043041606886657</v>
      </c>
      <c r="H119" s="68">
        <f t="shared" si="45"/>
        <v>0.24444444444444444</v>
      </c>
      <c r="I119" s="32">
        <f t="shared" si="45"/>
        <v>0.10477622296750318</v>
      </c>
      <c r="J119" s="32">
        <f t="shared" si="45"/>
        <v>0</v>
      </c>
      <c r="K119" s="34">
        <f t="shared" si="45"/>
        <v>0</v>
      </c>
      <c r="L119" s="34">
        <f t="shared" si="45"/>
        <v>0</v>
      </c>
      <c r="M119" s="34">
        <f t="shared" si="46"/>
        <v>0</v>
      </c>
      <c r="N119" s="32">
        <f t="shared" si="47"/>
        <v>0.19079238601150952</v>
      </c>
      <c r="O119" s="32">
        <f t="shared" si="47"/>
        <v>0</v>
      </c>
      <c r="P119" s="34">
        <f t="shared" si="47"/>
        <v>0</v>
      </c>
      <c r="Q119" s="68">
        <f t="shared" si="47"/>
        <v>0</v>
      </c>
      <c r="R119" s="32">
        <f t="shared" si="47"/>
        <v>0</v>
      </c>
      <c r="S119" s="87"/>
      <c r="T119" s="108">
        <f>+GETPIVOTDATA(" Tot # Instr. New",'NEW Counts Pivot Table'!$A$3,"State","VA","Category",1,"Category2","Four-Year")</f>
        <v>292</v>
      </c>
      <c r="U119" s="109">
        <f>+GETPIVOTDATA(" Tot # Instr. New",'NEW Counts Pivot Table'!$A$3,"State","VA","Category",2,"Category2","Four-Year")</f>
        <v>274</v>
      </c>
      <c r="V119" s="109">
        <f>+GETPIVOTDATA(" Tot # Instr. New",'NEW Counts Pivot Table'!$A$3,"State","VA","Category",3,"Category2","Four-Year")</f>
        <v>175</v>
      </c>
      <c r="W119" s="109">
        <f>+GETPIVOTDATA(" Tot # Instr. New",'NEW Counts Pivot Table'!$A$3,"State","VA","Category",4,"Category2","Four-Year")</f>
        <v>73</v>
      </c>
      <c r="X119" s="109">
        <f>+GETPIVOTDATA(" Tot # Instr. New",'NEW Counts Pivot Table'!$A$3,"State","VA","Category",5,"Category2","Four-Year")</f>
        <v>70</v>
      </c>
      <c r="Y119" s="109">
        <f>+GETPIVOTDATA(" Tot # Instr. New",'NEW Counts Pivot Table'!$A$3,"State","VA","Category",6,"Category2","Four-Year")</f>
        <v>22</v>
      </c>
      <c r="Z119" s="111">
        <f>+GETPIVOTDATA(" Tot # Instr. New",'NEW Counts Pivot Table'!$A$3,"State","VA","Category2","Four-Year")</f>
        <v>906</v>
      </c>
      <c r="AA119" s="108">
        <f>+GETPIVOTDATA(" Tot # Instr. New",'NEW Counts Pivot Table'!$A$3,"State","AR","Category",7,"Category2","Group2")</f>
        <v>0</v>
      </c>
      <c r="AB119" s="109">
        <f>+GETPIVOTDATA(" Tot # Instr. New",'NEW Counts Pivot Table'!$A$3,"State","AR","Category",8,"Category2","Group2")</f>
        <v>0</v>
      </c>
      <c r="AC119" s="109">
        <f>+GETPIVOTDATA(" Tot # Instr. New",'NEW Counts Pivot Table'!$A$3,"State","DE","Category",9,"Category2","Group2")</f>
        <v>0</v>
      </c>
      <c r="AD119" s="109">
        <f>+GETPIVOTDATA(" Tot # Instr. New",'NEW Counts Pivot Table'!$A$3,"State","DE","Category",10,"Category2","Group2")</f>
        <v>0</v>
      </c>
      <c r="AE119" s="109">
        <f>+GETPIVOTDATA(" Tot # Instr. New",'NEW Counts Pivot Table'!$A$3,"State","VA","Category","11","Category2","Group2")</f>
        <v>431</v>
      </c>
      <c r="AF119" s="110">
        <f>+GETPIVOTDATA(" Tot # Instr. New",'NEW Counts Pivot Table'!$A$3,"State","VA","Category2","Group2")</f>
        <v>431</v>
      </c>
      <c r="AG119" s="108">
        <f>+GETPIVOTDATA(" Tot # Instr. New",'NEW Counts Pivot Table'!$A$3,"State","VA","Category",12,"Category2","Technical Institutes")</f>
        <v>0</v>
      </c>
      <c r="AH119" s="109">
        <f>+GETPIVOTDATA(" Tot # Instr. New",'NEW Counts Pivot Table'!$A$3,"State","VA","Category",13,"Category2","Technical Institutes")</f>
        <v>0</v>
      </c>
      <c r="AI119" s="110">
        <f>+GETPIVOTDATA(" Tot # Instr. New",'NEW Counts Pivot Table'!$A$3,"State","VA","Category",14,"Category2","Technical Institutes")</f>
        <v>0</v>
      </c>
      <c r="AJ119" s="108">
        <f>+GETPIVOTDATA(" Tot # Instr. New",'NEW Counts Pivot Table'!$A$3,"State","VA","Category2","Technical Institutes")</f>
        <v>0</v>
      </c>
    </row>
    <row r="120" spans="1:38">
      <c r="A120" s="30"/>
      <c r="B120" s="38" t="s">
        <v>315</v>
      </c>
      <c r="C120" s="32">
        <f t="shared" si="45"/>
        <v>5.2254335260115609E-2</v>
      </c>
      <c r="D120" s="34">
        <f t="shared" si="45"/>
        <v>5.2325581395348836E-3</v>
      </c>
      <c r="E120" s="34">
        <f t="shared" si="45"/>
        <v>0</v>
      </c>
      <c r="F120" s="34">
        <f t="shared" si="45"/>
        <v>1.5625000000000001E-3</v>
      </c>
      <c r="G120" s="34">
        <f t="shared" si="45"/>
        <v>5.8823529411764705E-2</v>
      </c>
      <c r="H120" s="68">
        <f t="shared" si="45"/>
        <v>1.1111111111111112E-2</v>
      </c>
      <c r="I120" s="32">
        <f t="shared" si="45"/>
        <v>3.2149878570602523E-2</v>
      </c>
      <c r="J120" s="32">
        <f t="shared" si="45"/>
        <v>0</v>
      </c>
      <c r="K120" s="34">
        <f t="shared" si="45"/>
        <v>0</v>
      </c>
      <c r="L120" s="34">
        <f t="shared" si="45"/>
        <v>0</v>
      </c>
      <c r="M120" s="34">
        <f t="shared" si="46"/>
        <v>0</v>
      </c>
      <c r="N120" s="184">
        <f t="shared" si="47"/>
        <v>4.4267374944665782E-4</v>
      </c>
      <c r="O120" s="32">
        <f t="shared" si="47"/>
        <v>0</v>
      </c>
      <c r="P120" s="34">
        <f t="shared" si="47"/>
        <v>0</v>
      </c>
      <c r="Q120" s="68">
        <f t="shared" si="47"/>
        <v>0</v>
      </c>
      <c r="R120" s="32">
        <f t="shared" si="47"/>
        <v>0</v>
      </c>
      <c r="S120" s="87"/>
      <c r="T120" s="108">
        <f>++GETPIVOTDATA(" Tot # Undes. New",'NEW Counts Pivot Table'!$A$3,"State","VA","Category",1,"Category2","Four-Year")</f>
        <v>226</v>
      </c>
      <c r="U120" s="109">
        <f>+GETPIVOTDATA(" Tot # Undes. New",'NEW Counts Pivot Table'!$A$3,"State","VA","Category",2,"Category2","Four-Year")</f>
        <v>9</v>
      </c>
      <c r="V120" s="109">
        <f>+GETPIVOTDATA(" Tot # Undes. New",'NEW Counts Pivot Table'!$A$3,"State","VA","Category",3,"Category2","Four-Year")</f>
        <v>0</v>
      </c>
      <c r="W120" s="109">
        <f>+GETPIVOTDATA(" Tot # Undes. New",'NEW Counts Pivot Table'!$A$3,"State","VA","Category",4,"Category2","Four-Year")</f>
        <v>1</v>
      </c>
      <c r="X120" s="109">
        <f>+GETPIVOTDATA(" Tot # Undes. New",'NEW Counts Pivot Table'!$A$3,"State","VA","Category",5,"Category2","Four-Year")</f>
        <v>41</v>
      </c>
      <c r="Y120" s="109">
        <f>+GETPIVOTDATA(" Tot # Undes. New",'NEW Counts Pivot Table'!$A$3,"State","VA","Category",6,"Category2","Four-Year")</f>
        <v>1</v>
      </c>
      <c r="Z120" s="111">
        <f>+GETPIVOTDATA(" Tot # Undes. New",'NEW Counts Pivot Table'!$A$3,"State","VA","Category2","Four-Year")</f>
        <v>278</v>
      </c>
      <c r="AA120" s="108">
        <f>+GETPIVOTDATA(" Tot # Undes. New",'NEW Counts Pivot Table'!$A$3,"State","AR","Category",7,"Category2","Group2")</f>
        <v>0</v>
      </c>
      <c r="AB120" s="109">
        <f>+GETPIVOTDATA(" Tot # Undes. New",'NEW Counts Pivot Table'!$A$3,"State","AR","Category",8,"Category2","Group2")</f>
        <v>0</v>
      </c>
      <c r="AC120" s="109">
        <f>+GETPIVOTDATA(" Tot # Undes. New",'NEW Counts Pivot Table'!$A$3,"State","DE","Category",9,"Category2","Group2")</f>
        <v>0</v>
      </c>
      <c r="AD120" s="109">
        <f>+GETPIVOTDATA(" Tot # Undes. New",'NEW Counts Pivot Table'!$A$3,"State","DE","Category",10,"Category2","Group2")</f>
        <v>0</v>
      </c>
      <c r="AE120" s="109">
        <f>+GETPIVOTDATA(" Tot # Undes. New",'NEW Counts Pivot Table'!$A$3,"State","VA","Category","11","Category2","Group2")</f>
        <v>1</v>
      </c>
      <c r="AF120" s="110">
        <f>+GETPIVOTDATA(" Tot # Undes. New",'NEW Counts Pivot Table'!$A$3,"State","VA","Category2","Group2")</f>
        <v>1</v>
      </c>
      <c r="AG120" s="108">
        <f>+GETPIVOTDATA(" Tot # Undes. New",'NEW Counts Pivot Table'!$A$3,"State","VA","Category",12,"Category2","Technical Institutes")</f>
        <v>0</v>
      </c>
      <c r="AH120" s="109">
        <f>+GETPIVOTDATA(" Tot # Undes. New",'NEW Counts Pivot Table'!$A$3,"State","VA","Category",13,"Category2","Technical Institutes")</f>
        <v>0</v>
      </c>
      <c r="AI120" s="110">
        <f>+GETPIVOTDATA(" Tot # Undes. New",'NEW Counts Pivot Table'!$A$3,"State","VA","Category",14,"Category2","Technical Institutes")</f>
        <v>0</v>
      </c>
      <c r="AJ120" s="108">
        <f>+GETPIVOTDATA(" Tot # Undes. New",'NEW Counts Pivot Table'!$A$3,"State","VA","Category2","Technical Institutes")</f>
        <v>0</v>
      </c>
    </row>
    <row r="121" spans="1:38">
      <c r="A121" s="30"/>
      <c r="B121" s="38" t="s">
        <v>314</v>
      </c>
      <c r="C121" s="32">
        <f t="shared" si="45"/>
        <v>0</v>
      </c>
      <c r="D121" s="34">
        <f t="shared" si="45"/>
        <v>0</v>
      </c>
      <c r="E121" s="185">
        <f t="shared" si="45"/>
        <v>0</v>
      </c>
      <c r="F121" s="34">
        <f t="shared" si="45"/>
        <v>0</v>
      </c>
      <c r="G121" s="185">
        <f t="shared" si="45"/>
        <v>0</v>
      </c>
      <c r="H121" s="68">
        <f t="shared" si="45"/>
        <v>0</v>
      </c>
      <c r="I121" s="184">
        <f t="shared" si="45"/>
        <v>0</v>
      </c>
      <c r="J121" s="32">
        <f t="shared" si="45"/>
        <v>0</v>
      </c>
      <c r="K121" s="34">
        <f t="shared" si="45"/>
        <v>1</v>
      </c>
      <c r="L121" s="34">
        <f t="shared" si="45"/>
        <v>1</v>
      </c>
      <c r="M121" s="34">
        <f t="shared" si="46"/>
        <v>1</v>
      </c>
      <c r="N121" s="32">
        <f t="shared" si="47"/>
        <v>0</v>
      </c>
      <c r="O121" s="32">
        <f t="shared" si="47"/>
        <v>0</v>
      </c>
      <c r="P121" s="34">
        <f t="shared" si="47"/>
        <v>0</v>
      </c>
      <c r="Q121" s="68">
        <f t="shared" si="47"/>
        <v>0</v>
      </c>
      <c r="R121" s="32">
        <f t="shared" si="47"/>
        <v>0</v>
      </c>
      <c r="S121" s="87"/>
      <c r="T121" s="108">
        <f>+GETPIVOTDATA(" Tot # Single Rnk New",'NEW Counts Pivot Table'!$A$3,"State","VA","Category",1,"Category2","Four-Year")</f>
        <v>0</v>
      </c>
      <c r="U121" s="109">
        <f>+GETPIVOTDATA(" Tot # Single Rnk New",'NEW Counts Pivot Table'!$A$3,"State","VA","Category",2,"Category2","Four-Year")</f>
        <v>0</v>
      </c>
      <c r="V121" s="109">
        <f>+GETPIVOTDATA(" Tot # Single Rnk New",'NEW Counts Pivot Table'!$A$3,"State","VA","Category",3,"Category2","Four-Year")</f>
        <v>0</v>
      </c>
      <c r="W121" s="109">
        <f>+GETPIVOTDATA(" Tot # Single Rnk New",'NEW Counts Pivot Table'!$A$3,"State","VA","Category",4,"Category2","Four-Year")</f>
        <v>0</v>
      </c>
      <c r="X121" s="109">
        <f>+GETPIVOTDATA(" Tot # Single Rnk New",'NEW Counts Pivot Table'!$A$3,"State","VA","Category",5,"Category2","Four-Year")</f>
        <v>0</v>
      </c>
      <c r="Y121" s="109">
        <f>+GETPIVOTDATA(" Tot # Single Rnk New",'NEW Counts Pivot Table'!$A$3,"State","VA","Category",6,"Category2","Four-Year")</f>
        <v>0</v>
      </c>
      <c r="Z121" s="111">
        <f>+GETPIVOTDATA(" Tot # Single Rnk New",'NEW Counts Pivot Table'!$A$3,"State","VA","Category2","Four-Year")</f>
        <v>0</v>
      </c>
      <c r="AA121" s="108">
        <f>+GETPIVOTDATA(" Tot # Single Rnk New",'NEW Counts Pivot Table'!$A$3,"State","AR","Category",7,"Category2","Group2")</f>
        <v>0</v>
      </c>
      <c r="AB121" s="109">
        <f>+GETPIVOTDATA(" Tot # Single Rnk New",'NEW Counts Pivot Table'!$A$3,"State","AR","Category",8,"Category2","Group2")</f>
        <v>171</v>
      </c>
      <c r="AC121" s="109">
        <f>+GETPIVOTDATA(" Tot # Single Rnk New",'NEW Counts Pivot Table'!$A$3,"State","DE","Category",9,"Category2","Group2")</f>
        <v>300</v>
      </c>
      <c r="AD121" s="109">
        <f>+GETPIVOTDATA(" Tot # Single Rnk New",'NEW Counts Pivot Table'!$A$3,"State","DE","Category",10,"Category2","Group2")</f>
        <v>84</v>
      </c>
      <c r="AE121" s="109">
        <f>+GETPIVOTDATA(" Tot # Single Rnk New",'NEW Counts Pivot Table'!$A$3,"State","VA","Category","11","Category2","Group2")</f>
        <v>0</v>
      </c>
      <c r="AF121" s="110">
        <f>+GETPIVOTDATA(" Tot # Single Rnk New",'NEW Counts Pivot Table'!$A$3,"State","VA","Category2","Group2")</f>
        <v>0</v>
      </c>
      <c r="AG121" s="108">
        <f>+GETPIVOTDATA(" Tot # Single Rnk New",'NEW Counts Pivot Table'!$A$3,"State","VA","Category",12,"Category2","Technical Institutes")</f>
        <v>0</v>
      </c>
      <c r="AH121" s="109">
        <f>+GETPIVOTDATA(" Tot # Single Rnk New",'NEW Counts Pivot Table'!$A$3,"State","VA","Category",13,"Category2","Technical Institutes")</f>
        <v>0</v>
      </c>
      <c r="AI121" s="110">
        <f>+GETPIVOTDATA(" Tot # Single Rnk New",'NEW Counts Pivot Table'!$A$3,"State","VA","Category",14,"Category2","Technical Institutes")</f>
        <v>0</v>
      </c>
      <c r="AJ121" s="108">
        <f>+GETPIVOTDATA(" Tot # Single Rnk New",'NEW Counts Pivot Table'!$A$3,"State","VA","Category2","Technical Institutes")</f>
        <v>0</v>
      </c>
    </row>
    <row r="122" spans="1:38" s="54" customFormat="1">
      <c r="A122" s="191"/>
      <c r="B122" s="192" t="s">
        <v>316</v>
      </c>
      <c r="C122" s="33">
        <f t="shared" si="45"/>
        <v>1</v>
      </c>
      <c r="D122" s="31">
        <f t="shared" si="45"/>
        <v>1</v>
      </c>
      <c r="E122" s="31">
        <f t="shared" si="45"/>
        <v>1</v>
      </c>
      <c r="F122" s="31">
        <f t="shared" si="45"/>
        <v>1</v>
      </c>
      <c r="G122" s="31">
        <f t="shared" si="45"/>
        <v>1</v>
      </c>
      <c r="H122" s="69">
        <f t="shared" si="45"/>
        <v>1</v>
      </c>
      <c r="I122" s="33">
        <f t="shared" si="45"/>
        <v>1</v>
      </c>
      <c r="J122" s="33">
        <f t="shared" si="45"/>
        <v>0</v>
      </c>
      <c r="K122" s="31">
        <f t="shared" si="45"/>
        <v>1</v>
      </c>
      <c r="L122" s="31">
        <f t="shared" si="45"/>
        <v>1</v>
      </c>
      <c r="M122" s="31">
        <f t="shared" si="46"/>
        <v>1</v>
      </c>
      <c r="N122" s="33">
        <f t="shared" si="47"/>
        <v>1</v>
      </c>
      <c r="O122" s="33">
        <f t="shared" si="47"/>
        <v>0</v>
      </c>
      <c r="P122" s="31">
        <f t="shared" si="47"/>
        <v>0</v>
      </c>
      <c r="Q122" s="69">
        <f t="shared" si="47"/>
        <v>0</v>
      </c>
      <c r="R122" s="33">
        <f t="shared" si="47"/>
        <v>0</v>
      </c>
      <c r="S122" s="88"/>
      <c r="T122" s="112">
        <f>+GETPIVOTDATA(" All Ranks # New",'NEW Counts Pivot Table'!$A$3,"State","VA","Category",1,"Category2","Four-Year")</f>
        <v>4325</v>
      </c>
      <c r="U122" s="113">
        <f>+GETPIVOTDATA(" All Ranks # New",'NEW Counts Pivot Table'!$A$3,"State","VA","Category",2,"Category2","Four-Year")</f>
        <v>1720</v>
      </c>
      <c r="V122" s="113">
        <f>+GETPIVOTDATA(" All Ranks # New",'NEW Counts Pivot Table'!$A$3,"State","VA","Category",3,"Category2","Four-Year")</f>
        <v>1175</v>
      </c>
      <c r="W122" s="113">
        <f>+GETPIVOTDATA(" All Ranks # New",'NEW Counts Pivot Table'!$A$3,"State","VA","Category",4,"Category2","Four-Year")</f>
        <v>640</v>
      </c>
      <c r="X122" s="113">
        <f>+GETPIVOTDATA(" All Ranks # New",'NEW Counts Pivot Table'!$A$3,"State","VA","Category",5,"Category2","Four-Year")</f>
        <v>697</v>
      </c>
      <c r="Y122" s="113">
        <f>+GETPIVOTDATA(" All Ranks # New",'NEW Counts Pivot Table'!$A$3,"State","VA","Category",6,"Category2","Four-Year")</f>
        <v>90</v>
      </c>
      <c r="Z122" s="115">
        <f>+GETPIVOTDATA(" All Ranks # New",'NEW Counts Pivot Table'!$A$3,"State","VA","Category2","Four-Year")</f>
        <v>8647</v>
      </c>
      <c r="AA122" s="112">
        <f>+GETPIVOTDATA(" All Ranks # New",'NEW Counts Pivot Table'!$A$3,"State","AR","Category",7,"Category2","Group2")</f>
        <v>0</v>
      </c>
      <c r="AB122" s="113">
        <f>+GETPIVOTDATA(" All Ranks # New",'NEW Counts Pivot Table'!$A$3,"State","AR","Category",8,"Category2","Group2")</f>
        <v>171</v>
      </c>
      <c r="AC122" s="113">
        <f>+GETPIVOTDATA(" All Ranks # New",'NEW Counts Pivot Table'!$A$3,"State","DE","Category",9,"Category2","Group2")</f>
        <v>300</v>
      </c>
      <c r="AD122" s="113">
        <f>+GETPIVOTDATA(" All Ranks # New",'NEW Counts Pivot Table'!$A$3,"State","DE","Category",10,"Category2","Group2")</f>
        <v>84</v>
      </c>
      <c r="AE122" s="113">
        <f>+GETPIVOTDATA(" All Ranks # New",'NEW Counts Pivot Table'!$A$3,"State","VA","Category","11","Category2","Group2")</f>
        <v>2226</v>
      </c>
      <c r="AF122" s="114">
        <f>+GETPIVOTDATA(" All Ranks # New",'NEW Counts Pivot Table'!$A$3,"State","VA","Category2","Group2")</f>
        <v>2259</v>
      </c>
      <c r="AG122" s="112">
        <f>+GETPIVOTDATA(" All Ranks # New",'NEW Counts Pivot Table'!$A$3,"State","VA","Category",12,"Category2","Technical Institutes")</f>
        <v>0</v>
      </c>
      <c r="AH122" s="113">
        <f>+GETPIVOTDATA(" All Ranks # New",'NEW Counts Pivot Table'!$A$3,"State","VA","Category",13,"Category2","Technical Institutes")</f>
        <v>0</v>
      </c>
      <c r="AI122" s="114">
        <f>+GETPIVOTDATA(" All Ranks # New",'NEW Counts Pivot Table'!$A$3,"State","VA","Category",14,"Category2","Technical Institutes")</f>
        <v>0</v>
      </c>
      <c r="AJ122" s="112">
        <f>+GETPIVOTDATA(" All Ranks # New",'NEW Counts Pivot Table'!$A$3,"State","VA","Category2","Technical Institutes")</f>
        <v>0</v>
      </c>
      <c r="AK122" s="116"/>
      <c r="AL122" s="116"/>
    </row>
    <row r="123" spans="1:38">
      <c r="A123" s="38" t="s">
        <v>343</v>
      </c>
      <c r="B123" s="35" t="s">
        <v>332</v>
      </c>
      <c r="C123" s="36">
        <f t="shared" ref="C123:L129" si="48">IF(T$129&gt;0,(T123/T$129),0)</f>
        <v>0.30394190871369292</v>
      </c>
      <c r="D123" s="37">
        <f t="shared" si="48"/>
        <v>0</v>
      </c>
      <c r="E123" s="37">
        <f t="shared" si="48"/>
        <v>0.41631799163179917</v>
      </c>
      <c r="F123" s="37">
        <f t="shared" si="48"/>
        <v>0</v>
      </c>
      <c r="G123" s="37">
        <f t="shared" si="48"/>
        <v>0.27430555555555558</v>
      </c>
      <c r="H123" s="67">
        <f t="shared" si="48"/>
        <v>0.21783876500857632</v>
      </c>
      <c r="I123" s="36">
        <f t="shared" si="48"/>
        <v>0.30177258971033288</v>
      </c>
      <c r="J123" s="36">
        <f t="shared" si="48"/>
        <v>0</v>
      </c>
      <c r="K123" s="37">
        <f t="shared" si="48"/>
        <v>0</v>
      </c>
      <c r="L123" s="37">
        <f t="shared" si="48"/>
        <v>0</v>
      </c>
      <c r="M123" s="37">
        <f t="shared" ref="M123:M129" si="49">IF(AD$129&gt;0,(AD123/AD$129),0)</f>
        <v>0</v>
      </c>
      <c r="N123" s="36">
        <f t="shared" ref="N123:R129" si="50">IF(AF$129&gt;0,(AF123/AF$129),0)</f>
        <v>0.21801801801801801</v>
      </c>
      <c r="O123" s="152">
        <f t="shared" si="50"/>
        <v>0</v>
      </c>
      <c r="P123" s="37">
        <f t="shared" si="50"/>
        <v>0</v>
      </c>
      <c r="Q123" s="67">
        <f t="shared" si="50"/>
        <v>0</v>
      </c>
      <c r="R123" s="152">
        <f t="shared" si="50"/>
        <v>0</v>
      </c>
      <c r="S123" s="117"/>
      <c r="T123" s="104">
        <f>+GETPIVOTDATA(" Total # Prof New",'NEW Counts Pivot Table'!$A$3,"State","WV","Category",1,"Category2","Four-Year")</f>
        <v>293</v>
      </c>
      <c r="U123" s="105">
        <f>+GETPIVOTDATA(" Total # Prof New",'NEW Counts Pivot Table'!$A$3,"State","WV","Category",2,"Category2","Four-Year")</f>
        <v>0</v>
      </c>
      <c r="V123" s="105">
        <f>+GETPIVOTDATA(" Total # Prof New",'NEW Counts Pivot Table'!$A$3,"State","WV","Category",3,"Category2","Four-Year")</f>
        <v>199</v>
      </c>
      <c r="W123" s="105">
        <f>+GETPIVOTDATA(" Total # Prof New",'NEW Counts Pivot Table'!$A$3,"State","WV","Category",4,"Category2","Four-Year")</f>
        <v>0</v>
      </c>
      <c r="X123" s="105">
        <f>+GETPIVOTDATA(" Total # Prof New",'NEW Counts Pivot Table'!$A$3,"State","WV","Category",5,"Category2","Four-Year")</f>
        <v>79</v>
      </c>
      <c r="Y123" s="105">
        <f>+GETPIVOTDATA(" Total # Prof New",'NEW Counts Pivot Table'!$A$3,"State","WV","Category",6,"Category2","Four-Year")</f>
        <v>127</v>
      </c>
      <c r="Z123" s="107">
        <f>+GETPIVOTDATA(" Total # Prof New",'NEW Counts Pivot Table'!$A$3,"State","WV","Category2","Four-Year")</f>
        <v>698</v>
      </c>
      <c r="AA123" s="104">
        <f>+GETPIVOTDATA(" Total # Prof New",'NEW Counts Pivot Table'!$A$3,"State","AR","Category",7,"Category2","Group2")</f>
        <v>0</v>
      </c>
      <c r="AB123" s="105">
        <f>+GETPIVOTDATA(" Total # Prof New",'NEW Counts Pivot Table'!$A$3,"State","AR","Category",8,"Category2","Group2")</f>
        <v>0</v>
      </c>
      <c r="AC123" s="105">
        <f>+GETPIVOTDATA(" Total # Prof New",'NEW Counts Pivot Table'!$A$3,"State","DE","Category",9,"Category2","Group2")</f>
        <v>0</v>
      </c>
      <c r="AD123" s="105">
        <f>+GETPIVOTDATA(" Total # Prof New",'NEW Counts Pivot Table'!$A$3,"State","DE","Category",10,"Category2","Group2")</f>
        <v>0</v>
      </c>
      <c r="AE123" s="105">
        <f>+GETPIVOTDATA(" Total # Prof New",'NEW Counts Pivot Table'!$A$3,"State","WV","Category","11","Category2","Group2")</f>
        <v>0</v>
      </c>
      <c r="AF123" s="106">
        <f>+GETPIVOTDATA(" Total # Prof New",'NEW Counts Pivot Table'!$A$3,"State","WV","Category2","Group2")</f>
        <v>121</v>
      </c>
      <c r="AG123" s="104">
        <f>+GETPIVOTDATA(" Total # Prof New",'NEW Counts Pivot Table'!$A$3,"State","WV","Category",12,"Category2","Technical Institutes")</f>
        <v>0</v>
      </c>
      <c r="AH123" s="105">
        <f>+GETPIVOTDATA(" Total # Prof New",'NEW Counts Pivot Table'!$A$3,"State","WV","Category",13,"Category2","Technical Institutes")</f>
        <v>0</v>
      </c>
      <c r="AI123" s="106">
        <f>+GETPIVOTDATA(" Total # Prof New",'NEW Counts Pivot Table'!$A$3,"State","WV","Category",14,"Category2","Technical Institutes")</f>
        <v>0</v>
      </c>
      <c r="AJ123" s="104">
        <f>+GETPIVOTDATA(" Total # Prof New",'NEW Counts Pivot Table'!$A$3,"State","WV","Category2","Technical Institutes")</f>
        <v>0</v>
      </c>
    </row>
    <row r="124" spans="1:38">
      <c r="A124" s="30"/>
      <c r="B124" s="38" t="s">
        <v>333</v>
      </c>
      <c r="C124" s="32">
        <f t="shared" si="48"/>
        <v>0.25622406639004147</v>
      </c>
      <c r="D124" s="34">
        <f t="shared" si="48"/>
        <v>0</v>
      </c>
      <c r="E124" s="34">
        <f t="shared" si="48"/>
        <v>0.24686192468619247</v>
      </c>
      <c r="F124" s="34">
        <f t="shared" si="48"/>
        <v>0</v>
      </c>
      <c r="G124" s="34">
        <f t="shared" si="48"/>
        <v>0.2673611111111111</v>
      </c>
      <c r="H124" s="68">
        <f t="shared" si="48"/>
        <v>0.2504288164665523</v>
      </c>
      <c r="I124" s="32">
        <f t="shared" si="48"/>
        <v>0.25421530479896237</v>
      </c>
      <c r="J124" s="32">
        <f t="shared" si="48"/>
        <v>0</v>
      </c>
      <c r="K124" s="34">
        <f t="shared" si="48"/>
        <v>0</v>
      </c>
      <c r="L124" s="34">
        <f t="shared" si="48"/>
        <v>0</v>
      </c>
      <c r="M124" s="34">
        <f t="shared" si="49"/>
        <v>0</v>
      </c>
      <c r="N124" s="32">
        <f t="shared" si="50"/>
        <v>0.12252252252252252</v>
      </c>
      <c r="O124" s="32">
        <f t="shared" si="50"/>
        <v>0</v>
      </c>
      <c r="P124" s="34">
        <f t="shared" si="50"/>
        <v>0</v>
      </c>
      <c r="Q124" s="68">
        <f t="shared" si="50"/>
        <v>0</v>
      </c>
      <c r="R124" s="32">
        <f t="shared" si="50"/>
        <v>0</v>
      </c>
      <c r="S124" s="87"/>
      <c r="T124" s="108">
        <f>+GETPIVOTDATA(" Tot # Asc. Prof New",'NEW Counts Pivot Table'!$A$3,"State","WV","Category",1,"Category2","Four-Year")</f>
        <v>247</v>
      </c>
      <c r="U124" s="109">
        <f>+GETPIVOTDATA(" Tot # Asc. Prof New",'NEW Counts Pivot Table'!$A$3,"State","WV","Category",2,"Category2","Four-Year")</f>
        <v>0</v>
      </c>
      <c r="V124" s="109">
        <f>+GETPIVOTDATA(" Tot # Asc. Prof New",'NEW Counts Pivot Table'!$A$3,"State","WV","Category",3,"Category2","Four-Year")</f>
        <v>118</v>
      </c>
      <c r="W124" s="109">
        <f>+GETPIVOTDATA(" Tot # Asc. Prof New",'NEW Counts Pivot Table'!$A$3,"State","WV","Category",4,"Category2","Four-Year")</f>
        <v>0</v>
      </c>
      <c r="X124" s="109">
        <f>+GETPIVOTDATA(" Tot # Asc. Prof New",'NEW Counts Pivot Table'!$A$3,"State","WV","Category",5,"Category2","Four-Year")</f>
        <v>77</v>
      </c>
      <c r="Y124" s="109">
        <f>+GETPIVOTDATA(" Tot # Asc. Prof New",'NEW Counts Pivot Table'!$A$3,"State","WV","Category",6,"Category2","Four-Year")</f>
        <v>146</v>
      </c>
      <c r="Z124" s="111">
        <f>+GETPIVOTDATA(" Tot # Asc. Prof New",'NEW Counts Pivot Table'!$A$3,"State","WV","Category2","Four-Year")</f>
        <v>588</v>
      </c>
      <c r="AA124" s="108">
        <f>+GETPIVOTDATA(" Tot # Asc. Prof New",'NEW Counts Pivot Table'!$A$3,"State","AR","Category",7,"Category2","Group2")</f>
        <v>0</v>
      </c>
      <c r="AB124" s="109">
        <f>+GETPIVOTDATA(" Tot # Asc. Prof New",'NEW Counts Pivot Table'!$A$3,"State","AR","Category",8,"Category2","Group2")</f>
        <v>0</v>
      </c>
      <c r="AC124" s="109">
        <f>+GETPIVOTDATA(" Tot # Asc. Prof New",'NEW Counts Pivot Table'!$A$3,"State","DE","Category",9,"Category2","Group2")</f>
        <v>0</v>
      </c>
      <c r="AD124" s="109">
        <f>+GETPIVOTDATA(" Tot # Asc. Prof New",'NEW Counts Pivot Table'!$A$3,"State","DE","Category",10,"Category2","Group2")</f>
        <v>0</v>
      </c>
      <c r="AE124" s="109">
        <f>+GETPIVOTDATA(" Tot # Asc. Prof New",'NEW Counts Pivot Table'!$A$3,"State","WV","Category","11","Category2","Group2")</f>
        <v>0</v>
      </c>
      <c r="AF124" s="110">
        <f>+GETPIVOTDATA(" Tot # Asc. Prof New",'NEW Counts Pivot Table'!$A$3,"State","WV","Category2","Group2")</f>
        <v>68</v>
      </c>
      <c r="AG124" s="108">
        <f>+GETPIVOTDATA(" Tot # Asc. Prof New",'NEW Counts Pivot Table'!$A$3,"State","WV","Category",12,"Category2","Technical Institutes")</f>
        <v>0</v>
      </c>
      <c r="AH124" s="109">
        <f>+GETPIVOTDATA(" Tot # Asc. Prof New",'NEW Counts Pivot Table'!$A$3,"State","WV","Category",13,"Category2","Technical Institutes")</f>
        <v>0</v>
      </c>
      <c r="AI124" s="110">
        <f>+GETPIVOTDATA(" Tot # Asc. Prof New",'NEW Counts Pivot Table'!$A$3,"State","WV","Category",14,"Category2","Technical Institutes")</f>
        <v>0</v>
      </c>
      <c r="AJ124" s="108">
        <f>+GETPIVOTDATA(" Tot # Asc. Prof New",'NEW Counts Pivot Table'!$A$3,"State","WV","Category2","Technical Institutes")</f>
        <v>0</v>
      </c>
    </row>
    <row r="125" spans="1:38">
      <c r="A125" s="30"/>
      <c r="B125" s="38" t="s">
        <v>334</v>
      </c>
      <c r="C125" s="32">
        <f t="shared" si="48"/>
        <v>0.36514522821576761</v>
      </c>
      <c r="D125" s="34">
        <f t="shared" si="48"/>
        <v>0</v>
      </c>
      <c r="E125" s="34">
        <f t="shared" si="48"/>
        <v>0.2489539748953975</v>
      </c>
      <c r="F125" s="34">
        <f t="shared" si="48"/>
        <v>0</v>
      </c>
      <c r="G125" s="34">
        <f t="shared" si="48"/>
        <v>0.3576388888888889</v>
      </c>
      <c r="H125" s="68">
        <f t="shared" si="48"/>
        <v>0.36535162950257288</v>
      </c>
      <c r="I125" s="32">
        <f t="shared" si="48"/>
        <v>0.34025075659316906</v>
      </c>
      <c r="J125" s="32">
        <f t="shared" si="48"/>
        <v>0</v>
      </c>
      <c r="K125" s="34">
        <f t="shared" si="48"/>
        <v>0</v>
      </c>
      <c r="L125" s="34">
        <f t="shared" si="48"/>
        <v>0</v>
      </c>
      <c r="M125" s="34">
        <f t="shared" si="49"/>
        <v>0</v>
      </c>
      <c r="N125" s="32">
        <f t="shared" si="50"/>
        <v>0.24864864864864866</v>
      </c>
      <c r="O125" s="32">
        <f t="shared" si="50"/>
        <v>0</v>
      </c>
      <c r="P125" s="34">
        <f t="shared" si="50"/>
        <v>0</v>
      </c>
      <c r="Q125" s="68">
        <f t="shared" si="50"/>
        <v>0</v>
      </c>
      <c r="R125" s="32">
        <f t="shared" si="50"/>
        <v>0</v>
      </c>
      <c r="S125" s="87"/>
      <c r="T125" s="108">
        <f>+GETPIVOTDATA(" Tot # Ast. Prof New",'NEW Counts Pivot Table'!$A$3,"State","WV","Category",1,"Category2","Four-Year")</f>
        <v>352</v>
      </c>
      <c r="U125" s="109">
        <f>+GETPIVOTDATA(" Tot # Ast. Prof New",'NEW Counts Pivot Table'!$A$3,"State","WV","Category",2,"Category2","Four-Year")</f>
        <v>0</v>
      </c>
      <c r="V125" s="109">
        <f>+GETPIVOTDATA(" Tot # Ast. Prof New",'NEW Counts Pivot Table'!$A$3,"State","WV","Category",3,"Category2","Four-Year")</f>
        <v>119</v>
      </c>
      <c r="W125" s="109">
        <f>+GETPIVOTDATA(" Tot # Ast. Prof New",'NEW Counts Pivot Table'!$A$3,"State","WV","Category",4,"Category2","Four-Year")</f>
        <v>0</v>
      </c>
      <c r="X125" s="109">
        <f>+GETPIVOTDATA(" Tot # Ast. Prof New",'NEW Counts Pivot Table'!$A$3,"State","WV","Category",5,"Category2","Four-Year")</f>
        <v>103</v>
      </c>
      <c r="Y125" s="109">
        <f>+GETPIVOTDATA(" Tot # Ast. Prof New",'NEW Counts Pivot Table'!$A$3,"State","WV","Category",6,"Category2","Four-Year")</f>
        <v>213</v>
      </c>
      <c r="Z125" s="111">
        <f>+GETPIVOTDATA(" Tot # Ast. Prof New",'NEW Counts Pivot Table'!$A$3,"State","WV","Category2","Four-Year")</f>
        <v>787</v>
      </c>
      <c r="AA125" s="108">
        <f>+GETPIVOTDATA(" Tot # Ast. Prof New",'NEW Counts Pivot Table'!$A$3,"State","AR","Category",7,"Category2","Group2")</f>
        <v>0</v>
      </c>
      <c r="AB125" s="109">
        <f>+GETPIVOTDATA(" Tot # Ast. Prof New",'NEW Counts Pivot Table'!$A$3,"State","AR","Category",8,"Category2","Group2")</f>
        <v>0</v>
      </c>
      <c r="AC125" s="109">
        <f>+GETPIVOTDATA(" Tot # Ast. Prof New",'NEW Counts Pivot Table'!$A$3,"State","DE","Category",9,"Category2","Group2")</f>
        <v>0</v>
      </c>
      <c r="AD125" s="109">
        <f>+GETPIVOTDATA(" Tot # Ast. Prof New",'NEW Counts Pivot Table'!$A$3,"State","DE","Category",10,"Category2","Group2")</f>
        <v>0</v>
      </c>
      <c r="AE125" s="109">
        <f>+GETPIVOTDATA(" Tot # Ast. Prof New",'NEW Counts Pivot Table'!$A$3,"State","WV","Category","11","Category2","Group2")</f>
        <v>0</v>
      </c>
      <c r="AF125" s="110">
        <f>+GETPIVOTDATA(" Tot # Ast. Prof New",'NEW Counts Pivot Table'!$A$3,"State","WV","Category2","Group2")</f>
        <v>138</v>
      </c>
      <c r="AG125" s="108">
        <f>+GETPIVOTDATA(" Tot # Ast. Prof New",'NEW Counts Pivot Table'!$A$3,"State","WV","Category",12,"Category2","Technical Institutes")</f>
        <v>0</v>
      </c>
      <c r="AH125" s="109">
        <f>+GETPIVOTDATA(" Tot # Ast. Prof New",'NEW Counts Pivot Table'!$A$3,"State","WV","Category",13,"Category2","Technical Institutes")</f>
        <v>0</v>
      </c>
      <c r="AI125" s="110">
        <f>+GETPIVOTDATA(" Tot # Ast. Prof New",'NEW Counts Pivot Table'!$A$3,"State","WV","Category",14,"Category2","Technical Institutes")</f>
        <v>0</v>
      </c>
      <c r="AJ125" s="108">
        <f>+GETPIVOTDATA(" Tot # Ast. Prof New",'NEW Counts Pivot Table'!$A$3,"State","WV","Category2","Technical Institutes")</f>
        <v>0</v>
      </c>
    </row>
    <row r="126" spans="1:38">
      <c r="A126" s="30"/>
      <c r="B126" s="38" t="s">
        <v>335</v>
      </c>
      <c r="C126" s="32">
        <f t="shared" si="48"/>
        <v>5.2904564315352696E-2</v>
      </c>
      <c r="D126" s="34">
        <f t="shared" si="48"/>
        <v>0</v>
      </c>
      <c r="E126" s="34">
        <f t="shared" si="48"/>
        <v>8.7866108786610872E-2</v>
      </c>
      <c r="F126" s="34">
        <f t="shared" si="48"/>
        <v>0</v>
      </c>
      <c r="G126" s="34">
        <f t="shared" si="48"/>
        <v>5.2083333333333336E-2</v>
      </c>
      <c r="H126" s="68">
        <f t="shared" si="48"/>
        <v>0.14065180102915953</v>
      </c>
      <c r="I126" s="32">
        <f t="shared" si="48"/>
        <v>8.214440121054907E-2</v>
      </c>
      <c r="J126" s="32">
        <f t="shared" si="48"/>
        <v>0</v>
      </c>
      <c r="K126" s="34">
        <f t="shared" si="48"/>
        <v>0</v>
      </c>
      <c r="L126" s="34">
        <f t="shared" si="48"/>
        <v>0</v>
      </c>
      <c r="M126" s="34">
        <f t="shared" si="49"/>
        <v>0</v>
      </c>
      <c r="N126" s="32">
        <f t="shared" si="50"/>
        <v>0.34774774774774775</v>
      </c>
      <c r="O126" s="32">
        <f t="shared" si="50"/>
        <v>0</v>
      </c>
      <c r="P126" s="34">
        <f t="shared" si="50"/>
        <v>0</v>
      </c>
      <c r="Q126" s="68">
        <f t="shared" si="50"/>
        <v>0</v>
      </c>
      <c r="R126" s="32">
        <f t="shared" si="50"/>
        <v>0</v>
      </c>
      <c r="S126" s="87"/>
      <c r="T126" s="108">
        <f>+GETPIVOTDATA(" Tot # Instr. New",'NEW Counts Pivot Table'!$A$3,"State","WV","Category",1,"Category2","Four-Year")</f>
        <v>51</v>
      </c>
      <c r="U126" s="109">
        <f>+GETPIVOTDATA(" Tot # Instr. New",'NEW Counts Pivot Table'!$A$3,"State","WV","Category",2,"Category2","Four-Year")</f>
        <v>0</v>
      </c>
      <c r="V126" s="109">
        <f>+GETPIVOTDATA(" Tot # Instr. New",'NEW Counts Pivot Table'!$A$3,"State","WV","Category",3,"Category2","Four-Year")</f>
        <v>42</v>
      </c>
      <c r="W126" s="109">
        <f>+GETPIVOTDATA(" Tot # Instr. New",'NEW Counts Pivot Table'!$A$3,"State","WV","Category",4,"Category2","Four-Year")</f>
        <v>0</v>
      </c>
      <c r="X126" s="109">
        <f>+GETPIVOTDATA(" Tot # Instr. New",'NEW Counts Pivot Table'!$A$3,"State","WV","Category",5,"Category2","Four-Year")</f>
        <v>15</v>
      </c>
      <c r="Y126" s="109">
        <f>+GETPIVOTDATA(" Tot # Instr. New",'NEW Counts Pivot Table'!$A$3,"State","WV","Category",6,"Category2","Four-Year")</f>
        <v>82</v>
      </c>
      <c r="Z126" s="111">
        <f>+GETPIVOTDATA(" Tot # Instr. New",'NEW Counts Pivot Table'!$A$3,"State","WV","Category2","Four-Year")</f>
        <v>190</v>
      </c>
      <c r="AA126" s="108">
        <f>+GETPIVOTDATA(" Tot # Instr. New",'NEW Counts Pivot Table'!$A$3,"State","AR","Category",7,"Category2","Group2")</f>
        <v>0</v>
      </c>
      <c r="AB126" s="109">
        <f>+GETPIVOTDATA(" Tot # Instr. New",'NEW Counts Pivot Table'!$A$3,"State","AR","Category",8,"Category2","Group2")</f>
        <v>0</v>
      </c>
      <c r="AC126" s="109">
        <f>+GETPIVOTDATA(" Tot # Instr. New",'NEW Counts Pivot Table'!$A$3,"State","DE","Category",9,"Category2","Group2")</f>
        <v>0</v>
      </c>
      <c r="AD126" s="109">
        <f>+GETPIVOTDATA(" Tot # Instr. New",'NEW Counts Pivot Table'!$A$3,"State","DE","Category",10,"Category2","Group2")</f>
        <v>0</v>
      </c>
      <c r="AE126" s="109">
        <f>+GETPIVOTDATA(" Tot # Instr. New",'NEW Counts Pivot Table'!$A$3,"State","WV","Category","11","Category2","Group2")</f>
        <v>0</v>
      </c>
      <c r="AF126" s="110">
        <f>+GETPIVOTDATA(" Tot # Instr. New",'NEW Counts Pivot Table'!$A$3,"State","WV","Category2","Group2")</f>
        <v>193</v>
      </c>
      <c r="AG126" s="108">
        <f>+GETPIVOTDATA(" Tot # Instr. New",'NEW Counts Pivot Table'!$A$3,"State","WV","Category",12,"Category2","Technical Institutes")</f>
        <v>0</v>
      </c>
      <c r="AH126" s="109">
        <f>+GETPIVOTDATA(" Tot # Instr. New",'NEW Counts Pivot Table'!$A$3,"State","WV","Category",13,"Category2","Technical Institutes")</f>
        <v>0</v>
      </c>
      <c r="AI126" s="110">
        <f>+GETPIVOTDATA(" Tot # Instr. New",'NEW Counts Pivot Table'!$A$3,"State","WV","Category",14,"Category2","Technical Institutes")</f>
        <v>0</v>
      </c>
      <c r="AJ126" s="108">
        <f>+GETPIVOTDATA(" Tot # Instr. New",'NEW Counts Pivot Table'!$A$3,"State","WV","Category2","Technical Institutes")</f>
        <v>0</v>
      </c>
    </row>
    <row r="127" spans="1:38">
      <c r="A127" s="30"/>
      <c r="B127" s="38" t="s">
        <v>315</v>
      </c>
      <c r="C127" s="32">
        <f t="shared" si="48"/>
        <v>2.1784232365145227E-2</v>
      </c>
      <c r="D127" s="34">
        <f t="shared" si="48"/>
        <v>0</v>
      </c>
      <c r="E127" s="34">
        <f t="shared" si="48"/>
        <v>0</v>
      </c>
      <c r="F127" s="34">
        <f t="shared" si="48"/>
        <v>0</v>
      </c>
      <c r="G127" s="34">
        <f t="shared" si="48"/>
        <v>4.8611111111111112E-2</v>
      </c>
      <c r="H127" s="68">
        <f t="shared" si="48"/>
        <v>2.5728987993138937E-2</v>
      </c>
      <c r="I127" s="32">
        <f t="shared" si="48"/>
        <v>2.1616947686986597E-2</v>
      </c>
      <c r="J127" s="32">
        <f t="shared" si="48"/>
        <v>0</v>
      </c>
      <c r="K127" s="34">
        <f t="shared" si="48"/>
        <v>0</v>
      </c>
      <c r="L127" s="34">
        <f t="shared" si="48"/>
        <v>0</v>
      </c>
      <c r="M127" s="34">
        <f t="shared" si="49"/>
        <v>0</v>
      </c>
      <c r="N127" s="32">
        <f t="shared" si="50"/>
        <v>6.3063063063063057E-2</v>
      </c>
      <c r="O127" s="32">
        <f t="shared" si="50"/>
        <v>0</v>
      </c>
      <c r="P127" s="34">
        <f t="shared" si="50"/>
        <v>0</v>
      </c>
      <c r="Q127" s="68">
        <f t="shared" si="50"/>
        <v>0</v>
      </c>
      <c r="R127" s="32">
        <f t="shared" si="50"/>
        <v>0</v>
      </c>
      <c r="S127" s="87"/>
      <c r="T127" s="108">
        <f>++GETPIVOTDATA(" Tot # Undes. New",'NEW Counts Pivot Table'!$A$3,"State","WV","Category",1,"Category2","Four-Year")</f>
        <v>21</v>
      </c>
      <c r="U127" s="109">
        <f>+GETPIVOTDATA(" Tot # Undes. New",'NEW Counts Pivot Table'!$A$3,"State","WV","Category",2,"Category2","Four-Year")</f>
        <v>0</v>
      </c>
      <c r="V127" s="109">
        <f>+GETPIVOTDATA(" Tot # Undes. New",'NEW Counts Pivot Table'!$A$3,"State","WV","Category",3,"Category2","Four-Year")</f>
        <v>0</v>
      </c>
      <c r="W127" s="109">
        <f>+GETPIVOTDATA(" Tot # Undes. New",'NEW Counts Pivot Table'!$A$3,"State","WV","Category",4,"Category2","Four-Year")</f>
        <v>0</v>
      </c>
      <c r="X127" s="109">
        <f>+GETPIVOTDATA(" Tot # Undes. New",'NEW Counts Pivot Table'!$A$3,"State","WV","Category",5,"Category2","Four-Year")</f>
        <v>14</v>
      </c>
      <c r="Y127" s="109">
        <f>+GETPIVOTDATA(" Tot # Undes. New",'NEW Counts Pivot Table'!$A$3,"State","WV","Category",6,"Category2","Four-Year")</f>
        <v>15</v>
      </c>
      <c r="Z127" s="111">
        <f>+GETPIVOTDATA(" Tot # Undes. New",'NEW Counts Pivot Table'!$A$3,"State","WV","Category2","Four-Year")</f>
        <v>50</v>
      </c>
      <c r="AA127" s="108">
        <f>+GETPIVOTDATA(" Tot # Undes. New",'NEW Counts Pivot Table'!$A$3,"State","AR","Category",7,"Category2","Group2")</f>
        <v>0</v>
      </c>
      <c r="AB127" s="109">
        <f>+GETPIVOTDATA(" Tot # Undes. New",'NEW Counts Pivot Table'!$A$3,"State","AR","Category",8,"Category2","Group2")</f>
        <v>0</v>
      </c>
      <c r="AC127" s="109">
        <f>+GETPIVOTDATA(" Tot # Undes. New",'NEW Counts Pivot Table'!$A$3,"State","DE","Category",9,"Category2","Group2")</f>
        <v>0</v>
      </c>
      <c r="AD127" s="109">
        <f>+GETPIVOTDATA(" Tot # Undes. New",'NEW Counts Pivot Table'!$A$3,"State","DE","Category",10,"Category2","Group2")</f>
        <v>0</v>
      </c>
      <c r="AE127" s="109">
        <f>+GETPIVOTDATA(" Tot # Undes. New",'NEW Counts Pivot Table'!$A$3,"State","WV","Category","11","Category2","Group2")</f>
        <v>0</v>
      </c>
      <c r="AF127" s="110">
        <f>+GETPIVOTDATA(" Tot # Undes. New",'NEW Counts Pivot Table'!$A$3,"State","WV","Category2","Group2")</f>
        <v>35</v>
      </c>
      <c r="AG127" s="108">
        <f>+GETPIVOTDATA(" Tot # Undes. New",'NEW Counts Pivot Table'!$A$3,"State","WV","Category",12,"Category2","Technical Institutes")</f>
        <v>0</v>
      </c>
      <c r="AH127" s="109">
        <f>+GETPIVOTDATA(" Tot # Undes. New",'NEW Counts Pivot Table'!$A$3,"State","WV","Category",13,"Category2","Technical Institutes")</f>
        <v>0</v>
      </c>
      <c r="AI127" s="110">
        <f>+GETPIVOTDATA(" Tot # Undes. New",'NEW Counts Pivot Table'!$A$3,"State","WV","Category",14,"Category2","Technical Institutes")</f>
        <v>0</v>
      </c>
      <c r="AJ127" s="108">
        <f>+GETPIVOTDATA(" Tot # Undes. New",'NEW Counts Pivot Table'!$A$3,"State","WV","Category2","Technical Institutes")</f>
        <v>0</v>
      </c>
    </row>
    <row r="128" spans="1:38">
      <c r="A128" s="30"/>
      <c r="B128" s="38" t="s">
        <v>314</v>
      </c>
      <c r="C128" s="32">
        <f t="shared" si="48"/>
        <v>0</v>
      </c>
      <c r="D128" s="34">
        <f t="shared" si="48"/>
        <v>0</v>
      </c>
      <c r="E128" s="185">
        <f t="shared" si="48"/>
        <v>0</v>
      </c>
      <c r="F128" s="34">
        <f t="shared" si="48"/>
        <v>0</v>
      </c>
      <c r="G128" s="185">
        <f t="shared" si="48"/>
        <v>0</v>
      </c>
      <c r="H128" s="68">
        <f t="shared" si="48"/>
        <v>0</v>
      </c>
      <c r="I128" s="184">
        <f t="shared" si="48"/>
        <v>0</v>
      </c>
      <c r="J128" s="32">
        <f t="shared" si="48"/>
        <v>0</v>
      </c>
      <c r="K128" s="34">
        <f t="shared" si="48"/>
        <v>1</v>
      </c>
      <c r="L128" s="34">
        <f t="shared" si="48"/>
        <v>1</v>
      </c>
      <c r="M128" s="34">
        <f t="shared" si="49"/>
        <v>1</v>
      </c>
      <c r="N128" s="32">
        <f t="shared" si="50"/>
        <v>0</v>
      </c>
      <c r="O128" s="32">
        <f t="shared" si="50"/>
        <v>0</v>
      </c>
      <c r="P128" s="34">
        <f t="shared" si="50"/>
        <v>0</v>
      </c>
      <c r="Q128" s="68">
        <f t="shared" si="50"/>
        <v>0</v>
      </c>
      <c r="R128" s="32">
        <f t="shared" si="50"/>
        <v>0</v>
      </c>
      <c r="S128" s="87"/>
      <c r="T128" s="108">
        <f>+GETPIVOTDATA(" Tot # Single Rnk New",'NEW Counts Pivot Table'!$A$3,"State","WV","Category",1,"Category2","Four-Year")</f>
        <v>0</v>
      </c>
      <c r="U128" s="109">
        <f>+GETPIVOTDATA(" Tot # Single Rnk New",'NEW Counts Pivot Table'!$A$3,"State","WV","Category",2,"Category2","Four-Year")</f>
        <v>0</v>
      </c>
      <c r="V128" s="109">
        <f>+GETPIVOTDATA(" Tot # Single Rnk New",'NEW Counts Pivot Table'!$A$3,"State","WV","Category",3,"Category2","Four-Year")</f>
        <v>0</v>
      </c>
      <c r="W128" s="109">
        <f>+GETPIVOTDATA(" Tot # Single Rnk New",'NEW Counts Pivot Table'!$A$3,"State","WV","Category",4,"Category2","Four-Year")</f>
        <v>0</v>
      </c>
      <c r="X128" s="109">
        <f>+GETPIVOTDATA(" Tot # Single Rnk New",'NEW Counts Pivot Table'!$A$3,"State","WV","Category",5,"Category2","Four-Year")</f>
        <v>0</v>
      </c>
      <c r="Y128" s="109">
        <f>+GETPIVOTDATA(" Tot # Single Rnk New",'NEW Counts Pivot Table'!$A$3,"State","WV","Category",6,"Category2","Four-Year")</f>
        <v>0</v>
      </c>
      <c r="Z128" s="111">
        <f>+GETPIVOTDATA(" Tot # Single Rnk New",'NEW Counts Pivot Table'!$A$3,"State","WV","Category2","Four-Year")</f>
        <v>0</v>
      </c>
      <c r="AA128" s="108">
        <f>+GETPIVOTDATA(" Tot # Single Rnk New",'NEW Counts Pivot Table'!$A$3,"State","AR","Category",7,"Category2","Group2")</f>
        <v>0</v>
      </c>
      <c r="AB128" s="109">
        <f>+GETPIVOTDATA(" Tot # Single Rnk New",'NEW Counts Pivot Table'!$A$3,"State","AR","Category",8,"Category2","Group2")</f>
        <v>171</v>
      </c>
      <c r="AC128" s="109">
        <f>+GETPIVOTDATA(" Tot # Single Rnk New",'NEW Counts Pivot Table'!$A$3,"State","DE","Category",9,"Category2","Group2")</f>
        <v>300</v>
      </c>
      <c r="AD128" s="109">
        <f>+GETPIVOTDATA(" Tot # Single Rnk New",'NEW Counts Pivot Table'!$A$3,"State","DE","Category",10,"Category2","Group2")</f>
        <v>84</v>
      </c>
      <c r="AE128" s="109">
        <f>+GETPIVOTDATA(" Tot # Single Rnk New",'NEW Counts Pivot Table'!$A$3,"State","WV","Category","11","Category2","Group2")</f>
        <v>0</v>
      </c>
      <c r="AF128" s="110">
        <f>+GETPIVOTDATA(" Tot # Single Rnk New",'NEW Counts Pivot Table'!$A$3,"State","WV","Category2","Group2")</f>
        <v>0</v>
      </c>
      <c r="AG128" s="108">
        <f>+GETPIVOTDATA(" Tot # Single Rnk New",'NEW Counts Pivot Table'!$A$3,"State","WV","Category",12,"Category2","Technical Institutes")</f>
        <v>0</v>
      </c>
      <c r="AH128" s="109">
        <f>+GETPIVOTDATA(" Tot # Single Rnk New",'NEW Counts Pivot Table'!$A$3,"State","WV","Category",13,"Category2","Technical Institutes")</f>
        <v>0</v>
      </c>
      <c r="AI128" s="110">
        <f>+GETPIVOTDATA(" Tot # Single Rnk New",'NEW Counts Pivot Table'!$A$3,"State","WV","Category",14,"Category2","Technical Institutes")</f>
        <v>0</v>
      </c>
      <c r="AJ128" s="108">
        <f>+GETPIVOTDATA(" Tot # Single Rnk New",'NEW Counts Pivot Table'!$A$3,"State","WV","Category2","Technical Institutes")</f>
        <v>0</v>
      </c>
    </row>
    <row r="129" spans="1:38" s="54" customFormat="1">
      <c r="A129" s="191"/>
      <c r="B129" s="192" t="s">
        <v>316</v>
      </c>
      <c r="C129" s="33">
        <f t="shared" si="48"/>
        <v>1</v>
      </c>
      <c r="D129" s="31">
        <f t="shared" si="48"/>
        <v>0</v>
      </c>
      <c r="E129" s="31">
        <f t="shared" si="48"/>
        <v>1</v>
      </c>
      <c r="F129" s="31">
        <f t="shared" si="48"/>
        <v>0</v>
      </c>
      <c r="G129" s="31">
        <f t="shared" si="48"/>
        <v>1</v>
      </c>
      <c r="H129" s="69">
        <f t="shared" si="48"/>
        <v>1</v>
      </c>
      <c r="I129" s="33">
        <f t="shared" si="48"/>
        <v>1</v>
      </c>
      <c r="J129" s="33">
        <f t="shared" si="48"/>
        <v>0</v>
      </c>
      <c r="K129" s="31">
        <f t="shared" si="48"/>
        <v>1</v>
      </c>
      <c r="L129" s="31">
        <f t="shared" si="48"/>
        <v>1</v>
      </c>
      <c r="M129" s="31">
        <f t="shared" si="49"/>
        <v>1</v>
      </c>
      <c r="N129" s="33">
        <f t="shared" si="50"/>
        <v>1</v>
      </c>
      <c r="O129" s="33">
        <f t="shared" si="50"/>
        <v>0</v>
      </c>
      <c r="P129" s="31">
        <f t="shared" si="50"/>
        <v>0</v>
      </c>
      <c r="Q129" s="69">
        <f t="shared" si="50"/>
        <v>0</v>
      </c>
      <c r="R129" s="33">
        <f t="shared" si="50"/>
        <v>0</v>
      </c>
      <c r="S129" s="88"/>
      <c r="T129" s="112">
        <f>+GETPIVOTDATA(" All Ranks # New",'NEW Counts Pivot Table'!$A$3,"State","WV","Category",1,"Category2","Four-Year")</f>
        <v>964</v>
      </c>
      <c r="U129" s="113">
        <f>+GETPIVOTDATA(" All Ranks # New",'NEW Counts Pivot Table'!$A$3,"State","WV","Category",2,"Category2","Four-Year")</f>
        <v>0</v>
      </c>
      <c r="V129" s="113">
        <f>+GETPIVOTDATA(" All Ranks # New",'NEW Counts Pivot Table'!$A$3,"State","WV","Category",3,"Category2","Four-Year")</f>
        <v>478</v>
      </c>
      <c r="W129" s="113">
        <f>+GETPIVOTDATA(" All Ranks # New",'NEW Counts Pivot Table'!$A$3,"State","WV","Category",4,"Category2","Four-Year")</f>
        <v>0</v>
      </c>
      <c r="X129" s="113">
        <f>+GETPIVOTDATA(" All Ranks # New",'NEW Counts Pivot Table'!$A$3,"State","WV","Category",5,"Category2","Four-Year")</f>
        <v>288</v>
      </c>
      <c r="Y129" s="113">
        <f>+GETPIVOTDATA(" All Ranks # New",'NEW Counts Pivot Table'!$A$3,"State","WV","Category",6,"Category2","Four-Year")</f>
        <v>583</v>
      </c>
      <c r="Z129" s="115">
        <f>+GETPIVOTDATA(" All Ranks # New",'NEW Counts Pivot Table'!$A$3,"State","WV","Category2","Four-Year")</f>
        <v>2313</v>
      </c>
      <c r="AA129" s="112">
        <f>+GETPIVOTDATA(" All Ranks # New",'NEW Counts Pivot Table'!$A$3,"State","AR","Category",7,"Category2","Group2")</f>
        <v>0</v>
      </c>
      <c r="AB129" s="113">
        <f>+GETPIVOTDATA(" All Ranks # New",'NEW Counts Pivot Table'!$A$3,"State","AR","Category",8,"Category2","Group2")</f>
        <v>171</v>
      </c>
      <c r="AC129" s="113">
        <f>+GETPIVOTDATA(" All Ranks # New",'NEW Counts Pivot Table'!$A$3,"State","DE","Category",9,"Category2","Group2")</f>
        <v>300</v>
      </c>
      <c r="AD129" s="113">
        <f>+GETPIVOTDATA(" All Ranks # New",'NEW Counts Pivot Table'!$A$3,"State","DE","Category",10,"Category2","Group2")</f>
        <v>84</v>
      </c>
      <c r="AE129" s="113">
        <f>+GETPIVOTDATA(" All Ranks # New",'NEW Counts Pivot Table'!$A$3,"State","WV","Category","11","Category2","Group2")</f>
        <v>0</v>
      </c>
      <c r="AF129" s="114">
        <f>+GETPIVOTDATA(" All Ranks # New",'NEW Counts Pivot Table'!$A$3,"State","WV","Category2","Group2")</f>
        <v>555</v>
      </c>
      <c r="AG129" s="112">
        <f>+GETPIVOTDATA(" All Ranks # New",'NEW Counts Pivot Table'!$A$3,"State","WV","Category",12,"Category2","Technical Institutes")</f>
        <v>0</v>
      </c>
      <c r="AH129" s="113">
        <f>+GETPIVOTDATA(" All Ranks # New",'NEW Counts Pivot Table'!$A$3,"State","WV","Category",13,"Category2","Technical Institutes")</f>
        <v>0</v>
      </c>
      <c r="AI129" s="114">
        <f>+GETPIVOTDATA(" All Ranks # New",'NEW Counts Pivot Table'!$A$3,"State","WV","Category",14,"Category2","Technical Institutes")</f>
        <v>0</v>
      </c>
      <c r="AJ129" s="112">
        <f>+GETPIVOTDATA(" All Ranks # New",'NEW Counts Pivot Table'!$A$3,"State","WV","Category2","Technical Institutes")</f>
        <v>0</v>
      </c>
      <c r="AK129" s="116"/>
      <c r="AL129" s="116"/>
    </row>
  </sheetData>
  <phoneticPr fontId="15" type="noConversion"/>
  <pageMargins left="0.5" right="0.5" top="1" bottom="0.75" header="0.75" footer="0.5"/>
  <pageSetup firstPageNumber="197" orientation="landscape" useFirstPageNumber="1" r:id="rId1"/>
  <headerFooter alignWithMargins="0">
    <oddHeader>&amp;R&amp;"Arial,Regular"&amp;8SREB-State Data Exchange</oddHeader>
    <oddFooter>&amp;C&amp;"Arial,Regular"&amp;10&amp;P&amp;R&amp;"Arial,Regular"&amp;8December 2010</oddFooter>
  </headerFooter>
  <rowBreaks count="5" manualBreakCount="5">
    <brk id="31" max="18" man="1"/>
    <brk id="52" max="18" man="1"/>
    <brk id="73" max="18" man="1"/>
    <brk id="94" max="18" man="1"/>
    <brk id="115" max="18" man="1"/>
  </rowBreaks>
</worksheet>
</file>

<file path=xl/worksheets/sheet6.xml><?xml version="1.0" encoding="utf-8"?>
<worksheet xmlns="http://schemas.openxmlformats.org/spreadsheetml/2006/main" xmlns:r="http://schemas.openxmlformats.org/officeDocument/2006/relationships">
  <sheetPr codeName="Sheet11">
    <tabColor theme="5" tint="0.59999389629810485"/>
  </sheetPr>
  <dimension ref="A1:AL129"/>
  <sheetViews>
    <sheetView showGridLines="0" showZeros="0" view="pageBreakPreview" zoomScaleNormal="75" zoomScaleSheetLayoutView="100" workbookViewId="0">
      <pane xSplit="2" ySplit="9" topLeftCell="C91" activePane="bottomRight" state="frozen"/>
      <selection pane="topRight" activeCell="C1" sqref="C1"/>
      <selection pane="bottomLeft" activeCell="A10" sqref="A10"/>
      <selection pane="bottomRight" activeCell="U130" sqref="U130"/>
    </sheetView>
  </sheetViews>
  <sheetFormatPr defaultColWidth="8.875" defaultRowHeight="15"/>
  <cols>
    <col min="1" max="1" width="4.625" style="27" customWidth="1"/>
    <col min="2" max="2" width="15.625" style="39" customWidth="1"/>
    <col min="3" max="3" width="6.25" style="27" bestFit="1" customWidth="1"/>
    <col min="4" max="4" width="5.875" style="27" customWidth="1"/>
    <col min="5" max="5" width="5.75" style="27" customWidth="1"/>
    <col min="6" max="6" width="5.25" style="27" customWidth="1"/>
    <col min="7" max="7" width="5.75" style="27" customWidth="1"/>
    <col min="8" max="8" width="5.5" style="27" customWidth="1"/>
    <col min="9" max="9" width="5.5" style="27" bestFit="1" customWidth="1"/>
    <col min="10" max="10" width="5.875" style="27" customWidth="1"/>
    <col min="11" max="11" width="5.625" style="27" customWidth="1"/>
    <col min="12" max="13" width="6.25" style="27" customWidth="1"/>
    <col min="14" max="16" width="5.875" style="27" customWidth="1"/>
    <col min="17" max="17" width="5.625" style="27" customWidth="1"/>
    <col min="18" max="18" width="6.625" style="39" customWidth="1"/>
    <col min="19" max="19" width="3.625" style="84" customWidth="1"/>
    <col min="20" max="25" width="7.25" style="76" customWidth="1"/>
    <col min="26" max="26" width="7.75" style="76" customWidth="1"/>
    <col min="27" max="27" width="6.75" style="76" customWidth="1"/>
    <col min="28" max="28" width="7.25" style="76" customWidth="1"/>
    <col min="29" max="29" width="8.125" style="76" customWidth="1"/>
    <col min="30" max="31" width="6.5" style="76" customWidth="1"/>
    <col min="32" max="32" width="7.75" style="76" customWidth="1"/>
    <col min="33" max="33" width="6.75" style="76" customWidth="1"/>
    <col min="34" max="34" width="7.875" style="76" customWidth="1"/>
    <col min="35" max="35" width="5.375" style="76" customWidth="1"/>
    <col min="36" max="36" width="6.375" style="94" customWidth="1"/>
    <col min="37" max="37" width="5.375" style="76" customWidth="1"/>
    <col min="38" max="38" width="8.875" style="76" customWidth="1"/>
    <col min="39" max="16384" width="8.875" style="27"/>
  </cols>
  <sheetData>
    <row r="1" spans="1:38" customFormat="1" ht="18">
      <c r="A1" s="248" t="s">
        <v>796</v>
      </c>
      <c r="B1" s="249"/>
      <c r="C1" s="249"/>
      <c r="D1" s="249"/>
      <c r="E1" s="249"/>
      <c r="F1" s="249"/>
      <c r="G1" s="249"/>
      <c r="H1" s="249"/>
      <c r="I1" s="250"/>
      <c r="J1" s="249"/>
      <c r="K1" s="249"/>
      <c r="L1" s="249"/>
      <c r="M1" s="250"/>
      <c r="N1" s="252"/>
      <c r="O1" s="251"/>
      <c r="P1" s="253"/>
      <c r="Q1" s="253"/>
      <c r="R1" s="253"/>
    </row>
    <row r="2" spans="1:38" ht="18">
      <c r="A2" s="40" t="s">
        <v>678</v>
      </c>
      <c r="B2" s="46"/>
      <c r="C2" s="47"/>
      <c r="D2" s="47"/>
      <c r="E2" s="47"/>
      <c r="F2" s="47"/>
      <c r="G2" s="47"/>
      <c r="H2" s="47"/>
      <c r="I2" s="47"/>
      <c r="J2" s="47"/>
      <c r="K2" s="47"/>
      <c r="L2" s="47"/>
      <c r="M2" s="47"/>
      <c r="N2" s="47"/>
      <c r="O2" s="47"/>
      <c r="P2" s="47"/>
      <c r="Q2" s="47"/>
      <c r="R2" s="46"/>
      <c r="S2" s="82" t="s">
        <v>457</v>
      </c>
      <c r="T2" s="89"/>
      <c r="U2" s="89"/>
      <c r="V2" s="89"/>
      <c r="W2" s="89"/>
      <c r="X2" s="89"/>
      <c r="Y2" s="89"/>
      <c r="Z2" s="89"/>
      <c r="AA2" s="89"/>
      <c r="AB2" s="89"/>
      <c r="AC2" s="89"/>
      <c r="AD2" s="89"/>
      <c r="AE2" s="89"/>
      <c r="AF2" s="89"/>
      <c r="AG2" s="89"/>
      <c r="AH2" s="89"/>
      <c r="AI2" s="89"/>
      <c r="AJ2" s="90"/>
    </row>
    <row r="3" spans="1:38" ht="18">
      <c r="A3" s="40" t="s">
        <v>774</v>
      </c>
      <c r="B3" s="46"/>
      <c r="C3" s="47"/>
      <c r="D3" s="47"/>
      <c r="E3" s="47"/>
      <c r="F3" s="47"/>
      <c r="G3" s="47"/>
      <c r="H3" s="47"/>
      <c r="I3" s="47"/>
      <c r="J3" s="47"/>
      <c r="K3" s="47"/>
      <c r="L3" s="47"/>
      <c r="M3" s="47"/>
      <c r="N3" s="47"/>
      <c r="O3" s="47"/>
      <c r="P3" s="47"/>
      <c r="Q3" s="47"/>
      <c r="R3" s="46"/>
      <c r="S3" s="82" t="s">
        <v>457</v>
      </c>
      <c r="T3" s="89"/>
      <c r="U3" s="89"/>
      <c r="V3" s="89"/>
      <c r="W3" s="89"/>
      <c r="X3" s="89"/>
      <c r="Y3" s="89"/>
      <c r="Z3" s="89"/>
      <c r="AA3" s="89"/>
      <c r="AB3" s="89"/>
      <c r="AC3" s="89"/>
      <c r="AD3" s="89"/>
      <c r="AE3" s="89"/>
      <c r="AF3" s="89"/>
      <c r="AG3" s="89"/>
      <c r="AH3" s="89"/>
      <c r="AI3" s="89"/>
      <c r="AJ3" s="90"/>
    </row>
    <row r="4" spans="1:38" s="1" customFormat="1" ht="18.75" customHeight="1">
      <c r="A4" s="178" t="s">
        <v>312</v>
      </c>
      <c r="B4" s="48"/>
      <c r="C4" s="49"/>
      <c r="D4" s="49"/>
      <c r="E4" s="49"/>
      <c r="F4" s="49"/>
      <c r="G4" s="49"/>
      <c r="H4" s="49"/>
      <c r="I4" s="49"/>
      <c r="J4" s="49"/>
      <c r="K4" s="49"/>
      <c r="L4" s="49"/>
      <c r="M4" s="49"/>
      <c r="N4" s="49"/>
      <c r="O4" s="49"/>
      <c r="P4" s="49"/>
      <c r="Q4" s="49"/>
      <c r="R4" s="48"/>
      <c r="S4" s="83" t="s">
        <v>457</v>
      </c>
      <c r="T4" s="91"/>
      <c r="U4" s="91"/>
      <c r="V4" s="91"/>
      <c r="W4" s="91"/>
      <c r="X4" s="91"/>
      <c r="Y4" s="91"/>
      <c r="Z4" s="91"/>
      <c r="AA4" s="91"/>
      <c r="AB4" s="91"/>
      <c r="AC4" s="91"/>
      <c r="AD4" s="91"/>
      <c r="AE4" s="91"/>
      <c r="AF4" s="91"/>
      <c r="AG4" s="91"/>
      <c r="AH4" s="91"/>
      <c r="AI4" s="91"/>
      <c r="AJ4" s="92"/>
      <c r="AK4" s="93"/>
      <c r="AL4" s="93"/>
    </row>
    <row r="5" spans="1:38" s="1" customFormat="1" ht="15.75" customHeight="1">
      <c r="A5" s="41"/>
      <c r="B5" s="48"/>
      <c r="C5" s="49"/>
      <c r="D5" s="49"/>
      <c r="E5" s="49"/>
      <c r="F5" s="49"/>
      <c r="G5" s="49"/>
      <c r="H5" s="49"/>
      <c r="I5" s="49"/>
      <c r="J5" s="49"/>
      <c r="K5" s="49"/>
      <c r="L5" s="49"/>
      <c r="M5" s="49"/>
      <c r="N5" s="49"/>
      <c r="O5" s="49"/>
      <c r="P5" s="49"/>
      <c r="Q5" s="49"/>
      <c r="R5" s="48"/>
      <c r="S5" s="83" t="s">
        <v>457</v>
      </c>
      <c r="T5" s="190"/>
      <c r="U5" s="91"/>
      <c r="V5" s="91"/>
      <c r="W5" s="91"/>
      <c r="X5" s="91"/>
      <c r="Y5" s="91"/>
      <c r="Z5" s="91"/>
      <c r="AA5" s="91"/>
      <c r="AB5" s="91"/>
      <c r="AC5" s="91"/>
      <c r="AD5" s="91"/>
      <c r="AE5" s="91"/>
      <c r="AF5" s="91"/>
      <c r="AG5" s="91"/>
      <c r="AH5" s="91"/>
      <c r="AI5" s="91"/>
      <c r="AJ5" s="92"/>
      <c r="AK5" s="93"/>
      <c r="AL5" s="93"/>
    </row>
    <row r="6" spans="1:38" ht="15.75" customHeight="1">
      <c r="A6" s="28"/>
      <c r="S6" s="84" t="s">
        <v>457</v>
      </c>
    </row>
    <row r="7" spans="1:38">
      <c r="A7" s="50"/>
      <c r="B7" s="29"/>
      <c r="C7" s="57" t="s">
        <v>313</v>
      </c>
      <c r="D7" s="51"/>
      <c r="E7" s="51"/>
      <c r="F7" s="51"/>
      <c r="G7" s="51"/>
      <c r="H7" s="51"/>
      <c r="I7" s="51"/>
      <c r="J7" s="51"/>
      <c r="K7" s="51"/>
      <c r="L7" s="51"/>
      <c r="M7" s="51"/>
      <c r="N7" s="51"/>
      <c r="O7" s="51"/>
      <c r="P7" s="51"/>
      <c r="Q7" s="51"/>
      <c r="R7" s="51"/>
      <c r="S7" s="85"/>
      <c r="T7" s="57" t="s">
        <v>328</v>
      </c>
      <c r="U7" s="95"/>
      <c r="V7" s="95"/>
      <c r="W7" s="95"/>
      <c r="X7" s="95"/>
      <c r="Y7" s="95"/>
      <c r="Z7" s="95"/>
      <c r="AA7" s="95"/>
      <c r="AB7" s="95"/>
      <c r="AC7" s="95"/>
      <c r="AD7" s="95"/>
      <c r="AE7" s="95"/>
      <c r="AF7" s="95"/>
      <c r="AG7" s="95"/>
      <c r="AH7" s="95"/>
      <c r="AI7" s="95"/>
      <c r="AJ7" s="95"/>
    </row>
    <row r="8" spans="1:38">
      <c r="A8" s="52"/>
      <c r="B8" s="70"/>
      <c r="C8" s="58" t="s">
        <v>318</v>
      </c>
      <c r="D8" s="56"/>
      <c r="E8" s="56"/>
      <c r="F8" s="56"/>
      <c r="G8" s="56"/>
      <c r="H8" s="56"/>
      <c r="I8" s="56"/>
      <c r="J8" s="55" t="s">
        <v>319</v>
      </c>
      <c r="K8" s="79"/>
      <c r="L8" s="79"/>
      <c r="M8" s="79"/>
      <c r="N8" s="80"/>
      <c r="O8" s="55" t="s">
        <v>289</v>
      </c>
      <c r="P8" s="79"/>
      <c r="Q8" s="79"/>
      <c r="R8" s="56"/>
      <c r="T8" s="58" t="s">
        <v>318</v>
      </c>
      <c r="U8" s="96"/>
      <c r="V8" s="96"/>
      <c r="W8" s="96"/>
      <c r="X8" s="96"/>
      <c r="Y8" s="96"/>
      <c r="Z8" s="96"/>
      <c r="AA8" s="97" t="s">
        <v>319</v>
      </c>
      <c r="AB8" s="98"/>
      <c r="AC8" s="98"/>
      <c r="AD8" s="98"/>
      <c r="AE8" s="98"/>
      <c r="AF8" s="96"/>
      <c r="AG8" s="97" t="s">
        <v>289</v>
      </c>
      <c r="AH8" s="98"/>
      <c r="AI8" s="98"/>
      <c r="AJ8" s="96"/>
    </row>
    <row r="9" spans="1:38" ht="41.25" customHeight="1">
      <c r="A9" s="71"/>
      <c r="B9" s="72"/>
      <c r="C9" s="73">
        <v>1</v>
      </c>
      <c r="D9" s="53">
        <v>2</v>
      </c>
      <c r="E9" s="53">
        <v>3</v>
      </c>
      <c r="F9" s="53">
        <v>4</v>
      </c>
      <c r="G9" s="53">
        <v>5</v>
      </c>
      <c r="H9" s="53">
        <v>6</v>
      </c>
      <c r="I9" s="81" t="s">
        <v>458</v>
      </c>
      <c r="J9" s="59" t="s">
        <v>303</v>
      </c>
      <c r="K9" s="53">
        <v>1</v>
      </c>
      <c r="L9" s="53">
        <v>2</v>
      </c>
      <c r="M9" s="53">
        <v>3</v>
      </c>
      <c r="N9" s="81" t="s">
        <v>459</v>
      </c>
      <c r="O9" s="59">
        <v>1</v>
      </c>
      <c r="P9" s="59">
        <v>2</v>
      </c>
      <c r="Q9" s="59" t="s">
        <v>460</v>
      </c>
      <c r="R9" s="119" t="s">
        <v>426</v>
      </c>
      <c r="S9" s="86"/>
      <c r="T9" s="100">
        <v>1</v>
      </c>
      <c r="U9" s="101">
        <v>2</v>
      </c>
      <c r="V9" s="101">
        <v>3</v>
      </c>
      <c r="W9" s="101">
        <v>4</v>
      </c>
      <c r="X9" s="101">
        <v>5</v>
      </c>
      <c r="Y9" s="101">
        <v>6</v>
      </c>
      <c r="Z9" s="103" t="s">
        <v>320</v>
      </c>
      <c r="AA9" s="102" t="s">
        <v>303</v>
      </c>
      <c r="AB9" s="101">
        <v>1</v>
      </c>
      <c r="AC9" s="101">
        <v>2</v>
      </c>
      <c r="AD9" s="101">
        <v>3</v>
      </c>
      <c r="AE9" s="102" t="s">
        <v>304</v>
      </c>
      <c r="AF9" s="103" t="s">
        <v>426</v>
      </c>
      <c r="AG9" s="102">
        <v>1</v>
      </c>
      <c r="AH9" s="102">
        <v>2</v>
      </c>
      <c r="AI9" s="102" t="s">
        <v>304</v>
      </c>
      <c r="AJ9" s="120" t="s">
        <v>426</v>
      </c>
    </row>
    <row r="10" spans="1:38">
      <c r="A10" s="38" t="s">
        <v>317</v>
      </c>
      <c r="B10" s="35" t="s">
        <v>332</v>
      </c>
      <c r="C10" s="36">
        <f t="shared" ref="C10:M15" si="0">IF(T$16&gt;0,(T10/T$16),0)</f>
        <v>0.32960212548182671</v>
      </c>
      <c r="D10" s="37">
        <f t="shared" si="0"/>
        <v>0.25256733191242009</v>
      </c>
      <c r="E10" s="37">
        <f t="shared" si="0"/>
        <v>0.23360316603705703</v>
      </c>
      <c r="F10" s="37">
        <f t="shared" si="0"/>
        <v>0.21489736070381232</v>
      </c>
      <c r="G10" s="37">
        <f t="shared" si="0"/>
        <v>0.20604240945768437</v>
      </c>
      <c r="H10" s="67">
        <f t="shared" si="0"/>
        <v>0.19615384615384615</v>
      </c>
      <c r="I10" s="36">
        <f t="shared" si="0"/>
        <v>0.27519602977667496</v>
      </c>
      <c r="J10" s="36">
        <f t="shared" si="0"/>
        <v>6.3608972212922665E-2</v>
      </c>
      <c r="K10" s="37">
        <f t="shared" si="0"/>
        <v>0.12599501880158226</v>
      </c>
      <c r="L10" s="37">
        <f t="shared" si="0"/>
        <v>7.5647512649666848E-2</v>
      </c>
      <c r="M10" s="37">
        <f t="shared" si="0"/>
        <v>6.0167555217060166E-2</v>
      </c>
      <c r="N10" s="36">
        <f t="shared" ref="N10:R16" si="1">IF(AF$16&gt;0,(AF10/AF$16),0)</f>
        <v>0.10218525759200352</v>
      </c>
      <c r="O10" s="152">
        <f t="shared" si="1"/>
        <v>3.373313343328336E-3</v>
      </c>
      <c r="P10" s="235">
        <f t="shared" si="1"/>
        <v>0</v>
      </c>
      <c r="Q10" s="67">
        <f t="shared" si="1"/>
        <v>0</v>
      </c>
      <c r="R10" s="152">
        <f t="shared" si="1"/>
        <v>1.9354838709677419E-3</v>
      </c>
      <c r="S10" s="117"/>
      <c r="T10" s="104">
        <f>+GETPIVOTDATA(" Total # Prof Old",'OLD Counts Pivot Table'!$A$3,"Category",1,"Category2","Four-Year")</f>
        <v>15135</v>
      </c>
      <c r="U10" s="105">
        <f>+GETPIVOTDATA(" Total # Prof Old",'OLD Counts Pivot Table'!$A$3,"Category",2,"Category2","Four-Year")</f>
        <v>2607</v>
      </c>
      <c r="V10" s="105">
        <f>+GETPIVOTDATA(" Total # Prof Old",'OLD Counts Pivot Table'!$A$3,"Category",3,"Category2","Four-Year")</f>
        <v>6493</v>
      </c>
      <c r="W10" s="105">
        <f>+GETPIVOTDATA(" Total # Prof Old",'OLD Counts Pivot Table'!$A$3,"Category",4,"Category2","Four-Year")</f>
        <v>1832</v>
      </c>
      <c r="X10" s="105">
        <f>+GETPIVOTDATA(" Total # Prof Old",'OLD Counts Pivot Table'!$A$3,"Category",5,"Category2","Four-Year")</f>
        <v>1098</v>
      </c>
      <c r="Y10" s="105">
        <f>+GETPIVOTDATA(" Total # Prof Old",'OLD Counts Pivot Table'!$A$3,"Category",6,"Category2","Four-Year")</f>
        <v>561</v>
      </c>
      <c r="Z10" s="107">
        <f>+GETPIVOTDATA(" Total # Prof Old",'OLD Counts Pivot Table'!$A$3,"Category2","Four-Year")</f>
        <v>27726</v>
      </c>
      <c r="AA10" s="104">
        <f>+GETPIVOTDATA(" Total # Prof Old",'OLD Counts Pivot Table'!$A$3,"Category",7,"Category2","Group2")</f>
        <v>190</v>
      </c>
      <c r="AB10" s="105">
        <f>+GETPIVOTDATA(" Total # Prof Old",'OLD Counts Pivot Table'!$A$3,"Category",8,"Category2","Group2")</f>
        <v>2580</v>
      </c>
      <c r="AC10" s="105">
        <f>+GETPIVOTDATA(" Total # Prof Old",'OLD Counts Pivot Table'!$A$3,"Category",9,"Category2","Group2")</f>
        <v>1057</v>
      </c>
      <c r="AD10" s="105">
        <f>+GETPIVOTDATA(" Total # Prof Old",'OLD Counts Pivot Table'!$A$3,"Category",10,"Category2","Group2")</f>
        <v>316</v>
      </c>
      <c r="AE10" s="105">
        <f>+GETPIVOTDATA(" Total # Prof Old",'OLD Counts Pivot Table'!$A$3,"Category","11","Category2","Group2")</f>
        <v>441</v>
      </c>
      <c r="AF10" s="107">
        <f>+GETPIVOTDATA(" Total # Prof Old",'OLD Counts Pivot Table'!$A$3,"Category2","Group2")</f>
        <v>4584</v>
      </c>
      <c r="AG10" s="104">
        <f>+GETPIVOTDATA(" Total # Prof Old",'OLD Counts Pivot Table'!$A$3,"Category",12,"Category2","Technical Institutes")</f>
        <v>9</v>
      </c>
      <c r="AH10" s="105">
        <f>+GETPIVOTDATA(" Total # Prof Old",'OLD Counts Pivot Table'!$A$3,"Category",13,"Category2","Technical Institutes")</f>
        <v>0</v>
      </c>
      <c r="AI10" s="106">
        <f>+GETPIVOTDATA(" Total # Prof Old",'OLD Counts Pivot Table'!$A$3,"Category",14,"Category2","Technical Institutes")</f>
        <v>0</v>
      </c>
      <c r="AJ10" s="104">
        <f>+GETPIVOTDATA(" Total # Prof Old",'OLD Counts Pivot Table'!$A$3,"Category2","Technical Institutes")</f>
        <v>9</v>
      </c>
    </row>
    <row r="11" spans="1:38">
      <c r="A11" s="30"/>
      <c r="B11" s="38" t="s">
        <v>333</v>
      </c>
      <c r="C11" s="32">
        <f t="shared" si="0"/>
        <v>0.26579411572551664</v>
      </c>
      <c r="D11" s="34">
        <f t="shared" si="0"/>
        <v>0.2727184654136795</v>
      </c>
      <c r="E11" s="34">
        <f t="shared" ref="D11:M16" si="2">IF(V$16&gt;0,(V11/V$16),0)</f>
        <v>0.24579960424536787</v>
      </c>
      <c r="F11" s="34">
        <f t="shared" si="2"/>
        <v>0.24879765395894429</v>
      </c>
      <c r="G11" s="34">
        <f t="shared" si="2"/>
        <v>0.24244698817789453</v>
      </c>
      <c r="H11" s="68">
        <f t="shared" si="2"/>
        <v>0.25489510489510492</v>
      </c>
      <c r="I11" s="32">
        <f t="shared" si="2"/>
        <v>0.25800496277915635</v>
      </c>
      <c r="J11" s="32">
        <f t="shared" si="2"/>
        <v>6.7626380984265155E-2</v>
      </c>
      <c r="K11" s="34">
        <f t="shared" si="2"/>
        <v>0.10455633149387117</v>
      </c>
      <c r="L11" s="34">
        <f t="shared" si="2"/>
        <v>9.0605251669326606E-2</v>
      </c>
      <c r="M11" s="34">
        <f t="shared" si="2"/>
        <v>6.1881188118811881E-2</v>
      </c>
      <c r="N11" s="32">
        <f t="shared" si="1"/>
        <v>0.10211838242342236</v>
      </c>
      <c r="O11" s="32">
        <f t="shared" si="1"/>
        <v>1.2368815592203899E-2</v>
      </c>
      <c r="P11" s="34">
        <f t="shared" si="1"/>
        <v>0</v>
      </c>
      <c r="Q11" s="68">
        <f t="shared" si="1"/>
        <v>0</v>
      </c>
      <c r="R11" s="32">
        <f t="shared" si="1"/>
        <v>7.0967741935483875E-3</v>
      </c>
      <c r="S11" s="87"/>
      <c r="T11" s="108">
        <f>+GETPIVOTDATA(" Tot # Asc. Prof Old",'OLD Counts Pivot Table'!$A$3,"Category",1,"Category2","Four-Year")</f>
        <v>12205</v>
      </c>
      <c r="U11" s="109">
        <f>+GETPIVOTDATA(" Tot # Asc. Prof Old",'OLD Counts Pivot Table'!$A$3,"Category",2,"Category2","Four-Year")</f>
        <v>2815</v>
      </c>
      <c r="V11" s="109">
        <f>+GETPIVOTDATA(" Tot # Asc. Prof Old",'OLD Counts Pivot Table'!$A$3,"Category",3,"Category2","Four-Year")</f>
        <v>6832</v>
      </c>
      <c r="W11" s="109">
        <f>+GETPIVOTDATA(" Tot # Asc. Prof Old",'OLD Counts Pivot Table'!$A$3,"Category",4,"Category2","Four-Year")</f>
        <v>2121</v>
      </c>
      <c r="X11" s="109">
        <f>+GETPIVOTDATA(" Tot # Asc. Prof Old",'OLD Counts Pivot Table'!$A$3,"Category",5,"Category2","Four-Year")</f>
        <v>1292</v>
      </c>
      <c r="Y11" s="109">
        <f>+GETPIVOTDATA(" Tot # Asc. Prof Old",'OLD Counts Pivot Table'!$A$3,"Category",6,"Category2","Four-Year")</f>
        <v>729</v>
      </c>
      <c r="Z11" s="111">
        <f>+GETPIVOTDATA(" Tot # Asc. Prof Old",'OLD Counts Pivot Table'!$A$3,"Category2","Four-Year")</f>
        <v>25994</v>
      </c>
      <c r="AA11" s="108">
        <f>+GETPIVOTDATA(" Tot # Asc. Prof Old",'OLD Counts Pivot Table'!$A$3,"Category",7,"Category2","Group2")</f>
        <v>202</v>
      </c>
      <c r="AB11" s="109">
        <f>+GETPIVOTDATA(" Tot # Asc. Prof Old",'OLD Counts Pivot Table'!$A$3,"Category",8,"Category2","Group2")</f>
        <v>2141</v>
      </c>
      <c r="AC11" s="109">
        <f>+GETPIVOTDATA(" Tot # Asc. Prof Old",'OLD Counts Pivot Table'!$A$3,"Category",9,"Category2","Group2")</f>
        <v>1266</v>
      </c>
      <c r="AD11" s="109">
        <f>+GETPIVOTDATA(" Tot # Asc. Prof Old",'OLD Counts Pivot Table'!$A$3,"Category",10,"Category2","Group2")</f>
        <v>325</v>
      </c>
      <c r="AE11" s="109">
        <f>+GETPIVOTDATA(" Tot # Asc. Prof Old",'OLD Counts Pivot Table'!$A$3,"Category","11","Category2","Group2")</f>
        <v>647</v>
      </c>
      <c r="AF11" s="111">
        <f>+GETPIVOTDATA(" Tot # Asc. Prof Old",'OLD Counts Pivot Table'!$A$3,"Category2","Group2")</f>
        <v>4581</v>
      </c>
      <c r="AG11" s="108">
        <f>+GETPIVOTDATA(" Tot # Asc. Prof Old",'OLD Counts Pivot Table'!$A$3,"Category",12,"Category2","Technical Institutes")</f>
        <v>33</v>
      </c>
      <c r="AH11" s="109">
        <f>+GETPIVOTDATA(" Tot # Asc. Prof Old",'OLD Counts Pivot Table'!$A$3,"Category",13,"Category2","Technical Institutes")</f>
        <v>0</v>
      </c>
      <c r="AI11" s="110">
        <f>+GETPIVOTDATA(" Tot # Asc. Prof Old",'OLD Counts Pivot Table'!$A$3,"Category",14,"Category2","Technical Institutes")</f>
        <v>0</v>
      </c>
      <c r="AJ11" s="108">
        <f>+GETPIVOTDATA(" Tot # Asc. Prof Old",'OLD Counts Pivot Table'!$A$3,"Category2","Technical Institutes")</f>
        <v>33</v>
      </c>
    </row>
    <row r="12" spans="1:38">
      <c r="A12" s="30"/>
      <c r="B12" s="38" t="s">
        <v>334</v>
      </c>
      <c r="C12" s="32">
        <f t="shared" si="0"/>
        <v>0.24898190291600428</v>
      </c>
      <c r="D12" s="34">
        <f t="shared" si="0"/>
        <v>0.26797132338694052</v>
      </c>
      <c r="E12" s="34">
        <f t="shared" si="2"/>
        <v>0.29595250944414464</v>
      </c>
      <c r="F12" s="34">
        <f t="shared" si="2"/>
        <v>0.36117302052785921</v>
      </c>
      <c r="G12" s="34">
        <f t="shared" si="2"/>
        <v>0.34922124225933571</v>
      </c>
      <c r="H12" s="68">
        <f t="shared" si="2"/>
        <v>0.34195804195804197</v>
      </c>
      <c r="I12" s="32">
        <f t="shared" si="2"/>
        <v>0.2813200992555831</v>
      </c>
      <c r="J12" s="32">
        <f t="shared" si="2"/>
        <v>0.10746568463341145</v>
      </c>
      <c r="K12" s="34">
        <f t="shared" si="2"/>
        <v>8.5071055330370654E-2</v>
      </c>
      <c r="L12" s="34">
        <f t="shared" si="2"/>
        <v>8.3233734353417729E-2</v>
      </c>
      <c r="M12" s="34">
        <f t="shared" si="2"/>
        <v>8.149276466108149E-2</v>
      </c>
      <c r="N12" s="32">
        <f t="shared" si="1"/>
        <v>9.659003515404696E-2</v>
      </c>
      <c r="O12" s="32">
        <f t="shared" si="1"/>
        <v>1.424287856071964E-2</v>
      </c>
      <c r="P12" s="34">
        <f t="shared" si="1"/>
        <v>0</v>
      </c>
      <c r="Q12" s="68">
        <f t="shared" si="1"/>
        <v>0</v>
      </c>
      <c r="R12" s="32">
        <f t="shared" si="1"/>
        <v>8.172043010752689E-3</v>
      </c>
      <c r="S12" s="87"/>
      <c r="T12" s="108">
        <f>+GETPIVOTDATA(" Tot # Ast. Prof Old",'OLD Counts Pivot Table'!$A$3,"Category",1,"Category2","Four-Year")</f>
        <v>11433</v>
      </c>
      <c r="U12" s="109">
        <f>+GETPIVOTDATA(" Tot # Ast. Prof Old",'OLD Counts Pivot Table'!$A$3,"Category",2,"Category2","Four-Year")</f>
        <v>2766</v>
      </c>
      <c r="V12" s="109">
        <f>+GETPIVOTDATA(" Tot # Ast. Prof Old",'OLD Counts Pivot Table'!$A$3,"Category",3,"Category2","Four-Year")</f>
        <v>8226</v>
      </c>
      <c r="W12" s="109">
        <f>+GETPIVOTDATA(" Tot # Ast. Prof Old",'OLD Counts Pivot Table'!$A$3,"Category",4,"Category2","Four-Year")</f>
        <v>3079</v>
      </c>
      <c r="X12" s="109">
        <f>+GETPIVOTDATA(" Tot # Ast. Prof Old",'OLD Counts Pivot Table'!$A$3,"Category",5,"Category2","Four-Year")</f>
        <v>1861</v>
      </c>
      <c r="Y12" s="109">
        <f>+GETPIVOTDATA(" Tot # Ast. Prof Old",'OLD Counts Pivot Table'!$A$3,"Category",6,"Category2","Four-Year")</f>
        <v>978</v>
      </c>
      <c r="Z12" s="111">
        <f>+GETPIVOTDATA(" Tot # Ast. Prof Old",'OLD Counts Pivot Table'!$A$3,"Category2","Four-Year")</f>
        <v>28343</v>
      </c>
      <c r="AA12" s="108">
        <f>+GETPIVOTDATA(" Tot # Ast. Prof Old",'OLD Counts Pivot Table'!$A$3,"Category",7,"Category2","Group2")</f>
        <v>321</v>
      </c>
      <c r="AB12" s="109">
        <f>+GETPIVOTDATA(" Tot # Ast. Prof Old",'OLD Counts Pivot Table'!$A$3,"Category",8,"Category2","Group2")</f>
        <v>1742</v>
      </c>
      <c r="AC12" s="109">
        <f>+GETPIVOTDATA(" Tot # Ast. Prof Old",'OLD Counts Pivot Table'!$A$3,"Category",9,"Category2","Group2")</f>
        <v>1163</v>
      </c>
      <c r="AD12" s="109">
        <f>+GETPIVOTDATA(" Tot # Ast. Prof Old",'OLD Counts Pivot Table'!$A$3,"Category",10,"Category2","Group2")</f>
        <v>428</v>
      </c>
      <c r="AE12" s="109">
        <f>+GETPIVOTDATA(" Tot # Ast. Prof Old",'OLD Counts Pivot Table'!$A$3,"Category","11","Category2","Group2")</f>
        <v>679</v>
      </c>
      <c r="AF12" s="111">
        <f>+GETPIVOTDATA(" Tot # Ast. Prof Old",'OLD Counts Pivot Table'!$A$3,"Category2","Group2")</f>
        <v>4333</v>
      </c>
      <c r="AG12" s="108">
        <f>+GETPIVOTDATA(" Tot # Ast. Prof Old",'OLD Counts Pivot Table'!$A$3,"Category",12,"Category2","Technical Institutes")</f>
        <v>38</v>
      </c>
      <c r="AH12" s="109">
        <f>+GETPIVOTDATA(" Tot # Ast. Prof Old",'OLD Counts Pivot Table'!$A$3,"Category",13,"Category2","Technical Institutes")</f>
        <v>0</v>
      </c>
      <c r="AI12" s="110">
        <f>+GETPIVOTDATA(" Tot # Ast. Prof Old",'OLD Counts Pivot Table'!$A$3,"Category",14,"Category2","Technical Institutes")</f>
        <v>0</v>
      </c>
      <c r="AJ12" s="108">
        <f>+GETPIVOTDATA(" Tot # Ast. Prof Old",'OLD Counts Pivot Table'!$A$3,"Category2","Technical Institutes")</f>
        <v>38</v>
      </c>
    </row>
    <row r="13" spans="1:38">
      <c r="A13" s="30"/>
      <c r="B13" s="38" t="s">
        <v>335</v>
      </c>
      <c r="C13" s="32">
        <f t="shared" si="0"/>
        <v>6.5354210675319588E-2</v>
      </c>
      <c r="D13" s="34">
        <f t="shared" si="0"/>
        <v>0.10182135245107538</v>
      </c>
      <c r="E13" s="34">
        <f t="shared" si="2"/>
        <v>0.10850872459075374</v>
      </c>
      <c r="F13" s="34">
        <f t="shared" si="2"/>
        <v>0.10041055718475074</v>
      </c>
      <c r="G13" s="34">
        <f t="shared" si="2"/>
        <v>0.13229498967911427</v>
      </c>
      <c r="H13" s="68">
        <f t="shared" si="2"/>
        <v>0.14650349650349651</v>
      </c>
      <c r="I13" s="32">
        <f t="shared" si="2"/>
        <v>8.9806451612903224E-2</v>
      </c>
      <c r="J13" s="32">
        <f t="shared" si="2"/>
        <v>0.21225309675259457</v>
      </c>
      <c r="K13" s="34">
        <f t="shared" si="2"/>
        <v>8.4387361429896959E-2</v>
      </c>
      <c r="L13" s="34">
        <f t="shared" si="2"/>
        <v>0.10162674357854959</v>
      </c>
      <c r="M13" s="34">
        <f t="shared" si="2"/>
        <v>0.14680121858339681</v>
      </c>
      <c r="N13" s="32">
        <f t="shared" si="1"/>
        <v>0.11050007021892702</v>
      </c>
      <c r="O13" s="32">
        <f t="shared" si="1"/>
        <v>4.9850074962518739E-2</v>
      </c>
      <c r="P13" s="34">
        <f t="shared" si="1"/>
        <v>2.7100271002710029E-2</v>
      </c>
      <c r="Q13" s="68">
        <f t="shared" si="1"/>
        <v>0</v>
      </c>
      <c r="R13" s="32">
        <f t="shared" si="1"/>
        <v>3.7204301075268814E-2</v>
      </c>
      <c r="S13" s="87"/>
      <c r="T13" s="108">
        <f>+GETPIVOTDATA(" Tot # Instr. Old",'OLD Counts Pivot Table'!$A$3,"Category",1,"Category2","Four-Year")</f>
        <v>3001</v>
      </c>
      <c r="U13" s="109">
        <f>+GETPIVOTDATA(" Tot # Instr. Old",'OLD Counts Pivot Table'!$A$3,"Category",2,"Category2","Four-Year")</f>
        <v>1051</v>
      </c>
      <c r="V13" s="109">
        <f>+GETPIVOTDATA(" Tot # Instr. Old",'OLD Counts Pivot Table'!$A$3,"Category",3,"Category2","Four-Year")</f>
        <v>3016</v>
      </c>
      <c r="W13" s="109">
        <f>+GETPIVOTDATA(" Tot # Instr. Old",'OLD Counts Pivot Table'!$A$3,"Category",4,"Category2","Four-Year")</f>
        <v>856</v>
      </c>
      <c r="X13" s="109">
        <f>+GETPIVOTDATA(" Tot # Instr. Old",'OLD Counts Pivot Table'!$A$3,"Category",5,"Category2","Four-Year")</f>
        <v>705</v>
      </c>
      <c r="Y13" s="109">
        <f>+GETPIVOTDATA(" Tot # Instr. Old",'OLD Counts Pivot Table'!$A$3,"Category",6,"Category2","Four-Year")</f>
        <v>419</v>
      </c>
      <c r="Z13" s="111">
        <f>+GETPIVOTDATA(" Tot # Instr. Old",'OLD Counts Pivot Table'!$A$3,"Category2","Four-Year")</f>
        <v>9048</v>
      </c>
      <c r="AA13" s="108">
        <f>+GETPIVOTDATA(" Tot # Instr. Old",'OLD Counts Pivot Table'!$A$3,"Category",7,"Category2","Group2")</f>
        <v>634</v>
      </c>
      <c r="AB13" s="109">
        <f>+GETPIVOTDATA(" Tot # Instr. Old",'OLD Counts Pivot Table'!$A$3,"Category",8,"Category2","Group2")</f>
        <v>1728</v>
      </c>
      <c r="AC13" s="109">
        <f>+GETPIVOTDATA(" Tot # Instr. Old",'OLD Counts Pivot Table'!$A$3,"Category",9,"Category2","Group2")</f>
        <v>1420</v>
      </c>
      <c r="AD13" s="109">
        <f>+GETPIVOTDATA(" Tot # Instr. Old",'OLD Counts Pivot Table'!$A$3,"Category",10,"Category2","Group2")</f>
        <v>771</v>
      </c>
      <c r="AE13" s="109">
        <f>+GETPIVOTDATA(" Tot # Instr. Old",'OLD Counts Pivot Table'!$A$3,"Category","11","Category2","Group2")</f>
        <v>404</v>
      </c>
      <c r="AF13" s="111">
        <f>+GETPIVOTDATA(" Tot # Instr. Old",'OLD Counts Pivot Table'!$A$3,"Category2","Group2")</f>
        <v>4957</v>
      </c>
      <c r="AG13" s="108">
        <f>+GETPIVOTDATA(" Tot # Instr. Old",'OLD Counts Pivot Table'!$A$3,"Category",12,"Category2","Technical Institutes")</f>
        <v>133</v>
      </c>
      <c r="AH13" s="109">
        <f>+GETPIVOTDATA(" Tot # Instr. Old",'OLD Counts Pivot Table'!$A$3,"Category",13,"Category2","Technical Institutes")</f>
        <v>40</v>
      </c>
      <c r="AI13" s="110">
        <f>+GETPIVOTDATA(" Tot # Instr. Old",'OLD Counts Pivot Table'!$A$3,"Category",14,"Category2","Technical Institutes")</f>
        <v>0</v>
      </c>
      <c r="AJ13" s="108">
        <f>+GETPIVOTDATA(" Tot # Instr. Old",'OLD Counts Pivot Table'!$A$3,"Category2","Technical Institutes")</f>
        <v>173</v>
      </c>
    </row>
    <row r="14" spans="1:38">
      <c r="A14" s="30"/>
      <c r="B14" s="38" t="s">
        <v>315</v>
      </c>
      <c r="C14" s="32">
        <f t="shared" si="0"/>
        <v>9.0267645201332777E-2</v>
      </c>
      <c r="D14" s="34">
        <f t="shared" si="0"/>
        <v>0.10492152683588452</v>
      </c>
      <c r="E14" s="34">
        <f t="shared" si="2"/>
        <v>0.11613599568267674</v>
      </c>
      <c r="F14" s="34">
        <f t="shared" si="2"/>
        <v>7.4721407624633432E-2</v>
      </c>
      <c r="G14" s="34">
        <f t="shared" si="2"/>
        <v>6.9994370425971106E-2</v>
      </c>
      <c r="H14" s="68">
        <f t="shared" si="2"/>
        <v>6.0489510489510491E-2</v>
      </c>
      <c r="I14" s="32">
        <f t="shared" si="2"/>
        <v>9.567245657568238E-2</v>
      </c>
      <c r="J14" s="32">
        <f t="shared" si="2"/>
        <v>3.3478406427854036E-4</v>
      </c>
      <c r="K14" s="34">
        <f t="shared" si="2"/>
        <v>4.9128290276896032E-2</v>
      </c>
      <c r="L14" s="34">
        <f t="shared" si="2"/>
        <v>6.8061290945915967E-2</v>
      </c>
      <c r="M14" s="34">
        <f t="shared" si="2"/>
        <v>3.2178217821782179E-2</v>
      </c>
      <c r="N14" s="32">
        <f t="shared" si="1"/>
        <v>4.741449452403828E-2</v>
      </c>
      <c r="O14" s="32">
        <f t="shared" si="1"/>
        <v>0</v>
      </c>
      <c r="P14" s="236">
        <f t="shared" si="1"/>
        <v>6.7750677506775068E-4</v>
      </c>
      <c r="Q14" s="68">
        <f t="shared" si="1"/>
        <v>0</v>
      </c>
      <c r="R14" s="184">
        <f t="shared" si="1"/>
        <v>2.1505376344086021E-4</v>
      </c>
      <c r="S14" s="87"/>
      <c r="T14" s="108">
        <f>++GETPIVOTDATA(" Tot # Undes. Old",'OLD Counts Pivot Table'!$A$3,"Category",1,"Category2","Four-Year")</f>
        <v>4145</v>
      </c>
      <c r="U14" s="109">
        <f>+GETPIVOTDATA(" Tot # Undes. Old",'OLD Counts Pivot Table'!$A$3,"Category",2,"Category2","Four-Year")</f>
        <v>1083</v>
      </c>
      <c r="V14" s="109">
        <f>+GETPIVOTDATA(" Tot # Undes. Old",'OLD Counts Pivot Table'!$A$3,"Category",3,"Category2","Four-Year")</f>
        <v>3228</v>
      </c>
      <c r="W14" s="109">
        <f>+GETPIVOTDATA(" Tot # Undes. Old",'OLD Counts Pivot Table'!$A$3,"Category",4,"Category2","Four-Year")</f>
        <v>637</v>
      </c>
      <c r="X14" s="109">
        <f>+GETPIVOTDATA(" Tot # Undes. Old",'OLD Counts Pivot Table'!$A$3,"Category",5,"Category2","Four-Year")</f>
        <v>373</v>
      </c>
      <c r="Y14" s="109">
        <f>+GETPIVOTDATA(" Tot # Undes. Old",'OLD Counts Pivot Table'!$A$3,"Category",6,"Category2","Four-Year")</f>
        <v>173</v>
      </c>
      <c r="Z14" s="111">
        <f>+GETPIVOTDATA(" Tot # Undes. Old",'OLD Counts Pivot Table'!$A$3,"Category2","Four-Year")</f>
        <v>9639</v>
      </c>
      <c r="AA14" s="108">
        <f>+GETPIVOTDATA(" Tot # Undes. Old",'OLD Counts Pivot Table'!$A$3,"Category",7,"Category2","Group2")</f>
        <v>1</v>
      </c>
      <c r="AB14" s="109">
        <f>+GETPIVOTDATA(" Tot # Undes. Old",'OLD Counts Pivot Table'!$A$3,"Category",8,"Category2","Group2")</f>
        <v>1006</v>
      </c>
      <c r="AC14" s="109">
        <f>+GETPIVOTDATA(" Tot # Undes. Old",'OLD Counts Pivot Table'!$A$3,"Category",9,"Category2","Group2")</f>
        <v>951</v>
      </c>
      <c r="AD14" s="109">
        <f>+GETPIVOTDATA(" Tot # Undes. Old",'OLD Counts Pivot Table'!$A$3,"Category",10,"Category2","Group2")</f>
        <v>169</v>
      </c>
      <c r="AE14" s="109">
        <f>+GETPIVOTDATA(" Tot # Undes. Old",'OLD Counts Pivot Table'!$A$3,"Category","11","Category2","Group2")</f>
        <v>0</v>
      </c>
      <c r="AF14" s="111">
        <f>+GETPIVOTDATA(" Tot # Undes. Old",'OLD Counts Pivot Table'!$A$3,"Category2","Group2")</f>
        <v>2127</v>
      </c>
      <c r="AG14" s="108">
        <f>+GETPIVOTDATA(" Tot # Undes. Old",'OLD Counts Pivot Table'!$A$3,"Category",12,"Category2","Technical Institutes")</f>
        <v>0</v>
      </c>
      <c r="AH14" s="109">
        <f>+GETPIVOTDATA(" Tot # Undes. Old",'OLD Counts Pivot Table'!$A$3,"Category",13,"Category2","Technical Institutes")</f>
        <v>1</v>
      </c>
      <c r="AI14" s="110">
        <f>+GETPIVOTDATA(" Tot # Undes. Old",'OLD Counts Pivot Table'!$A$3,"Category",14,"Category2","Technical Institutes")</f>
        <v>0</v>
      </c>
      <c r="AJ14" s="108">
        <f>+GETPIVOTDATA(" Tot # Undes. Old",'OLD Counts Pivot Table'!$A$3,"Category2","Technical Institutes")</f>
        <v>1</v>
      </c>
    </row>
    <row r="15" spans="1:38">
      <c r="A15" s="30"/>
      <c r="B15" s="38" t="s">
        <v>314</v>
      </c>
      <c r="C15" s="32">
        <f t="shared" si="0"/>
        <v>0</v>
      </c>
      <c r="D15" s="236">
        <f t="shared" si="0"/>
        <v>0</v>
      </c>
      <c r="E15" s="34">
        <f t="shared" si="2"/>
        <v>0</v>
      </c>
      <c r="F15" s="236">
        <f t="shared" si="2"/>
        <v>0</v>
      </c>
      <c r="G15" s="236">
        <f t="shared" si="2"/>
        <v>0</v>
      </c>
      <c r="H15" s="68">
        <f t="shared" si="2"/>
        <v>0</v>
      </c>
      <c r="I15" s="32">
        <f t="shared" si="2"/>
        <v>0</v>
      </c>
      <c r="J15" s="32">
        <f t="shared" si="2"/>
        <v>0.54871108135252766</v>
      </c>
      <c r="K15" s="34">
        <f t="shared" si="2"/>
        <v>0.55086194266738286</v>
      </c>
      <c r="L15" s="34">
        <f t="shared" si="2"/>
        <v>0.58082546680312319</v>
      </c>
      <c r="M15" s="34">
        <f t="shared" si="2"/>
        <v>0.61747905559786753</v>
      </c>
      <c r="N15" s="32">
        <f t="shared" si="1"/>
        <v>0.54119176008756198</v>
      </c>
      <c r="O15" s="32">
        <f t="shared" si="1"/>
        <v>0.92016491754122942</v>
      </c>
      <c r="P15" s="34">
        <f t="shared" si="1"/>
        <v>0.97222222222222221</v>
      </c>
      <c r="Q15" s="68">
        <f t="shared" si="1"/>
        <v>1</v>
      </c>
      <c r="R15" s="32">
        <f t="shared" si="1"/>
        <v>0.94537634408602156</v>
      </c>
      <c r="S15" s="87"/>
      <c r="T15" s="108">
        <f>+GETPIVOTDATA(" Tot # Single Rnk Old",'OLD Counts Pivot Table'!$A$3,"Category",1,"Category2","Four-Year")</f>
        <v>0</v>
      </c>
      <c r="U15" s="109">
        <f>+GETPIVOTDATA(" Tot # Single Rnk Old",'OLD Counts Pivot Table'!$A$3,"Category",2,"Category2","Four-Year")</f>
        <v>0</v>
      </c>
      <c r="V15" s="109">
        <f>+GETPIVOTDATA(" Tot # Single Rnk Old",'OLD Counts Pivot Table'!$A$3,"Category",3,"Category2","Four-Year")</f>
        <v>0</v>
      </c>
      <c r="W15" s="109">
        <f>+GETPIVOTDATA(" Tot # Single Rnk Old",'OLD Counts Pivot Table'!$A$3,"Category",4,"Category2","Four-Year")</f>
        <v>0</v>
      </c>
      <c r="X15" s="109">
        <f>+GETPIVOTDATA(" Tot # Single Rnk Old",'OLD Counts Pivot Table'!$A$3,"Category",5,"Category2","Four-Year")</f>
        <v>0</v>
      </c>
      <c r="Y15" s="109">
        <f>+GETPIVOTDATA(" Tot # Single Rnk Old",'OLD Counts Pivot Table'!$A$3,"Category",6,"Category2","Four-Year")</f>
        <v>0</v>
      </c>
      <c r="Z15" s="111">
        <f>+GETPIVOTDATA(" Tot # Single Rnk Old",'OLD Counts Pivot Table'!$A$3,"Category2","Four-Year")</f>
        <v>0</v>
      </c>
      <c r="AA15" s="108">
        <f>+GETPIVOTDATA(" Tot # Single Rnk Old",'OLD Counts Pivot Table'!$A$3,"Category",7,"Category2","Group2")</f>
        <v>1639</v>
      </c>
      <c r="AB15" s="109">
        <f>+GETPIVOTDATA(" Tot # Single Rnk Old",'OLD Counts Pivot Table'!$A$3,"Category",8,"Category2","Group2")</f>
        <v>11280</v>
      </c>
      <c r="AC15" s="109">
        <f>+GETPIVOTDATA(" Tot # Single Rnk Old",'OLD Counts Pivot Table'!$A$3,"Category",9,"Category2","Group2")</f>
        <v>8115.7</v>
      </c>
      <c r="AD15" s="109">
        <f>+GETPIVOTDATA(" Tot # Single Rnk Old",'OLD Counts Pivot Table'!$A$3,"Category",10,"Category2","Group2")</f>
        <v>3243</v>
      </c>
      <c r="AE15" s="109">
        <f>+GETPIVOTDATA(" Tot # Single Rnk Old",'OLD Counts Pivot Table'!$A$3,"Category","11","Category2","Group2")</f>
        <v>0</v>
      </c>
      <c r="AF15" s="111">
        <f>+GETPIVOTDATA(" Tot # Single Rnk Old",'OLD Counts Pivot Table'!$A$3,"Category2","Group2")</f>
        <v>24277.7</v>
      </c>
      <c r="AG15" s="108">
        <f>+GETPIVOTDATA(" Tot # Single Rnk Old",'OLD Counts Pivot Table'!$A$3,"Category",12,"Category2","Technical Institutes")</f>
        <v>2455</v>
      </c>
      <c r="AH15" s="109">
        <f>+GETPIVOTDATA(" Tot # Single Rnk Old",'OLD Counts Pivot Table'!$A$3,"Category",13,"Category2","Technical Institutes")</f>
        <v>1435</v>
      </c>
      <c r="AI15" s="110">
        <f>+GETPIVOTDATA(" Tot # Single Rnk Old",'OLD Counts Pivot Table'!$A$3,"Category",14,"Category2","Technical Institutes")</f>
        <v>506</v>
      </c>
      <c r="AJ15" s="108">
        <f>+GETPIVOTDATA(" Tot # Single Rnk Old",'OLD Counts Pivot Table'!$A$3,"Category2","Technical Institutes")</f>
        <v>4396</v>
      </c>
    </row>
    <row r="16" spans="1:38" s="54" customFormat="1">
      <c r="A16" s="191" t="s">
        <v>457</v>
      </c>
      <c r="B16" s="192" t="s">
        <v>316</v>
      </c>
      <c r="C16" s="33">
        <f>IF(T$16&gt;0,(T16/T$16),0)</f>
        <v>1</v>
      </c>
      <c r="D16" s="31">
        <f t="shared" si="2"/>
        <v>1</v>
      </c>
      <c r="E16" s="31">
        <f t="shared" si="2"/>
        <v>1</v>
      </c>
      <c r="F16" s="31">
        <f t="shared" si="2"/>
        <v>1</v>
      </c>
      <c r="G16" s="31">
        <f t="shared" si="2"/>
        <v>1</v>
      </c>
      <c r="H16" s="69">
        <f t="shared" si="2"/>
        <v>1</v>
      </c>
      <c r="I16" s="33">
        <f t="shared" si="2"/>
        <v>1</v>
      </c>
      <c r="J16" s="33">
        <f t="shared" si="2"/>
        <v>1</v>
      </c>
      <c r="K16" s="31">
        <f t="shared" si="2"/>
        <v>1</v>
      </c>
      <c r="L16" s="31">
        <f t="shared" si="2"/>
        <v>1</v>
      </c>
      <c r="M16" s="31">
        <f t="shared" si="2"/>
        <v>1</v>
      </c>
      <c r="N16" s="33">
        <f t="shared" si="1"/>
        <v>1</v>
      </c>
      <c r="O16" s="33">
        <f t="shared" si="1"/>
        <v>1</v>
      </c>
      <c r="P16" s="31">
        <f t="shared" si="1"/>
        <v>1</v>
      </c>
      <c r="Q16" s="69">
        <f t="shared" si="1"/>
        <v>1</v>
      </c>
      <c r="R16" s="33">
        <f t="shared" si="1"/>
        <v>1</v>
      </c>
      <c r="S16" s="88"/>
      <c r="T16" s="112">
        <f>+GETPIVOTDATA(" All Ranks # Old",'OLD Counts Pivot Table'!$A$3,"Category",1,"Category2","Four-Year")</f>
        <v>45919</v>
      </c>
      <c r="U16" s="113">
        <f>+GETPIVOTDATA(" All Ranks # Old",'OLD Counts Pivot Table'!$A$3,"Category",2,"Category2","Four-Year")</f>
        <v>10322</v>
      </c>
      <c r="V16" s="113">
        <f>+GETPIVOTDATA(" All Ranks # Old",'OLD Counts Pivot Table'!$A$3,"Category",3,"Category2","Four-Year")</f>
        <v>27795</v>
      </c>
      <c r="W16" s="113">
        <f>+GETPIVOTDATA(" All Ranks # Old",'OLD Counts Pivot Table'!$A$3,"Category",4,"Category2","Four-Year")</f>
        <v>8525</v>
      </c>
      <c r="X16" s="113">
        <f>+GETPIVOTDATA(" All Ranks # Old",'OLD Counts Pivot Table'!$A$3,"Category",5,"Category2","Four-Year")</f>
        <v>5329</v>
      </c>
      <c r="Y16" s="113">
        <f>+GETPIVOTDATA(" All Ranks # Old",'OLD Counts Pivot Table'!$A$3,"Category",6,"Category2","Four-Year")</f>
        <v>2860</v>
      </c>
      <c r="Z16" s="115">
        <f>+GETPIVOTDATA(" All Ranks # Old",'OLD Counts Pivot Table'!$A$3,"Category2","Four-Year")</f>
        <v>100750</v>
      </c>
      <c r="AA16" s="112">
        <f>+GETPIVOTDATA(" All Ranks # Old",'OLD Counts Pivot Table'!$A$3,"Category",7,"Category2","Group2")</f>
        <v>2987</v>
      </c>
      <c r="AB16" s="113">
        <f>+GETPIVOTDATA(" All Ranks # Old",'OLD Counts Pivot Table'!$A$3,"Category",8,"Category2","Group2")</f>
        <v>20477</v>
      </c>
      <c r="AC16" s="113">
        <f>+GETPIVOTDATA(" All Ranks # Old",'OLD Counts Pivot Table'!$A$3,"Category",9,"Category2","Group2")</f>
        <v>13972.7</v>
      </c>
      <c r="AD16" s="113">
        <f>+GETPIVOTDATA(" All Ranks # Old",'OLD Counts Pivot Table'!$A$3,"Category",10,"Category2","Group2")</f>
        <v>5252</v>
      </c>
      <c r="AE16" s="113">
        <f>+GETPIVOTDATA(" All Ranks # Old",'OLD Counts Pivot Table'!$A$3,"Category","11","Category2","Group2")</f>
        <v>2171</v>
      </c>
      <c r="AF16" s="115">
        <f>+GETPIVOTDATA(" All Ranks # Old",'OLD Counts Pivot Table'!$A$3,"Category2","Group2")</f>
        <v>44859.7</v>
      </c>
      <c r="AG16" s="112">
        <f>+GETPIVOTDATA(" All Ranks # Old",'OLD Counts Pivot Table'!$A$3,"Category",12,"Category2","Technical Institutes")</f>
        <v>2668</v>
      </c>
      <c r="AH16" s="113">
        <f>+GETPIVOTDATA(" All Ranks # Old",'OLD Counts Pivot Table'!$A$3,"Category",13,"Category2","Technical Institutes")</f>
        <v>1476</v>
      </c>
      <c r="AI16" s="114">
        <f>+GETPIVOTDATA(" All Ranks # Old",'OLD Counts Pivot Table'!$A$3,"Category",14,"Category2","Technical Institutes")</f>
        <v>506</v>
      </c>
      <c r="AJ16" s="112">
        <f>+GETPIVOTDATA(" All Ranks # Old",'OLD Counts Pivot Table'!$A$3,"Category2","Technical Institutes")</f>
        <v>4650</v>
      </c>
      <c r="AK16" s="116"/>
      <c r="AL16" s="116"/>
    </row>
    <row r="17" spans="1:38">
      <c r="A17" s="38" t="s">
        <v>329</v>
      </c>
      <c r="B17" s="35" t="s">
        <v>332</v>
      </c>
      <c r="C17" s="36">
        <f t="shared" ref="C17:M23" si="3">IF(T$23&gt;0,(T17/T$23),0)</f>
        <v>0.31742472773862906</v>
      </c>
      <c r="D17" s="37">
        <f t="shared" si="3"/>
        <v>0.25082508250825081</v>
      </c>
      <c r="E17" s="37">
        <f t="shared" si="3"/>
        <v>0.21827744904667981</v>
      </c>
      <c r="F17" s="37">
        <f t="shared" si="3"/>
        <v>0.28054298642533937</v>
      </c>
      <c r="G17" s="37">
        <f t="shared" si="3"/>
        <v>0.19047619047619047</v>
      </c>
      <c r="H17" s="67">
        <f t="shared" si="3"/>
        <v>0.25609756097560976</v>
      </c>
      <c r="I17" s="36">
        <f t="shared" si="3"/>
        <v>0.27831061753323239</v>
      </c>
      <c r="J17" s="36">
        <f t="shared" si="3"/>
        <v>0</v>
      </c>
      <c r="K17" s="37">
        <f t="shared" si="3"/>
        <v>0</v>
      </c>
      <c r="L17" s="37">
        <f t="shared" si="3"/>
        <v>0</v>
      </c>
      <c r="M17" s="37">
        <f t="shared" si="3"/>
        <v>0</v>
      </c>
      <c r="N17" s="36">
        <f t="shared" ref="N17:R23" si="4">IF(AF$23&gt;0,(AF17/AF$23),0)</f>
        <v>0</v>
      </c>
      <c r="O17" s="152">
        <f t="shared" si="4"/>
        <v>0</v>
      </c>
      <c r="P17" s="37">
        <f t="shared" si="4"/>
        <v>0</v>
      </c>
      <c r="Q17" s="67">
        <f t="shared" si="4"/>
        <v>0</v>
      </c>
      <c r="R17" s="152">
        <f t="shared" si="4"/>
        <v>0</v>
      </c>
      <c r="S17" s="117"/>
      <c r="T17" s="104">
        <f>+GETPIVOTDATA(" Total # Prof Old",'OLD Counts Pivot Table'!$A$3,"State","AL","Category",1,"Category2","Four-Year")</f>
        <v>991</v>
      </c>
      <c r="U17" s="105">
        <f>+GETPIVOTDATA(" Total # Prof Old",'OLD Counts Pivot Table'!$A$3,"State","AL","Category",2,"Category2","Four-Year")</f>
        <v>76</v>
      </c>
      <c r="V17" s="105">
        <f>+GETPIVOTDATA(" Total # Prof Old",'OLD Counts Pivot Table'!$A$3,"State","AL","Category",3,"Category2","Four-Year")</f>
        <v>332</v>
      </c>
      <c r="W17" s="105">
        <f>+GETPIVOTDATA(" Total # Prof Old",'OLD Counts Pivot Table'!$A$3,"State","AL","Category",4,"Category2","Four-Year")</f>
        <v>186</v>
      </c>
      <c r="X17" s="105">
        <f>+GETPIVOTDATA(" Total # Prof Old",'OLD Counts Pivot Table'!$A$3,"State","AL","Category",5,"Category2","Four-Year")</f>
        <v>48</v>
      </c>
      <c r="Y17" s="105">
        <f>+GETPIVOTDATA(" Total # Prof Old",'OLD Counts Pivot Table'!$A$3,"State","AL","Category",6,"Category2","Four-Year")</f>
        <v>21</v>
      </c>
      <c r="Z17" s="107">
        <f>+GETPIVOTDATA(" Total # Prof Old",'OLD Counts Pivot Table'!$A$3,"State","AL","Category2","Four-Year")</f>
        <v>1654</v>
      </c>
      <c r="AA17" s="104">
        <f>+GETPIVOTDATA(" Total # Prof Old",'OLD Counts Pivot Table'!$A$3,"State","AL","Category",7,"Category2","Group2")</f>
        <v>0</v>
      </c>
      <c r="AB17" s="105">
        <f>+GETPIVOTDATA(" Total # Prof Old",'OLD Counts Pivot Table'!$A$3,"State","AL","Category",8,"Category2","Group2")</f>
        <v>0</v>
      </c>
      <c r="AC17" s="105">
        <f>+GETPIVOTDATA(" Total # Prof Old",'OLD Counts Pivot Table'!$A$3,"State","AL","Category",9,"Category2","Group2")</f>
        <v>0</v>
      </c>
      <c r="AD17" s="105">
        <f>+GETPIVOTDATA(" Total # Prof Old",'OLD Counts Pivot Table'!$A$3,"State","AL","Category",10,"Category2","Group2")</f>
        <v>0</v>
      </c>
      <c r="AE17" s="105">
        <f>+GETPIVOTDATA(" Total # Prof Old",'OLD Counts Pivot Table'!$A$3,"State","AL","Category","11","Category2","Group2")</f>
        <v>0</v>
      </c>
      <c r="AF17" s="107">
        <f>+GETPIVOTDATA(" Total # Prof Old",'OLD Counts Pivot Table'!$A$3,"State","AL","Category2","Group2")</f>
        <v>0</v>
      </c>
      <c r="AG17" s="104">
        <f>+GETPIVOTDATA(" Total # Prof Old",'OLD Counts Pivot Table'!$A$3,"State","AL","Category",12,"Category2","Technical Institutes")</f>
        <v>0</v>
      </c>
      <c r="AH17" s="105">
        <f>+GETPIVOTDATA(" Total # Prof Old",'OLD Counts Pivot Table'!$A$3,"State","AL","Category",13,"Category2","Technical Institutes")</f>
        <v>0</v>
      </c>
      <c r="AI17" s="106">
        <f>+GETPIVOTDATA(" Total # Prof Old",'OLD Counts Pivot Table'!$A$3,"State","AL","Category",14,"Category2","Technical Institutes")</f>
        <v>0</v>
      </c>
      <c r="AJ17" s="104">
        <f>+GETPIVOTDATA(" Total # Prof Old",'OLD Counts Pivot Table'!$A$3,"State","AR","Category2","Technical Institutes")</f>
        <v>0</v>
      </c>
    </row>
    <row r="18" spans="1:38">
      <c r="A18" s="30"/>
      <c r="B18" s="38" t="s">
        <v>333</v>
      </c>
      <c r="C18" s="32">
        <f t="shared" si="3"/>
        <v>0.28827674567584882</v>
      </c>
      <c r="D18" s="34">
        <f t="shared" si="3"/>
        <v>0.30693069306930693</v>
      </c>
      <c r="E18" s="34">
        <f t="shared" si="3"/>
        <v>0.23405654174884943</v>
      </c>
      <c r="F18" s="34">
        <f t="shared" si="3"/>
        <v>0.25339366515837103</v>
      </c>
      <c r="G18" s="34">
        <f t="shared" si="3"/>
        <v>0.25793650793650796</v>
      </c>
      <c r="H18" s="68">
        <f t="shared" si="3"/>
        <v>0.24390243902439024</v>
      </c>
      <c r="I18" s="32">
        <f t="shared" si="3"/>
        <v>0.2695608278647148</v>
      </c>
      <c r="J18" s="32">
        <f t="shared" si="3"/>
        <v>0</v>
      </c>
      <c r="K18" s="34">
        <f t="shared" si="3"/>
        <v>0</v>
      </c>
      <c r="L18" s="34">
        <f t="shared" si="3"/>
        <v>0</v>
      </c>
      <c r="M18" s="34">
        <f t="shared" ref="M18:M23" si="5">IF(AD$23&gt;0,(AD18/AD$23),0)</f>
        <v>0</v>
      </c>
      <c r="N18" s="32">
        <f t="shared" si="4"/>
        <v>0</v>
      </c>
      <c r="O18" s="32">
        <f t="shared" si="4"/>
        <v>0</v>
      </c>
      <c r="P18" s="34">
        <f t="shared" si="4"/>
        <v>0</v>
      </c>
      <c r="Q18" s="68">
        <f t="shared" si="4"/>
        <v>0</v>
      </c>
      <c r="R18" s="32">
        <f t="shared" si="4"/>
        <v>0</v>
      </c>
      <c r="S18" s="87"/>
      <c r="T18" s="108">
        <f>+GETPIVOTDATA(" Tot # Asc. Prof Old",'OLD Counts Pivot Table'!$A$3,"State","AL","Category",1,"Category2","Four-Year")</f>
        <v>900</v>
      </c>
      <c r="U18" s="109">
        <f>+GETPIVOTDATA(" Tot # Asc. Prof Old",'OLD Counts Pivot Table'!$A$3,"State","AL","Category",2,"Category2","Four-Year")</f>
        <v>93</v>
      </c>
      <c r="V18" s="109">
        <f>+GETPIVOTDATA(" Tot # Asc. Prof Old",'OLD Counts Pivot Table'!$A$3,"State","AL","Category",3,"Category2","Four-Year")</f>
        <v>356</v>
      </c>
      <c r="W18" s="109">
        <f>+GETPIVOTDATA(" Tot # Asc. Prof Old",'OLD Counts Pivot Table'!$A$3,"State","AL","Category",4,"Category2","Four-Year")</f>
        <v>168</v>
      </c>
      <c r="X18" s="109">
        <f>+GETPIVOTDATA(" Tot # Asc. Prof Old",'OLD Counts Pivot Table'!$A$3,"State","AL","Category",5,"Category2","Four-Year")</f>
        <v>65</v>
      </c>
      <c r="Y18" s="109">
        <f>+GETPIVOTDATA(" Tot # Asc. Prof Old",'OLD Counts Pivot Table'!$A$3,"State","AL","Category",6,"Category2","Four-Year")</f>
        <v>20</v>
      </c>
      <c r="Z18" s="111">
        <f>+GETPIVOTDATA(" Tot # Asc. Prof Old",'OLD Counts Pivot Table'!$A$3,"State","AL","Category2","Four-Year")</f>
        <v>1602</v>
      </c>
      <c r="AA18" s="108">
        <f>+GETPIVOTDATA(" Tot # Asc. Prof Old",'OLD Counts Pivot Table'!$A$3,"State","AL","Category",7,"Category2","Group2")</f>
        <v>0</v>
      </c>
      <c r="AB18" s="109">
        <f>+GETPIVOTDATA(" Tot # Asc. Prof Old",'OLD Counts Pivot Table'!$A$3,"State","AL","Category",8,"Category2","Group2")</f>
        <v>0</v>
      </c>
      <c r="AC18" s="109">
        <f>+GETPIVOTDATA(" Tot # Asc. Prof Old",'OLD Counts Pivot Table'!$A$3,"State","AL","Category",9,"Category2","Group2")</f>
        <v>0</v>
      </c>
      <c r="AD18" s="109">
        <f>+GETPIVOTDATA(" Tot # Asc. Prof Old",'OLD Counts Pivot Table'!$A$3,"State","AL","Category",10,"Category2","Group2")</f>
        <v>0</v>
      </c>
      <c r="AE18" s="109">
        <f>+GETPIVOTDATA(" Tot # Asc. Prof Old",'OLD Counts Pivot Table'!$A$3,"State","AL","Category","11","Category2","Group2")</f>
        <v>0</v>
      </c>
      <c r="AF18" s="111">
        <f>+GETPIVOTDATA(" Tot # Asc. Prof Old",'OLD Counts Pivot Table'!$A$3,"State","AL","Category2","Group2")</f>
        <v>0</v>
      </c>
      <c r="AG18" s="108">
        <f>+GETPIVOTDATA(" Tot # Asc. Prof Old",'OLD Counts Pivot Table'!$A$3,"State","AL","Category",12,"Category2","Technical Institutes")</f>
        <v>0</v>
      </c>
      <c r="AH18" s="109">
        <f>+GETPIVOTDATA(" Tot # Asc. Prof Old",'OLD Counts Pivot Table'!$A$3,"State","AL","Category",13,"Category2","Technical Institutes")</f>
        <v>0</v>
      </c>
      <c r="AI18" s="110">
        <f>+GETPIVOTDATA(" Tot # Asc. Prof Old",'OLD Counts Pivot Table'!$A$3,"State","AL","Category",14,"Category2","Technical Institutes")</f>
        <v>0</v>
      </c>
      <c r="AJ18" s="108">
        <f>+GETPIVOTDATA(" Tot # Asc. Prof Old",'OLD Counts Pivot Table'!$A$3,"State","AR","Category2","Technical Institutes")</f>
        <v>0</v>
      </c>
    </row>
    <row r="19" spans="1:38">
      <c r="A19" s="30"/>
      <c r="B19" s="38" t="s">
        <v>334</v>
      </c>
      <c r="C19" s="32">
        <f t="shared" si="3"/>
        <v>0.28379244074311338</v>
      </c>
      <c r="D19" s="34">
        <f t="shared" si="3"/>
        <v>0.28382838283828382</v>
      </c>
      <c r="E19" s="34">
        <f t="shared" si="3"/>
        <v>0.34188034188034189</v>
      </c>
      <c r="F19" s="34">
        <f t="shared" si="3"/>
        <v>0.31825037707390647</v>
      </c>
      <c r="G19" s="34">
        <f t="shared" si="3"/>
        <v>0.44047619047619047</v>
      </c>
      <c r="H19" s="68">
        <f t="shared" si="3"/>
        <v>0.46341463414634149</v>
      </c>
      <c r="I19" s="32">
        <f t="shared" si="3"/>
        <v>0.31162712434797241</v>
      </c>
      <c r="J19" s="32">
        <f t="shared" si="3"/>
        <v>0</v>
      </c>
      <c r="K19" s="34">
        <f t="shared" si="3"/>
        <v>0</v>
      </c>
      <c r="L19" s="34">
        <f t="shared" si="3"/>
        <v>0</v>
      </c>
      <c r="M19" s="34">
        <f t="shared" si="5"/>
        <v>0</v>
      </c>
      <c r="N19" s="32">
        <f t="shared" si="4"/>
        <v>0</v>
      </c>
      <c r="O19" s="32">
        <f t="shared" si="4"/>
        <v>0</v>
      </c>
      <c r="P19" s="34">
        <f t="shared" si="4"/>
        <v>0</v>
      </c>
      <c r="Q19" s="68">
        <f t="shared" si="4"/>
        <v>0</v>
      </c>
      <c r="R19" s="32">
        <f t="shared" si="4"/>
        <v>0</v>
      </c>
      <c r="S19" s="87"/>
      <c r="T19" s="108">
        <f>+GETPIVOTDATA(" Tot # Ast. Prof Old",'OLD Counts Pivot Table'!$A$3,"State","AL","Category",1,"Category2","Four-Year")</f>
        <v>886</v>
      </c>
      <c r="U19" s="109">
        <f>+GETPIVOTDATA(" Tot # Ast. Prof Old",'OLD Counts Pivot Table'!$A$3,"State","AL","Category",2,"Category2","Four-Year")</f>
        <v>86</v>
      </c>
      <c r="V19" s="109">
        <f>+GETPIVOTDATA(" Tot # Ast. Prof Old",'OLD Counts Pivot Table'!$A$3,"State","AL","Category",3,"Category2","Four-Year")</f>
        <v>520</v>
      </c>
      <c r="W19" s="109">
        <f>+GETPIVOTDATA(" Tot # Ast. Prof Old",'OLD Counts Pivot Table'!$A$3,"State","AL","Category",4,"Category2","Four-Year")</f>
        <v>211</v>
      </c>
      <c r="X19" s="109">
        <f>+GETPIVOTDATA(" Tot # Ast. Prof Old",'OLD Counts Pivot Table'!$A$3,"State","AL","Category",5,"Category2","Four-Year")</f>
        <v>111</v>
      </c>
      <c r="Y19" s="109">
        <f>+GETPIVOTDATA(" Tot # Ast. Prof Old",'OLD Counts Pivot Table'!$A$3,"State","AL","Category",6,"Category2","Four-Year")</f>
        <v>38</v>
      </c>
      <c r="Z19" s="111">
        <f>+GETPIVOTDATA(" Tot # Ast. Prof Old",'OLD Counts Pivot Table'!$A$3,"State","AL","Category2","Four-Year")</f>
        <v>1852</v>
      </c>
      <c r="AA19" s="108">
        <f>+GETPIVOTDATA(" Tot # Ast. Prof Old",'OLD Counts Pivot Table'!$A$3,"State","AL","Category",7,"Category2","Group2")</f>
        <v>0</v>
      </c>
      <c r="AB19" s="109">
        <f>+GETPIVOTDATA(" Tot # Ast. Prof Old",'OLD Counts Pivot Table'!$A$3,"State","AL","Category",8,"Category2","Group2")</f>
        <v>0</v>
      </c>
      <c r="AC19" s="109">
        <f>+GETPIVOTDATA(" Tot # Ast. Prof Old",'OLD Counts Pivot Table'!$A$3,"State","AL","Category",9,"Category2","Group2")</f>
        <v>0</v>
      </c>
      <c r="AD19" s="109">
        <f>+GETPIVOTDATA(" Tot # Ast. Prof Old",'OLD Counts Pivot Table'!$A$3,"State","AL","Category",10,"Category2","Group2")</f>
        <v>0</v>
      </c>
      <c r="AE19" s="109">
        <f>+GETPIVOTDATA(" Tot # Ast. Prof Old",'OLD Counts Pivot Table'!$A$3,"State","AL","Category","11","Category2","Group2")</f>
        <v>0</v>
      </c>
      <c r="AF19" s="111">
        <f>+GETPIVOTDATA(" Tot # Ast. Prof Old",'OLD Counts Pivot Table'!$A$3,"State","AL","Category2","Group2")</f>
        <v>0</v>
      </c>
      <c r="AG19" s="108">
        <f>+GETPIVOTDATA(" Tot # Ast. Prof Old",'OLD Counts Pivot Table'!$A$3,"State","AL","Category",12,"Category2","Technical Institutes")</f>
        <v>0</v>
      </c>
      <c r="AH19" s="109">
        <f>+GETPIVOTDATA(" Tot # Ast. Prof Old",'OLD Counts Pivot Table'!$A$3,"State","AL","Category",13,"Category2","Technical Institutes")</f>
        <v>0</v>
      </c>
      <c r="AI19" s="110">
        <f>+GETPIVOTDATA(" Tot # Ast. Prof Old",'OLD Counts Pivot Table'!$A$3,"State","AL","Category",14,"Category2","Technical Institutes")</f>
        <v>0</v>
      </c>
      <c r="AJ19" s="108">
        <f>+GETPIVOTDATA(" Tot # Ast. Prof Old",'OLD Counts Pivot Table'!$A$3,"State","AR","Category2","Technical Institutes")</f>
        <v>0</v>
      </c>
    </row>
    <row r="20" spans="1:38">
      <c r="A20" s="30"/>
      <c r="B20" s="38" t="s">
        <v>335</v>
      </c>
      <c r="C20" s="32">
        <f t="shared" si="3"/>
        <v>0.10281870595771941</v>
      </c>
      <c r="D20" s="34">
        <f t="shared" si="3"/>
        <v>3.6303630363036306E-2</v>
      </c>
      <c r="E20" s="34">
        <f t="shared" si="3"/>
        <v>0.17751479289940827</v>
      </c>
      <c r="F20" s="34">
        <f t="shared" si="3"/>
        <v>0.14630467571644043</v>
      </c>
      <c r="G20" s="34">
        <f t="shared" si="3"/>
        <v>8.3333333333333329E-2</v>
      </c>
      <c r="H20" s="68">
        <f t="shared" si="3"/>
        <v>3.6585365853658534E-2</v>
      </c>
      <c r="I20" s="32">
        <f t="shared" si="3"/>
        <v>0.12165572942958101</v>
      </c>
      <c r="J20" s="32">
        <f t="shared" si="3"/>
        <v>0</v>
      </c>
      <c r="K20" s="34">
        <f t="shared" si="3"/>
        <v>0</v>
      </c>
      <c r="L20" s="34">
        <f t="shared" si="3"/>
        <v>0</v>
      </c>
      <c r="M20" s="34">
        <f t="shared" si="5"/>
        <v>0</v>
      </c>
      <c r="N20" s="32">
        <f t="shared" si="4"/>
        <v>0</v>
      </c>
      <c r="O20" s="32">
        <f t="shared" si="4"/>
        <v>0</v>
      </c>
      <c r="P20" s="34">
        <f t="shared" si="4"/>
        <v>0</v>
      </c>
      <c r="Q20" s="68">
        <f t="shared" si="4"/>
        <v>0</v>
      </c>
      <c r="R20" s="32">
        <f t="shared" si="4"/>
        <v>0</v>
      </c>
      <c r="S20" s="87"/>
      <c r="T20" s="108">
        <f>+GETPIVOTDATA(" Tot # Instr. Old",'OLD Counts Pivot Table'!$A$3,"State","AL","Category",1,"Category2","Four-Year")</f>
        <v>321</v>
      </c>
      <c r="U20" s="109">
        <f>+GETPIVOTDATA(" Tot # Instr. Old",'OLD Counts Pivot Table'!$A$3,"State","AL","Category",2,"Category2","Four-Year")</f>
        <v>11</v>
      </c>
      <c r="V20" s="109">
        <f>+GETPIVOTDATA(" Tot # Instr. Old",'OLD Counts Pivot Table'!$A$3,"State","AL","Category",3,"Category2","Four-Year")</f>
        <v>270</v>
      </c>
      <c r="W20" s="109">
        <f>+GETPIVOTDATA(" Tot # Instr. Old",'OLD Counts Pivot Table'!$A$3,"State","AL","Category",4,"Category2","Four-Year")</f>
        <v>97</v>
      </c>
      <c r="X20" s="109">
        <f>+GETPIVOTDATA(" Tot # Instr. Old",'OLD Counts Pivot Table'!$A$3,"State","AL","Category",5,"Category2","Four-Year")</f>
        <v>21</v>
      </c>
      <c r="Y20" s="109">
        <f>+GETPIVOTDATA(" Tot # Instr. Old",'OLD Counts Pivot Table'!$A$3,"State","AL","Category",6,"Category2","Four-Year")</f>
        <v>3</v>
      </c>
      <c r="Z20" s="111">
        <f>+GETPIVOTDATA(" Tot # Instr. Old",'OLD Counts Pivot Table'!$A$3,"State","AL","Category2","Four-Year")</f>
        <v>723</v>
      </c>
      <c r="AA20" s="108">
        <f>+GETPIVOTDATA(" Tot # Instr. Old",'OLD Counts Pivot Table'!$A$3,"State","AL","Category",7,"Category2","Group2")</f>
        <v>0</v>
      </c>
      <c r="AB20" s="109">
        <f>+GETPIVOTDATA(" Tot # Instr. Old",'OLD Counts Pivot Table'!$A$3,"State","AL","Category",8,"Category2","Group2")</f>
        <v>0</v>
      </c>
      <c r="AC20" s="109">
        <f>+GETPIVOTDATA(" Tot # Instr. Old",'OLD Counts Pivot Table'!$A$3,"State","AL","Category",9,"Category2","Group2")</f>
        <v>0</v>
      </c>
      <c r="AD20" s="109">
        <f>+GETPIVOTDATA(" Tot # Instr. Old",'OLD Counts Pivot Table'!$A$3,"State","AL","Category",10,"Category2","Group2")</f>
        <v>0</v>
      </c>
      <c r="AE20" s="109">
        <f>+GETPIVOTDATA(" Tot # Instr. Old",'OLD Counts Pivot Table'!$A$3,"State","AL","Category","11","Category2","Group2")</f>
        <v>0</v>
      </c>
      <c r="AF20" s="111">
        <f>+GETPIVOTDATA(" Tot # Instr. Old",'OLD Counts Pivot Table'!$A$3,"State","AL","Category2","Group2")</f>
        <v>0</v>
      </c>
      <c r="AG20" s="108">
        <f>+GETPIVOTDATA(" Tot # Instr. Old",'OLD Counts Pivot Table'!$A$3,"State","AL","Category",12,"Category2","Technical Institutes")</f>
        <v>0</v>
      </c>
      <c r="AH20" s="109">
        <f>+GETPIVOTDATA(" Tot # Instr. Old",'OLD Counts Pivot Table'!$A$3,"State","AL","Category",13,"Category2","Technical Institutes")</f>
        <v>0</v>
      </c>
      <c r="AI20" s="110">
        <f>+GETPIVOTDATA(" Tot # Instr. Old",'OLD Counts Pivot Table'!$A$3,"State","AL","Category",14,"Category2","Technical Institutes")</f>
        <v>0</v>
      </c>
      <c r="AJ20" s="108">
        <f>+GETPIVOTDATA(" Tot # Instr. Old",'OLD Counts Pivot Table'!$A$3,"State","AR","Category2","Technical Institutes")</f>
        <v>0</v>
      </c>
    </row>
    <row r="21" spans="1:38">
      <c r="A21" s="30"/>
      <c r="B21" s="38" t="s">
        <v>315</v>
      </c>
      <c r="C21" s="32">
        <f t="shared" si="3"/>
        <v>7.6873798846893021E-3</v>
      </c>
      <c r="D21" s="34">
        <f t="shared" si="3"/>
        <v>0.12211221122112212</v>
      </c>
      <c r="E21" s="34">
        <f t="shared" si="3"/>
        <v>2.827087442472058E-2</v>
      </c>
      <c r="F21" s="236">
        <f t="shared" si="3"/>
        <v>1.5082956259426848E-3</v>
      </c>
      <c r="G21" s="34">
        <f t="shared" si="3"/>
        <v>2.7777777777777776E-2</v>
      </c>
      <c r="H21" s="68">
        <f t="shared" si="3"/>
        <v>0</v>
      </c>
      <c r="I21" s="32">
        <f t="shared" si="3"/>
        <v>1.884570082449941E-2</v>
      </c>
      <c r="J21" s="32">
        <f t="shared" si="3"/>
        <v>0</v>
      </c>
      <c r="K21" s="34">
        <f t="shared" si="3"/>
        <v>0</v>
      </c>
      <c r="L21" s="34">
        <f t="shared" si="3"/>
        <v>0</v>
      </c>
      <c r="M21" s="34">
        <f t="shared" si="5"/>
        <v>0</v>
      </c>
      <c r="N21" s="32">
        <f t="shared" si="4"/>
        <v>0</v>
      </c>
      <c r="O21" s="32">
        <f t="shared" si="4"/>
        <v>0</v>
      </c>
      <c r="P21" s="34">
        <f t="shared" si="4"/>
        <v>0</v>
      </c>
      <c r="Q21" s="68">
        <f t="shared" si="4"/>
        <v>0</v>
      </c>
      <c r="R21" s="32">
        <f t="shared" si="4"/>
        <v>0</v>
      </c>
      <c r="S21" s="87"/>
      <c r="T21" s="108">
        <f>++GETPIVOTDATA(" Tot # Undes. Old",'OLD Counts Pivot Table'!$A$3,"State","AL","Category",1,"Category2","Four-Year")</f>
        <v>24</v>
      </c>
      <c r="U21" s="109">
        <f>+GETPIVOTDATA(" Tot # Undes. Old",'OLD Counts Pivot Table'!$A$3,"State","AL","Category",2,"Category2","Four-Year")</f>
        <v>37</v>
      </c>
      <c r="V21" s="109">
        <f>+GETPIVOTDATA(" Tot # Undes. Old",'OLD Counts Pivot Table'!$A$3,"State","AL","Category",3,"Category2","Four-Year")</f>
        <v>43</v>
      </c>
      <c r="W21" s="109">
        <f>+GETPIVOTDATA(" Tot # Undes. Old",'OLD Counts Pivot Table'!$A$3,"State","AL","Category",4,"Category2","Four-Year")</f>
        <v>1</v>
      </c>
      <c r="X21" s="109">
        <f>+GETPIVOTDATA(" Tot # Undes. Old",'OLD Counts Pivot Table'!$A$3,"State","AL","Category",5,"Category2","Four-Year")</f>
        <v>7</v>
      </c>
      <c r="Y21" s="109">
        <f>+GETPIVOTDATA(" Tot # Undes. Old",'OLD Counts Pivot Table'!$A$3,"State","AL","Category",6,"Category2","Four-Year")</f>
        <v>0</v>
      </c>
      <c r="Z21" s="111">
        <f>+GETPIVOTDATA(" Tot # Undes. Old",'OLD Counts Pivot Table'!$A$3,"State","AL","Category2","Four-Year")</f>
        <v>112</v>
      </c>
      <c r="AA21" s="108">
        <f>+GETPIVOTDATA(" Tot # Undes. Old",'OLD Counts Pivot Table'!$A$3,"State","AL","Category",7,"Category2","Group2")</f>
        <v>0</v>
      </c>
      <c r="AB21" s="109">
        <f>+GETPIVOTDATA(" Tot # Undes. Old",'OLD Counts Pivot Table'!$A$3,"State","AL","Category",8,"Category2","Group2")</f>
        <v>0</v>
      </c>
      <c r="AC21" s="109">
        <f>+GETPIVOTDATA(" Tot # Undes. Old",'OLD Counts Pivot Table'!$A$3,"State","AL","Category",9,"Category2","Group2")</f>
        <v>0</v>
      </c>
      <c r="AD21" s="109">
        <f>+GETPIVOTDATA(" Tot # Undes. Old",'OLD Counts Pivot Table'!$A$3,"State","AL","Category",10,"Category2","Group2")</f>
        <v>0</v>
      </c>
      <c r="AE21" s="109">
        <f>+GETPIVOTDATA(" Tot # Undes. Old",'OLD Counts Pivot Table'!$A$3,"State","AL","Category","11","Category2","Group2")</f>
        <v>0</v>
      </c>
      <c r="AF21" s="111">
        <f>+GETPIVOTDATA(" Tot # Undes. Old",'OLD Counts Pivot Table'!$A$3,"State","AL","Category2","Group2")</f>
        <v>0</v>
      </c>
      <c r="AG21" s="108">
        <f>+GETPIVOTDATA(" Tot # Undes. Old",'OLD Counts Pivot Table'!$A$3,"State","AL","Category",12,"Category2","Technical Institutes")</f>
        <v>0</v>
      </c>
      <c r="AH21" s="109">
        <f>+GETPIVOTDATA(" Tot # Undes. Old",'OLD Counts Pivot Table'!$A$3,"State","AL","Category",13,"Category2","Technical Institutes")</f>
        <v>0</v>
      </c>
      <c r="AI21" s="110">
        <f>+GETPIVOTDATA(" Tot # Undes. Old",'OLD Counts Pivot Table'!$A$3,"State","AL","Category",14,"Category2","Technical Institutes")</f>
        <v>0</v>
      </c>
      <c r="AJ21" s="108">
        <f>+GETPIVOTDATA(" Tot # Undes. Old",'OLD Counts Pivot Table'!$A$3,"State","AR","Category2","Technical Institutes")</f>
        <v>0</v>
      </c>
    </row>
    <row r="22" spans="1:38">
      <c r="A22" s="30"/>
      <c r="B22" s="38" t="s">
        <v>314</v>
      </c>
      <c r="C22" s="32">
        <f t="shared" si="3"/>
        <v>0</v>
      </c>
      <c r="D22" s="34">
        <f t="shared" si="3"/>
        <v>0</v>
      </c>
      <c r="E22" s="185">
        <f t="shared" si="3"/>
        <v>0</v>
      </c>
      <c r="F22" s="34">
        <f t="shared" si="3"/>
        <v>0</v>
      </c>
      <c r="G22" s="236">
        <f t="shared" si="3"/>
        <v>0</v>
      </c>
      <c r="H22" s="68">
        <f t="shared" si="3"/>
        <v>0</v>
      </c>
      <c r="I22" s="184">
        <f t="shared" si="3"/>
        <v>0</v>
      </c>
      <c r="J22" s="32">
        <f t="shared" si="3"/>
        <v>0</v>
      </c>
      <c r="K22" s="34">
        <f t="shared" si="3"/>
        <v>1</v>
      </c>
      <c r="L22" s="34">
        <f t="shared" si="3"/>
        <v>1</v>
      </c>
      <c r="M22" s="34">
        <f t="shared" si="5"/>
        <v>1</v>
      </c>
      <c r="N22" s="32">
        <f t="shared" si="4"/>
        <v>1</v>
      </c>
      <c r="O22" s="32">
        <f t="shared" si="4"/>
        <v>1</v>
      </c>
      <c r="P22" s="34">
        <f t="shared" si="4"/>
        <v>1</v>
      </c>
      <c r="Q22" s="68">
        <f t="shared" si="4"/>
        <v>0</v>
      </c>
      <c r="R22" s="32">
        <f t="shared" si="4"/>
        <v>0</v>
      </c>
      <c r="S22" s="87"/>
      <c r="T22" s="108">
        <f>+GETPIVOTDATA(" Tot # Single Rnk Old",'OLD Counts Pivot Table'!$A$3,"State","AL","Category",1,"Category2","Four-Year")</f>
        <v>0</v>
      </c>
      <c r="U22" s="109">
        <f>+GETPIVOTDATA(" Tot # Single Rnk Old",'OLD Counts Pivot Table'!$A$3,"State","AL","Category",2,"Category2","Four-Year")</f>
        <v>0</v>
      </c>
      <c r="V22" s="109">
        <f>+GETPIVOTDATA(" Tot # Single Rnk Old",'OLD Counts Pivot Table'!$A$3,"State","AL","Category",3,"Category2","Four-Year")</f>
        <v>0</v>
      </c>
      <c r="W22" s="109">
        <f>+GETPIVOTDATA(" Tot # Single Rnk Old",'OLD Counts Pivot Table'!$A$3,"State","AL","Category",4,"Category2","Four-Year")</f>
        <v>0</v>
      </c>
      <c r="X22" s="109">
        <f>+GETPIVOTDATA(" Tot # Single Rnk Old",'OLD Counts Pivot Table'!$A$3,"State","AL","Category",5,"Category2","Four-Year")</f>
        <v>0</v>
      </c>
      <c r="Y22" s="109">
        <f>+GETPIVOTDATA(" Tot # Single Rnk Old",'OLD Counts Pivot Table'!$A$3,"State","AL","Category",6,"Category2","Four-Year")</f>
        <v>0</v>
      </c>
      <c r="Z22" s="111">
        <f>+GETPIVOTDATA(" Tot # Single Rnk Old",'OLD Counts Pivot Table'!$A$3,"State","AL","Category2","Four-Year")</f>
        <v>0</v>
      </c>
      <c r="AA22" s="108">
        <f>+GETPIVOTDATA(" Tot # Single Rnk Old",'OLD Counts Pivot Table'!$A$3,"State","AL","Category",7,"Category2","Group2")</f>
        <v>0</v>
      </c>
      <c r="AB22" s="109">
        <f>+GETPIVOTDATA(" Tot # Single Rnk Old",'OLD Counts Pivot Table'!$A$3,"State","AL","Category",8,"Category2","Group2")</f>
        <v>295</v>
      </c>
      <c r="AC22" s="109">
        <f>+GETPIVOTDATA(" Tot # Single Rnk Old",'OLD Counts Pivot Table'!$A$3,"State","AL","Category",9,"Category2","Group2")</f>
        <v>1087</v>
      </c>
      <c r="AD22" s="109">
        <f>+GETPIVOTDATA(" Tot # Single Rnk Old",'OLD Counts Pivot Table'!$A$3,"State","AL","Category",10,"Category2","Group2")</f>
        <v>388</v>
      </c>
      <c r="AE22" s="109">
        <f>+GETPIVOTDATA(" Tot # Single Rnk Old",'OLD Counts Pivot Table'!$A$3,"State","AL","Category","11","Category2","Group2")</f>
        <v>0</v>
      </c>
      <c r="AF22" s="111">
        <f>+GETPIVOTDATA(" Tot # Single Rnk Old",'OLD Counts Pivot Table'!$A$3,"State","AL","Category2","Group2")</f>
        <v>1770</v>
      </c>
      <c r="AG22" s="108">
        <f>+GETPIVOTDATA(" Tot # Single Rnk Old",'OLD Counts Pivot Table'!$A$3,"State","AL","Category",12,"Category2","Technical Institutes")</f>
        <v>74</v>
      </c>
      <c r="AH22" s="109">
        <f>+GETPIVOTDATA(" Tot # Single Rnk Old",'OLD Counts Pivot Table'!$A$3,"State","AL","Category",13,"Category2","Technical Institutes")</f>
        <v>89</v>
      </c>
      <c r="AI22" s="110">
        <f>+GETPIVOTDATA(" Tot # Single Rnk Old",'OLD Counts Pivot Table'!$A$3,"State","AL","Category",14,"Category2","Technical Institutes")</f>
        <v>0</v>
      </c>
      <c r="AJ22" s="108">
        <f>+GETPIVOTDATA(" Tot # Single Rnk Old",'OLD Counts Pivot Table'!$A$3,"State","AR","Category2","Technical Institutes")</f>
        <v>0</v>
      </c>
    </row>
    <row r="23" spans="1:38" s="54" customFormat="1">
      <c r="A23" s="191"/>
      <c r="B23" s="192" t="s">
        <v>316</v>
      </c>
      <c r="C23" s="33">
        <f t="shared" si="3"/>
        <v>1</v>
      </c>
      <c r="D23" s="31">
        <f t="shared" si="3"/>
        <v>1</v>
      </c>
      <c r="E23" s="31">
        <f t="shared" si="3"/>
        <v>1</v>
      </c>
      <c r="F23" s="31">
        <f t="shared" si="3"/>
        <v>1</v>
      </c>
      <c r="G23" s="31">
        <f t="shared" si="3"/>
        <v>1</v>
      </c>
      <c r="H23" s="69">
        <f t="shared" si="3"/>
        <v>1</v>
      </c>
      <c r="I23" s="33">
        <f t="shared" si="3"/>
        <v>1</v>
      </c>
      <c r="J23" s="33">
        <f t="shared" si="3"/>
        <v>0</v>
      </c>
      <c r="K23" s="31">
        <f t="shared" si="3"/>
        <v>1</v>
      </c>
      <c r="L23" s="31">
        <f t="shared" si="3"/>
        <v>1</v>
      </c>
      <c r="M23" s="31">
        <f t="shared" si="5"/>
        <v>1</v>
      </c>
      <c r="N23" s="33">
        <f t="shared" si="4"/>
        <v>1</v>
      </c>
      <c r="O23" s="33">
        <f t="shared" si="4"/>
        <v>1</v>
      </c>
      <c r="P23" s="31">
        <f t="shared" si="4"/>
        <v>1</v>
      </c>
      <c r="Q23" s="69">
        <f t="shared" si="4"/>
        <v>0</v>
      </c>
      <c r="R23" s="33">
        <f t="shared" si="4"/>
        <v>0</v>
      </c>
      <c r="S23" s="88"/>
      <c r="T23" s="112">
        <f>+GETPIVOTDATA(" All Ranks # Old",'OLD Counts Pivot Table'!$A$3,"State","AL","Category",1,"Category2","Four-Year")</f>
        <v>3122</v>
      </c>
      <c r="U23" s="113">
        <f>+GETPIVOTDATA(" All Ranks # Old",'OLD Counts Pivot Table'!$A$3,"State","AL","Category",2,"Category2","Four-Year")</f>
        <v>303</v>
      </c>
      <c r="V23" s="113">
        <f>+GETPIVOTDATA(" All Ranks # Old",'OLD Counts Pivot Table'!$A$3,"State","AL","Category",3,"Category2","Four-Year")</f>
        <v>1521</v>
      </c>
      <c r="W23" s="113">
        <f>+GETPIVOTDATA(" All Ranks # Old",'OLD Counts Pivot Table'!$A$3,"State","AL","Category",4,"Category2","Four-Year")</f>
        <v>663</v>
      </c>
      <c r="X23" s="113">
        <f>+GETPIVOTDATA(" All Ranks # Old",'OLD Counts Pivot Table'!$A$3,"State","AL","Category",5,"Category2","Four-Year")</f>
        <v>252</v>
      </c>
      <c r="Y23" s="113">
        <f>+GETPIVOTDATA(" All Ranks # Old",'OLD Counts Pivot Table'!$A$3,"State","AL","Category",6,"Category2","Four-Year")</f>
        <v>82</v>
      </c>
      <c r="Z23" s="115">
        <f>+GETPIVOTDATA(" All Ranks # Old",'OLD Counts Pivot Table'!$A$3,"State","AL","Category2","Four-Year")</f>
        <v>5943</v>
      </c>
      <c r="AA23" s="112">
        <f>+GETPIVOTDATA(" All Ranks # Old",'OLD Counts Pivot Table'!$A$3,"State","AL","Category",7,"Category2","Group2")</f>
        <v>0</v>
      </c>
      <c r="AB23" s="113">
        <f>+GETPIVOTDATA(" All Ranks # Old",'OLD Counts Pivot Table'!$A$3,"State","AL","Category",8,"Category2","Group2")</f>
        <v>295</v>
      </c>
      <c r="AC23" s="113">
        <f>+GETPIVOTDATA(" All Ranks # Old",'OLD Counts Pivot Table'!$A$3,"State","AL","Category",9,"Category2","Group2")</f>
        <v>1087</v>
      </c>
      <c r="AD23" s="113">
        <f>+GETPIVOTDATA(" All Ranks # Old",'OLD Counts Pivot Table'!$A$3,"State","AL","Category",10,"Category2","Group2")</f>
        <v>388</v>
      </c>
      <c r="AE23" s="113">
        <f>+GETPIVOTDATA(" All Ranks # Old",'OLD Counts Pivot Table'!$A$3,"State","AL","Category","11","Category2","Group2")</f>
        <v>0</v>
      </c>
      <c r="AF23" s="115">
        <f>+GETPIVOTDATA(" All Ranks # Old",'OLD Counts Pivot Table'!$A$3,"State","AL","Category2","Group2")</f>
        <v>1770</v>
      </c>
      <c r="AG23" s="112">
        <f>+GETPIVOTDATA(" All Ranks # Old",'OLD Counts Pivot Table'!$A$3,"State","AL","Category",12,"Category2","Technical Institutes")</f>
        <v>74</v>
      </c>
      <c r="AH23" s="113">
        <f>+GETPIVOTDATA(" All Ranks # Old",'OLD Counts Pivot Table'!$A$3,"State","AL","Category",13,"Category2","Technical Institutes")</f>
        <v>89</v>
      </c>
      <c r="AI23" s="114">
        <f>+GETPIVOTDATA(" All Ranks # Old",'OLD Counts Pivot Table'!$A$3,"State","AL","Category",14,"Category2","Technical Institutes")</f>
        <v>0</v>
      </c>
      <c r="AJ23" s="112">
        <f>+GETPIVOTDATA(" All Ranks # Old",'OLD Counts Pivot Table'!$A$3,"State","AR","Category2","Technical Institutes")</f>
        <v>0</v>
      </c>
      <c r="AK23" s="116"/>
      <c r="AL23" s="116"/>
    </row>
    <row r="24" spans="1:38">
      <c r="A24" s="38" t="s">
        <v>338</v>
      </c>
      <c r="B24" s="35" t="s">
        <v>332</v>
      </c>
      <c r="C24" s="36">
        <f t="shared" ref="C24:M30" si="6">IF(T$30&gt;0,(T24/T$30),0)</f>
        <v>0.3843612334801762</v>
      </c>
      <c r="D24" s="37">
        <f t="shared" si="6"/>
        <v>0</v>
      </c>
      <c r="E24" s="37">
        <f t="shared" si="6"/>
        <v>0.21419270833333334</v>
      </c>
      <c r="F24" s="37">
        <f t="shared" si="6"/>
        <v>0.23504273504273504</v>
      </c>
      <c r="G24" s="37">
        <f t="shared" si="6"/>
        <v>0.14516129032258066</v>
      </c>
      <c r="H24" s="67">
        <f t="shared" si="6"/>
        <v>0.10632911392405063</v>
      </c>
      <c r="I24" s="36">
        <f t="shared" si="6"/>
        <v>0.24191318772463369</v>
      </c>
      <c r="J24" s="36">
        <f t="shared" si="6"/>
        <v>0</v>
      </c>
      <c r="K24" s="37">
        <f t="shared" si="6"/>
        <v>0</v>
      </c>
      <c r="L24" s="37">
        <f t="shared" si="6"/>
        <v>1.4450867052023121E-2</v>
      </c>
      <c r="M24" s="37">
        <f t="shared" si="6"/>
        <v>0</v>
      </c>
      <c r="N24" s="152">
        <f t="shared" ref="N24:R30" si="7">IF(AF$30&gt;0,(AF24/AF$30),0)</f>
        <v>3.6284470246734399E-3</v>
      </c>
      <c r="O24" s="152">
        <f t="shared" si="7"/>
        <v>0</v>
      </c>
      <c r="P24" s="37">
        <f t="shared" si="7"/>
        <v>0</v>
      </c>
      <c r="Q24" s="67">
        <f t="shared" si="7"/>
        <v>0</v>
      </c>
      <c r="R24" s="152">
        <f t="shared" si="7"/>
        <v>0</v>
      </c>
      <c r="S24" s="117"/>
      <c r="T24" s="104">
        <f>+GETPIVOTDATA(" Total # Prof Old",'OLD Counts Pivot Table'!$A$3,"State","AR","Category",1,"Category2","Four-Year")</f>
        <v>349</v>
      </c>
      <c r="U24" s="105">
        <f>+GETPIVOTDATA(" Total # Prof Old",'OLD Counts Pivot Table'!$A$3,"State","AR","Category",2,"Category2","Four-Year")</f>
        <v>0</v>
      </c>
      <c r="V24" s="105">
        <f>+GETPIVOTDATA(" Total # Prof Old",'OLD Counts Pivot Table'!$A$3,"State","AR","Category",3,"Category2","Four-Year")</f>
        <v>329</v>
      </c>
      <c r="W24" s="105">
        <f>+GETPIVOTDATA(" Total # Prof Old",'OLD Counts Pivot Table'!$A$3,"State","AR","Category",4,"Category2","Four-Year")</f>
        <v>110</v>
      </c>
      <c r="X24" s="105">
        <f>+GETPIVOTDATA(" Total # Prof Old",'OLD Counts Pivot Table'!$A$3,"State","AR","Category",5,"Category2","Four-Year")</f>
        <v>45</v>
      </c>
      <c r="Y24" s="105">
        <f>+GETPIVOTDATA(" Total # Prof Old",'OLD Counts Pivot Table'!$A$3,"State","AR","Category",6,"Category2","Four-Year")</f>
        <v>42</v>
      </c>
      <c r="Z24" s="107">
        <f>+GETPIVOTDATA(" Total # Prof Old",'OLD Counts Pivot Table'!$A$3,"State","AR","Category2","Four-Year")</f>
        <v>875</v>
      </c>
      <c r="AA24" s="104">
        <f>+GETPIVOTDATA(" Total # Prof Old",'OLD Counts Pivot Table'!$A$3,"State","AR","Category",7,"Category2","Group2")</f>
        <v>0</v>
      </c>
      <c r="AB24" s="105">
        <f>+GETPIVOTDATA(" Total # Prof Old",'OLD Counts Pivot Table'!$A$3,"State","AR","Category",8,"Category2","Group2")</f>
        <v>0</v>
      </c>
      <c r="AC24" s="105">
        <f>+GETPIVOTDATA(" Total # Prof Old",'OLD Counts Pivot Table'!$A$3,"State","AR","Category",9,"Category2","Group2")</f>
        <v>5</v>
      </c>
      <c r="AD24" s="105">
        <f>+GETPIVOTDATA(" Total # Prof Old",'OLD Counts Pivot Table'!$A$3,"State","AR","Category",10,"Category2","Group2")</f>
        <v>0</v>
      </c>
      <c r="AE24" s="105">
        <f>+GETPIVOTDATA(" Total # Prof Old",'OLD Counts Pivot Table'!$A$3,"State","AR","Category","11","Category2","Group2")</f>
        <v>0</v>
      </c>
      <c r="AF24" s="107">
        <f>+GETPIVOTDATA(" Total # Prof Old",'OLD Counts Pivot Table'!$A$3,"State","AR","Category2","Group2")</f>
        <v>5</v>
      </c>
      <c r="AG24" s="104">
        <f>+GETPIVOTDATA(" Total # Prof Old",'OLD Counts Pivot Table'!$A$3,"State","AR","Category",12,"Category2","Technical Institutes")</f>
        <v>0</v>
      </c>
      <c r="AH24" s="105">
        <f>+GETPIVOTDATA(" Total # Prof Old",'OLD Counts Pivot Table'!$A$3,"State","AR","Category",13,"Category2","Technical Institutes")</f>
        <v>0</v>
      </c>
      <c r="AI24" s="106">
        <f>+GETPIVOTDATA(" Total # Prof Old",'OLD Counts Pivot Table'!$A$3,"State","AR","Category",14,"Category2","Technical Institutes")</f>
        <v>0</v>
      </c>
      <c r="AJ24" s="104">
        <f>+GETPIVOTDATA(" Total # Prof Old",'OLD Counts Pivot Table'!$A$3,"State","AR","Category2","Technical Institutes")</f>
        <v>0</v>
      </c>
    </row>
    <row r="25" spans="1:38">
      <c r="A25" s="30"/>
      <c r="B25" s="38" t="s">
        <v>333</v>
      </c>
      <c r="C25" s="32">
        <f t="shared" si="6"/>
        <v>0.24449339207048459</v>
      </c>
      <c r="D25" s="34">
        <f t="shared" si="6"/>
        <v>0</v>
      </c>
      <c r="E25" s="34">
        <f t="shared" si="6"/>
        <v>0.232421875</v>
      </c>
      <c r="F25" s="34">
        <f t="shared" si="6"/>
        <v>0.23717948717948717</v>
      </c>
      <c r="G25" s="34">
        <f t="shared" si="6"/>
        <v>0.20322580645161289</v>
      </c>
      <c r="H25" s="68">
        <f t="shared" si="6"/>
        <v>0.18481012658227849</v>
      </c>
      <c r="I25" s="32">
        <f t="shared" si="6"/>
        <v>0.2283660492120542</v>
      </c>
      <c r="J25" s="32">
        <f t="shared" si="6"/>
        <v>0</v>
      </c>
      <c r="K25" s="34">
        <f t="shared" si="6"/>
        <v>0</v>
      </c>
      <c r="L25" s="34">
        <f t="shared" si="6"/>
        <v>2.8901734104046242E-2</v>
      </c>
      <c r="M25" s="34">
        <f t="shared" ref="M25:M30" si="8">IF(AD$30&gt;0,(AD25/AD$30),0)</f>
        <v>0</v>
      </c>
      <c r="N25" s="32">
        <f t="shared" si="7"/>
        <v>7.2568940493468797E-3</v>
      </c>
      <c r="O25" s="32">
        <f t="shared" si="7"/>
        <v>0</v>
      </c>
      <c r="P25" s="34">
        <f t="shared" si="7"/>
        <v>0</v>
      </c>
      <c r="Q25" s="68">
        <f t="shared" si="7"/>
        <v>0</v>
      </c>
      <c r="R25" s="32">
        <f t="shared" si="7"/>
        <v>0</v>
      </c>
      <c r="S25" s="87"/>
      <c r="T25" s="108">
        <f>+GETPIVOTDATA(" Tot # Asc. Prof Old",'OLD Counts Pivot Table'!$A$3,"State","AR","Category",1,"Category2","Four-Year")</f>
        <v>222</v>
      </c>
      <c r="U25" s="109">
        <f>+GETPIVOTDATA(" Tot # Asc. Prof Old",'OLD Counts Pivot Table'!$A$3,"State","AR","Category",2,"Category2","Four-Year")</f>
        <v>0</v>
      </c>
      <c r="V25" s="109">
        <f>+GETPIVOTDATA(" Tot # Asc. Prof Old",'OLD Counts Pivot Table'!$A$3,"State","AR","Category",3,"Category2","Four-Year")</f>
        <v>357</v>
      </c>
      <c r="W25" s="109">
        <f>+GETPIVOTDATA(" Tot # Asc. Prof Old",'OLD Counts Pivot Table'!$A$3,"State","AR","Category",4,"Category2","Four-Year")</f>
        <v>111</v>
      </c>
      <c r="X25" s="109">
        <f>+GETPIVOTDATA(" Tot # Asc. Prof Old",'OLD Counts Pivot Table'!$A$3,"State","AR","Category",5,"Category2","Four-Year")</f>
        <v>63</v>
      </c>
      <c r="Y25" s="109">
        <f>+GETPIVOTDATA(" Tot # Asc. Prof Old",'OLD Counts Pivot Table'!$A$3,"State","AR","Category",6,"Category2","Four-Year")</f>
        <v>73</v>
      </c>
      <c r="Z25" s="111">
        <f>+GETPIVOTDATA(" Tot # Asc. Prof Old",'OLD Counts Pivot Table'!$A$3,"State","AR","Category2","Four-Year")</f>
        <v>826</v>
      </c>
      <c r="AA25" s="108">
        <f>+GETPIVOTDATA(" Tot # Asc. Prof Old",'OLD Counts Pivot Table'!$A$3,"State","AR","Category",7,"Category2","Group2")</f>
        <v>0</v>
      </c>
      <c r="AB25" s="109">
        <f>+GETPIVOTDATA(" Tot # Asc. Prof Old",'OLD Counts Pivot Table'!$A$3,"State","AR","Category",8,"Category2","Group2")</f>
        <v>0</v>
      </c>
      <c r="AC25" s="109">
        <f>+GETPIVOTDATA(" Tot # Asc. Prof Old",'OLD Counts Pivot Table'!$A$3,"State","AR","Category",9,"Category2","Group2")</f>
        <v>10</v>
      </c>
      <c r="AD25" s="109">
        <f>+GETPIVOTDATA(" Tot # Asc. Prof Old",'OLD Counts Pivot Table'!$A$3,"State","AR","Category",10,"Category2","Group2")</f>
        <v>0</v>
      </c>
      <c r="AE25" s="109">
        <f>+GETPIVOTDATA(" Tot # Asc. Prof Old",'OLD Counts Pivot Table'!$A$3,"State","AR","Category","11","Category2","Group2")</f>
        <v>0</v>
      </c>
      <c r="AF25" s="111">
        <f>+GETPIVOTDATA(" Tot # Asc. Prof Old",'OLD Counts Pivot Table'!$A$3,"State","AR","Category2","Group2")</f>
        <v>10</v>
      </c>
      <c r="AG25" s="108">
        <f>+GETPIVOTDATA(" Tot # Asc. Prof Old",'OLD Counts Pivot Table'!$A$3,"State","AR","Category",12,"Category2","Technical Institutes")</f>
        <v>0</v>
      </c>
      <c r="AH25" s="109">
        <f>+GETPIVOTDATA(" Tot # Asc. Prof Old",'OLD Counts Pivot Table'!$A$3,"State","AR","Category",13,"Category2","Technical Institutes")</f>
        <v>0</v>
      </c>
      <c r="AI25" s="110">
        <f>+GETPIVOTDATA(" Tot # Asc. Prof Old",'OLD Counts Pivot Table'!$A$3,"State","AR","Category",14,"Category2","Technical Institutes")</f>
        <v>0</v>
      </c>
      <c r="AJ25" s="108">
        <f>+GETPIVOTDATA(" Tot # Asc. Prof Old",'OLD Counts Pivot Table'!$A$3,"State","AR","Category2","Technical Institutes")</f>
        <v>0</v>
      </c>
    </row>
    <row r="26" spans="1:38">
      <c r="A26" s="30"/>
      <c r="B26" s="38" t="s">
        <v>334</v>
      </c>
      <c r="C26" s="32">
        <f t="shared" si="6"/>
        <v>0.17180616740088106</v>
      </c>
      <c r="D26" s="34">
        <f t="shared" si="6"/>
        <v>0</v>
      </c>
      <c r="E26" s="34">
        <f t="shared" si="6"/>
        <v>0.29557291666666669</v>
      </c>
      <c r="F26" s="34">
        <f t="shared" si="6"/>
        <v>0.3034188034188034</v>
      </c>
      <c r="G26" s="34">
        <f t="shared" si="6"/>
        <v>0.33870967741935482</v>
      </c>
      <c r="H26" s="68">
        <f t="shared" si="6"/>
        <v>0.39493670886075949</v>
      </c>
      <c r="I26" s="32">
        <f t="shared" si="6"/>
        <v>0.28006635333149016</v>
      </c>
      <c r="J26" s="32">
        <f t="shared" si="6"/>
        <v>0</v>
      </c>
      <c r="K26" s="34">
        <f t="shared" si="6"/>
        <v>0</v>
      </c>
      <c r="L26" s="34">
        <f t="shared" si="6"/>
        <v>0.1069364161849711</v>
      </c>
      <c r="M26" s="34">
        <f t="shared" si="8"/>
        <v>3.6613272311212815E-2</v>
      </c>
      <c r="N26" s="32">
        <f t="shared" si="7"/>
        <v>5.0072568940493466E-2</v>
      </c>
      <c r="O26" s="32">
        <f t="shared" si="7"/>
        <v>0</v>
      </c>
      <c r="P26" s="34">
        <f t="shared" si="7"/>
        <v>0</v>
      </c>
      <c r="Q26" s="68">
        <f t="shared" si="7"/>
        <v>0</v>
      </c>
      <c r="R26" s="32">
        <f t="shared" si="7"/>
        <v>0</v>
      </c>
      <c r="S26" s="87"/>
      <c r="T26" s="108">
        <f>+GETPIVOTDATA(" Tot # Ast. Prof Old",'OLD Counts Pivot Table'!$A$3,"State","AR","Category",1,"Category2","Four-Year")</f>
        <v>156</v>
      </c>
      <c r="U26" s="109">
        <f>+GETPIVOTDATA(" Tot # Ast. Prof Old",'OLD Counts Pivot Table'!$A$3,"State","AR","Category",2,"Category2","Four-Year")</f>
        <v>0</v>
      </c>
      <c r="V26" s="109">
        <f>+GETPIVOTDATA(" Tot # Ast. Prof Old",'OLD Counts Pivot Table'!$A$3,"State","AR","Category",3,"Category2","Four-Year")</f>
        <v>454</v>
      </c>
      <c r="W26" s="109">
        <f>+GETPIVOTDATA(" Tot # Ast. Prof Old",'OLD Counts Pivot Table'!$A$3,"State","AR","Category",4,"Category2","Four-Year")</f>
        <v>142</v>
      </c>
      <c r="X26" s="109">
        <f>+GETPIVOTDATA(" Tot # Ast. Prof Old",'OLD Counts Pivot Table'!$A$3,"State","AR","Category",5,"Category2","Four-Year")</f>
        <v>105</v>
      </c>
      <c r="Y26" s="109">
        <f>+GETPIVOTDATA(" Tot # Ast. Prof Old",'OLD Counts Pivot Table'!$A$3,"State","AR","Category",6,"Category2","Four-Year")</f>
        <v>156</v>
      </c>
      <c r="Z26" s="111">
        <f>+GETPIVOTDATA(" Tot # Ast. Prof Old",'OLD Counts Pivot Table'!$A$3,"State","AR","Category2","Four-Year")</f>
        <v>1013</v>
      </c>
      <c r="AA26" s="108">
        <f>+GETPIVOTDATA(" Tot # Ast. Prof Old",'OLD Counts Pivot Table'!$A$3,"State","AR","Category",7,"Category2","Group2")</f>
        <v>0</v>
      </c>
      <c r="AB26" s="109">
        <f>+GETPIVOTDATA(" Tot # Ast. Prof Old",'OLD Counts Pivot Table'!$A$3,"State","AR","Category",8,"Category2","Group2")</f>
        <v>0</v>
      </c>
      <c r="AC26" s="109">
        <f>+GETPIVOTDATA(" Tot # Ast. Prof Old",'OLD Counts Pivot Table'!$A$3,"State","AR","Category",9,"Category2","Group2")</f>
        <v>37</v>
      </c>
      <c r="AD26" s="109">
        <f>+GETPIVOTDATA(" Tot # Ast. Prof Old",'OLD Counts Pivot Table'!$A$3,"State","AR","Category",10,"Category2","Group2")</f>
        <v>32</v>
      </c>
      <c r="AE26" s="109">
        <f>+GETPIVOTDATA(" Tot # Ast. Prof Old",'OLD Counts Pivot Table'!$A$3,"State","AR","Category","11","Category2","Group2")</f>
        <v>0</v>
      </c>
      <c r="AF26" s="111">
        <f>+GETPIVOTDATA(" Tot # Ast. Prof Old",'OLD Counts Pivot Table'!$A$3,"State","AR","Category2","Group2")</f>
        <v>69</v>
      </c>
      <c r="AG26" s="108">
        <f>+GETPIVOTDATA(" Tot # Ast. Prof Old",'OLD Counts Pivot Table'!$A$3,"State","AR","Category",12,"Category2","Technical Institutes")</f>
        <v>0</v>
      </c>
      <c r="AH26" s="109">
        <f>+GETPIVOTDATA(" Tot # Ast. Prof Old",'OLD Counts Pivot Table'!$A$3,"State","AR","Category",13,"Category2","Technical Institutes")</f>
        <v>0</v>
      </c>
      <c r="AI26" s="110">
        <f>+GETPIVOTDATA(" Tot # Ast. Prof Old",'OLD Counts Pivot Table'!$A$3,"State","AR","Category",14,"Category2","Technical Institutes")</f>
        <v>0</v>
      </c>
      <c r="AJ26" s="108">
        <f>+GETPIVOTDATA(" Tot # Ast. Prof Old",'OLD Counts Pivot Table'!$A$3,"State","AR","Category2","Technical Institutes")</f>
        <v>0</v>
      </c>
    </row>
    <row r="27" spans="1:38">
      <c r="A27" s="30"/>
      <c r="B27" s="38" t="s">
        <v>335</v>
      </c>
      <c r="C27" s="32">
        <f t="shared" si="6"/>
        <v>0.12995594713656389</v>
      </c>
      <c r="D27" s="34">
        <f t="shared" si="6"/>
        <v>0</v>
      </c>
      <c r="E27" s="34">
        <f t="shared" si="6"/>
        <v>0.19986979166666666</v>
      </c>
      <c r="F27" s="34">
        <f t="shared" si="6"/>
        <v>0.14529914529914531</v>
      </c>
      <c r="G27" s="34">
        <f t="shared" si="6"/>
        <v>0.21935483870967742</v>
      </c>
      <c r="H27" s="68">
        <f t="shared" si="6"/>
        <v>0.27848101265822783</v>
      </c>
      <c r="I27" s="32">
        <f t="shared" si="6"/>
        <v>0.18551285595797623</v>
      </c>
      <c r="J27" s="32">
        <f t="shared" si="6"/>
        <v>0</v>
      </c>
      <c r="K27" s="34">
        <f t="shared" si="6"/>
        <v>0</v>
      </c>
      <c r="L27" s="34">
        <f t="shared" si="6"/>
        <v>0.20231213872832371</v>
      </c>
      <c r="M27" s="34">
        <f t="shared" si="8"/>
        <v>8.6956521739130432E-2</v>
      </c>
      <c r="N27" s="32">
        <f t="shared" si="7"/>
        <v>0.10595065312046444</v>
      </c>
      <c r="O27" s="32">
        <f t="shared" si="7"/>
        <v>0</v>
      </c>
      <c r="P27" s="34">
        <f t="shared" si="7"/>
        <v>0</v>
      </c>
      <c r="Q27" s="68">
        <f t="shared" si="7"/>
        <v>0</v>
      </c>
      <c r="R27" s="32">
        <f t="shared" si="7"/>
        <v>0</v>
      </c>
      <c r="S27" s="87"/>
      <c r="T27" s="108">
        <f>+GETPIVOTDATA(" Tot # Instr. Old",'OLD Counts Pivot Table'!$A$3,"State","AR","Category",1,"Category2","Four-Year")</f>
        <v>118</v>
      </c>
      <c r="U27" s="109">
        <f>+GETPIVOTDATA(" Tot # Instr. Old",'OLD Counts Pivot Table'!$A$3,"State","AR","Category",2,"Category2","Four-Year")</f>
        <v>0</v>
      </c>
      <c r="V27" s="109">
        <f>+GETPIVOTDATA(" Tot # Instr. Old",'OLD Counts Pivot Table'!$A$3,"State","AR","Category",3,"Category2","Four-Year")</f>
        <v>307</v>
      </c>
      <c r="W27" s="109">
        <f>+GETPIVOTDATA(" Tot # Instr. Old",'OLD Counts Pivot Table'!$A$3,"State","AR","Category",4,"Category2","Four-Year")</f>
        <v>68</v>
      </c>
      <c r="X27" s="109">
        <f>+GETPIVOTDATA(" Tot # Instr. Old",'OLD Counts Pivot Table'!$A$3,"State","AR","Category",5,"Category2","Four-Year")</f>
        <v>68</v>
      </c>
      <c r="Y27" s="109">
        <f>+GETPIVOTDATA(" Tot # Instr. Old",'OLD Counts Pivot Table'!$A$3,"State","AR","Category",6,"Category2","Four-Year")</f>
        <v>110</v>
      </c>
      <c r="Z27" s="111">
        <f>+GETPIVOTDATA(" Tot # Instr. Old",'OLD Counts Pivot Table'!$A$3,"State","AR","Category2","Four-Year")</f>
        <v>671</v>
      </c>
      <c r="AA27" s="108">
        <f>+GETPIVOTDATA(" Tot # Instr. Old",'OLD Counts Pivot Table'!$A$3,"State","AR","Category",7,"Category2","Group2")</f>
        <v>0</v>
      </c>
      <c r="AB27" s="109">
        <f>+GETPIVOTDATA(" Tot # Instr. Old",'OLD Counts Pivot Table'!$A$3,"State","AR","Category",8,"Category2","Group2")</f>
        <v>0</v>
      </c>
      <c r="AC27" s="109">
        <f>+GETPIVOTDATA(" Tot # Instr. Old",'OLD Counts Pivot Table'!$A$3,"State","AR","Category",9,"Category2","Group2")</f>
        <v>70</v>
      </c>
      <c r="AD27" s="109">
        <f>+GETPIVOTDATA(" Tot # Instr. Old",'OLD Counts Pivot Table'!$A$3,"State","AR","Category",10,"Category2","Group2")</f>
        <v>76</v>
      </c>
      <c r="AE27" s="109">
        <f>+GETPIVOTDATA(" Tot # Instr. Old",'OLD Counts Pivot Table'!$A$3,"State","AR","Category","11","Category2","Group2")</f>
        <v>0</v>
      </c>
      <c r="AF27" s="111">
        <f>+GETPIVOTDATA(" Tot # Instr. Old",'OLD Counts Pivot Table'!$A$3,"State","AR","Category2","Group2")</f>
        <v>146</v>
      </c>
      <c r="AG27" s="108">
        <f>+GETPIVOTDATA(" Tot # Instr. Old",'OLD Counts Pivot Table'!$A$3,"State","AR","Category",12,"Category2","Technical Institutes")</f>
        <v>0</v>
      </c>
      <c r="AH27" s="109">
        <f>+GETPIVOTDATA(" Tot # Instr. Old",'OLD Counts Pivot Table'!$A$3,"State","AR","Category",13,"Category2","Technical Institutes")</f>
        <v>0</v>
      </c>
      <c r="AI27" s="110">
        <f>+GETPIVOTDATA(" Tot # Instr. Old",'OLD Counts Pivot Table'!$A$3,"State","AR","Category",14,"Category2","Technical Institutes")</f>
        <v>0</v>
      </c>
      <c r="AJ27" s="108">
        <f>+GETPIVOTDATA(" Tot # Instr. Old",'OLD Counts Pivot Table'!$A$3,"State","AR","Category2","Technical Institutes")</f>
        <v>0</v>
      </c>
    </row>
    <row r="28" spans="1:38">
      <c r="A28" s="30"/>
      <c r="B28" s="38" t="s">
        <v>315</v>
      </c>
      <c r="C28" s="32">
        <f t="shared" si="6"/>
        <v>6.9383259911894271E-2</v>
      </c>
      <c r="D28" s="34">
        <f t="shared" si="6"/>
        <v>0</v>
      </c>
      <c r="E28" s="34">
        <f t="shared" si="6"/>
        <v>5.7942708333333336E-2</v>
      </c>
      <c r="F28" s="34">
        <f t="shared" si="6"/>
        <v>7.9059829059829057E-2</v>
      </c>
      <c r="G28" s="34">
        <f t="shared" si="6"/>
        <v>9.3548387096774197E-2</v>
      </c>
      <c r="H28" s="68">
        <f t="shared" si="6"/>
        <v>3.5443037974683546E-2</v>
      </c>
      <c r="I28" s="32">
        <f t="shared" si="6"/>
        <v>6.4141553773845728E-2</v>
      </c>
      <c r="J28" s="32">
        <f t="shared" si="6"/>
        <v>0</v>
      </c>
      <c r="K28" s="34">
        <f t="shared" si="6"/>
        <v>0</v>
      </c>
      <c r="L28" s="34">
        <f t="shared" si="6"/>
        <v>0</v>
      </c>
      <c r="M28" s="34">
        <f t="shared" si="8"/>
        <v>0</v>
      </c>
      <c r="N28" s="32">
        <f t="shared" si="7"/>
        <v>0</v>
      </c>
      <c r="O28" s="32">
        <f t="shared" si="7"/>
        <v>0</v>
      </c>
      <c r="P28" s="34">
        <f t="shared" si="7"/>
        <v>0</v>
      </c>
      <c r="Q28" s="68">
        <f t="shared" si="7"/>
        <v>0</v>
      </c>
      <c r="R28" s="32">
        <f t="shared" si="7"/>
        <v>0</v>
      </c>
      <c r="S28" s="87"/>
      <c r="T28" s="108">
        <f>++GETPIVOTDATA(" Tot # Undes. Old",'OLD Counts Pivot Table'!$A$3,"State","AR","Category",1,"Category2","Four-Year")</f>
        <v>63</v>
      </c>
      <c r="U28" s="109">
        <f>+GETPIVOTDATA(" Tot # Undes. Old",'OLD Counts Pivot Table'!$A$3,"State","AR","Category",2,"Category2","Four-Year")</f>
        <v>0</v>
      </c>
      <c r="V28" s="109">
        <f>+GETPIVOTDATA(" Tot # Undes. Old",'OLD Counts Pivot Table'!$A$3,"State","AR","Category",3,"Category2","Four-Year")</f>
        <v>89</v>
      </c>
      <c r="W28" s="109">
        <f>+GETPIVOTDATA(" Tot # Undes. Old",'OLD Counts Pivot Table'!$A$3,"State","AR","Category",4,"Category2","Four-Year")</f>
        <v>37</v>
      </c>
      <c r="X28" s="109">
        <f>+GETPIVOTDATA(" Tot # Undes. Old",'OLD Counts Pivot Table'!$A$3,"State","AR","Category",5,"Category2","Four-Year")</f>
        <v>29</v>
      </c>
      <c r="Y28" s="109">
        <f>+GETPIVOTDATA(" Tot # Undes. Old",'OLD Counts Pivot Table'!$A$3,"State","AR","Category",6,"Category2","Four-Year")</f>
        <v>14</v>
      </c>
      <c r="Z28" s="111">
        <f>+GETPIVOTDATA(" Tot # Undes. Old",'OLD Counts Pivot Table'!$A$3,"State","AR","Category2","Four-Year")</f>
        <v>232</v>
      </c>
      <c r="AA28" s="108">
        <f>+GETPIVOTDATA(" Tot # Undes. Old",'OLD Counts Pivot Table'!$A$3,"State","AR","Category",7,"Category2","Group2")</f>
        <v>0</v>
      </c>
      <c r="AB28" s="109">
        <f>+GETPIVOTDATA(" Tot # Undes. Old",'OLD Counts Pivot Table'!$A$3,"State","AR","Category",8,"Category2","Group2")</f>
        <v>0</v>
      </c>
      <c r="AC28" s="109">
        <f>+GETPIVOTDATA(" Tot # Undes. Old",'OLD Counts Pivot Table'!$A$3,"State","AR","Category",9,"Category2","Group2")</f>
        <v>0</v>
      </c>
      <c r="AD28" s="109">
        <f>+GETPIVOTDATA(" Tot # Undes. Old",'OLD Counts Pivot Table'!$A$3,"State","AR","Category",10,"Category2","Group2")</f>
        <v>0</v>
      </c>
      <c r="AE28" s="109">
        <f>+GETPIVOTDATA(" Tot # Undes. Old",'OLD Counts Pivot Table'!$A$3,"State","AR","Category","11","Category2","Group2")</f>
        <v>0</v>
      </c>
      <c r="AF28" s="111">
        <f>+GETPIVOTDATA(" Tot # Undes. Old",'OLD Counts Pivot Table'!$A$3,"State","AR","Category2","Group2")</f>
        <v>0</v>
      </c>
      <c r="AG28" s="108">
        <f>+GETPIVOTDATA(" Tot # Undes. Old",'OLD Counts Pivot Table'!$A$3,"State","AR","Category",12,"Category2","Technical Institutes")</f>
        <v>0</v>
      </c>
      <c r="AH28" s="109">
        <f>+GETPIVOTDATA(" Tot # Undes. Old",'OLD Counts Pivot Table'!$A$3,"State","AR","Category",13,"Category2","Technical Institutes")</f>
        <v>0</v>
      </c>
      <c r="AI28" s="110">
        <f>+GETPIVOTDATA(" Tot # Undes. Old",'OLD Counts Pivot Table'!$A$3,"State","AR","Category",14,"Category2","Technical Institutes")</f>
        <v>0</v>
      </c>
      <c r="AJ28" s="108">
        <f>+GETPIVOTDATA(" Tot # Undes. Old",'OLD Counts Pivot Table'!$A$3,"State","AR","Category2","Technical Institutes")</f>
        <v>0</v>
      </c>
    </row>
    <row r="29" spans="1:38">
      <c r="A29" s="30"/>
      <c r="B29" s="38" t="s">
        <v>314</v>
      </c>
      <c r="C29" s="32">
        <f t="shared" si="6"/>
        <v>0</v>
      </c>
      <c r="D29" s="34">
        <f t="shared" si="6"/>
        <v>0</v>
      </c>
      <c r="E29" s="185">
        <f t="shared" si="6"/>
        <v>0</v>
      </c>
      <c r="F29" s="34">
        <f t="shared" si="6"/>
        <v>0</v>
      </c>
      <c r="G29" s="185">
        <f t="shared" si="6"/>
        <v>0</v>
      </c>
      <c r="H29" s="68">
        <f t="shared" si="6"/>
        <v>0</v>
      </c>
      <c r="I29" s="184">
        <f t="shared" si="6"/>
        <v>0</v>
      </c>
      <c r="J29" s="32">
        <f t="shared" si="6"/>
        <v>0</v>
      </c>
      <c r="K29" s="34">
        <f t="shared" si="6"/>
        <v>1</v>
      </c>
      <c r="L29" s="34">
        <f t="shared" si="6"/>
        <v>0.64739884393063585</v>
      </c>
      <c r="M29" s="34">
        <f t="shared" si="8"/>
        <v>0.8764302059496567</v>
      </c>
      <c r="N29" s="32">
        <f t="shared" si="7"/>
        <v>0.83309143686502174</v>
      </c>
      <c r="O29" s="32">
        <f t="shared" si="7"/>
        <v>0</v>
      </c>
      <c r="P29" s="34">
        <f t="shared" si="7"/>
        <v>0</v>
      </c>
      <c r="Q29" s="68">
        <f t="shared" si="7"/>
        <v>0</v>
      </c>
      <c r="R29" s="32">
        <f t="shared" si="7"/>
        <v>0</v>
      </c>
      <c r="S29" s="87"/>
      <c r="T29" s="108">
        <f>+GETPIVOTDATA(" Tot # Single Rnk Old",'OLD Counts Pivot Table'!$A$3,"State","AR","Category",1,"Category2","Four-Year")</f>
        <v>0</v>
      </c>
      <c r="U29" s="109">
        <f>+GETPIVOTDATA(" Tot # Single Rnk Old",'OLD Counts Pivot Table'!$A$3,"State","AR","Category",2,"Category2","Four-Year")</f>
        <v>0</v>
      </c>
      <c r="V29" s="109">
        <f>+GETPIVOTDATA(" Tot # Single Rnk Old",'OLD Counts Pivot Table'!$A$3,"State","AR","Category",3,"Category2","Four-Year")</f>
        <v>0</v>
      </c>
      <c r="W29" s="109">
        <f>+GETPIVOTDATA(" Tot # Single Rnk Old",'OLD Counts Pivot Table'!$A$3,"State","AR","Category",4,"Category2","Four-Year")</f>
        <v>0</v>
      </c>
      <c r="X29" s="109">
        <f>+GETPIVOTDATA(" Tot # Single Rnk Old",'OLD Counts Pivot Table'!$A$3,"State","AR","Category",5,"Category2","Four-Year")</f>
        <v>0</v>
      </c>
      <c r="Y29" s="109">
        <f>+GETPIVOTDATA(" Tot # Single Rnk Old",'OLD Counts Pivot Table'!$A$3,"State","AR","Category",6,"Category2","Four-Year")</f>
        <v>0</v>
      </c>
      <c r="Z29" s="111">
        <f>+GETPIVOTDATA(" Tot # Single Rnk Old",'OLD Counts Pivot Table'!$A$3,"State","AR","Category2","Four-Year")</f>
        <v>0</v>
      </c>
      <c r="AA29" s="108">
        <f>+GETPIVOTDATA(" Tot # Single Rnk Old",'OLD Counts Pivot Table'!$A$3,"State","AR","Category",7,"Category2","Group2")</f>
        <v>0</v>
      </c>
      <c r="AB29" s="109">
        <f>+GETPIVOTDATA(" Tot # Single Rnk Old",'OLD Counts Pivot Table'!$A$3,"State","AR","Category",8,"Category2","Group2")</f>
        <v>158</v>
      </c>
      <c r="AC29" s="109">
        <f>+GETPIVOTDATA(" Tot # Single Rnk Old",'OLD Counts Pivot Table'!$A$3,"State","AR","Category",9,"Category2","Group2")</f>
        <v>224</v>
      </c>
      <c r="AD29" s="109">
        <f>+GETPIVOTDATA(" Tot # Single Rnk Old",'OLD Counts Pivot Table'!$A$3,"State","AR","Category",10,"Category2","Group2")</f>
        <v>766</v>
      </c>
      <c r="AE29" s="109">
        <f>+GETPIVOTDATA(" Tot # Single Rnk Old",'OLD Counts Pivot Table'!$A$3,"State","AR","Category","11","Category2","Group2")</f>
        <v>0</v>
      </c>
      <c r="AF29" s="111">
        <f>+GETPIVOTDATA(" Tot # Single Rnk Old",'OLD Counts Pivot Table'!$A$3,"State","AR","Category2","Group2")</f>
        <v>1148</v>
      </c>
      <c r="AG29" s="108">
        <f>+GETPIVOTDATA(" Tot # Single Rnk Old",'OLD Counts Pivot Table'!$A$3,"State","AR","Category",12,"Category2","Technical Institutes")</f>
        <v>0</v>
      </c>
      <c r="AH29" s="109">
        <f>+GETPIVOTDATA(" Tot # Single Rnk Old",'OLD Counts Pivot Table'!$A$3,"State","AR","Category",13,"Category2","Technical Institutes")</f>
        <v>0</v>
      </c>
      <c r="AI29" s="110">
        <f>+GETPIVOTDATA(" Tot # Single Rnk Old",'OLD Counts Pivot Table'!$A$3,"State","AR","Category",14,"Category2","Technical Institutes")</f>
        <v>0</v>
      </c>
      <c r="AJ29" s="108">
        <f>+GETPIVOTDATA(" Tot # Single Rnk Old",'OLD Counts Pivot Table'!$A$3,"State","AR","Category2","Technical Institutes")</f>
        <v>0</v>
      </c>
    </row>
    <row r="30" spans="1:38" s="54" customFormat="1">
      <c r="A30" s="191"/>
      <c r="B30" s="192" t="s">
        <v>316</v>
      </c>
      <c r="C30" s="33">
        <f t="shared" si="6"/>
        <v>1</v>
      </c>
      <c r="D30" s="31">
        <f t="shared" si="6"/>
        <v>0</v>
      </c>
      <c r="E30" s="31">
        <f t="shared" si="6"/>
        <v>1</v>
      </c>
      <c r="F30" s="31">
        <f t="shared" si="6"/>
        <v>1</v>
      </c>
      <c r="G30" s="31">
        <f t="shared" si="6"/>
        <v>1</v>
      </c>
      <c r="H30" s="69">
        <f t="shared" si="6"/>
        <v>1</v>
      </c>
      <c r="I30" s="33">
        <f t="shared" si="6"/>
        <v>1</v>
      </c>
      <c r="J30" s="33">
        <f t="shared" si="6"/>
        <v>0</v>
      </c>
      <c r="K30" s="31">
        <f t="shared" si="6"/>
        <v>1</v>
      </c>
      <c r="L30" s="31">
        <f t="shared" si="6"/>
        <v>1</v>
      </c>
      <c r="M30" s="31">
        <f t="shared" si="8"/>
        <v>1</v>
      </c>
      <c r="N30" s="33">
        <f t="shared" si="7"/>
        <v>1</v>
      </c>
      <c r="O30" s="33">
        <f t="shared" si="7"/>
        <v>0</v>
      </c>
      <c r="P30" s="31">
        <f t="shared" si="7"/>
        <v>0</v>
      </c>
      <c r="Q30" s="69">
        <f t="shared" si="7"/>
        <v>0</v>
      </c>
      <c r="R30" s="33">
        <f t="shared" si="7"/>
        <v>0</v>
      </c>
      <c r="S30" s="88"/>
      <c r="T30" s="112">
        <f>+GETPIVOTDATA(" All Ranks # Old",'OLD Counts Pivot Table'!$A$3,"State","AR","Category",1,"Category2","Four-Year")</f>
        <v>908</v>
      </c>
      <c r="U30" s="113">
        <f>+GETPIVOTDATA(" All Ranks # Old",'OLD Counts Pivot Table'!$A$3,"State","AR","Category",2,"Category2","Four-Year")</f>
        <v>0</v>
      </c>
      <c r="V30" s="113">
        <f>+GETPIVOTDATA(" All Ranks # Old",'OLD Counts Pivot Table'!$A$3,"State","AR","Category",3,"Category2","Four-Year")</f>
        <v>1536</v>
      </c>
      <c r="W30" s="113">
        <f>+GETPIVOTDATA(" All Ranks # Old",'OLD Counts Pivot Table'!$A$3,"State","AR","Category",4,"Category2","Four-Year")</f>
        <v>468</v>
      </c>
      <c r="X30" s="113">
        <f>+GETPIVOTDATA(" All Ranks # Old",'OLD Counts Pivot Table'!$A$3,"State","AR","Category",5,"Category2","Four-Year")</f>
        <v>310</v>
      </c>
      <c r="Y30" s="113">
        <f>+GETPIVOTDATA(" All Ranks # Old",'OLD Counts Pivot Table'!$A$3,"State","AR","Category",6,"Category2","Four-Year")</f>
        <v>395</v>
      </c>
      <c r="Z30" s="115">
        <f>+GETPIVOTDATA(" All Ranks # Old",'OLD Counts Pivot Table'!$A$3,"State","AR","Category2","Four-Year")</f>
        <v>3617</v>
      </c>
      <c r="AA30" s="112">
        <f>+GETPIVOTDATA(" All Ranks # Old",'OLD Counts Pivot Table'!$A$3,"State","AR","Category",7,"Category2","Group2")</f>
        <v>0</v>
      </c>
      <c r="AB30" s="113">
        <f>+GETPIVOTDATA(" All Ranks # Old",'OLD Counts Pivot Table'!$A$3,"State","AR","Category",8,"Category2","Group2")</f>
        <v>158</v>
      </c>
      <c r="AC30" s="113">
        <f>+GETPIVOTDATA(" All Ranks # Old",'OLD Counts Pivot Table'!$A$3,"State","AR","Category",9,"Category2","Group2")</f>
        <v>346</v>
      </c>
      <c r="AD30" s="113">
        <f>+GETPIVOTDATA(" All Ranks # Old",'OLD Counts Pivot Table'!$A$3,"State","AR","Category",10,"Category2","Group2")</f>
        <v>874</v>
      </c>
      <c r="AE30" s="113">
        <f>+GETPIVOTDATA(" All Ranks # Old",'OLD Counts Pivot Table'!$A$3,"State","AR","Category","11","Category2","Group2")</f>
        <v>0</v>
      </c>
      <c r="AF30" s="115">
        <f>+GETPIVOTDATA(" All Ranks # Old",'OLD Counts Pivot Table'!$A$3,"State","AR","Category2","Group2")</f>
        <v>1378</v>
      </c>
      <c r="AG30" s="112">
        <f>+GETPIVOTDATA(" All Ranks # Old",'OLD Counts Pivot Table'!$A$3,"State","AR","Category",12,"Category2","Technical Institutes")</f>
        <v>0</v>
      </c>
      <c r="AH30" s="113">
        <f>+GETPIVOTDATA(" All Ranks # Old",'OLD Counts Pivot Table'!$A$3,"State","AR","Category",13,"Category2","Technical Institutes")</f>
        <v>0</v>
      </c>
      <c r="AI30" s="114">
        <f>+GETPIVOTDATA(" All Ranks # Old",'OLD Counts Pivot Table'!$A$3,"State","AR","Category",14,"Category2","Technical Institutes")</f>
        <v>0</v>
      </c>
      <c r="AJ30" s="112">
        <f>+GETPIVOTDATA(" All Ranks # Old",'OLD Counts Pivot Table'!$A$3,"State","AR","Category2","Technical Institutes")</f>
        <v>0</v>
      </c>
      <c r="AK30" s="116"/>
      <c r="AL30" s="116"/>
    </row>
    <row r="31" spans="1:38">
      <c r="A31" s="38" t="s">
        <v>339</v>
      </c>
      <c r="B31" s="35" t="s">
        <v>332</v>
      </c>
      <c r="C31" s="36">
        <f t="shared" ref="C31:M37" si="9">IF(T$37&gt;0,(T31/T$37),0)</f>
        <v>0.34082733812949639</v>
      </c>
      <c r="D31" s="37">
        <f t="shared" si="9"/>
        <v>0</v>
      </c>
      <c r="E31" s="37">
        <f t="shared" si="9"/>
        <v>0</v>
      </c>
      <c r="F31" s="37">
        <f t="shared" si="9"/>
        <v>0.23684210526315788</v>
      </c>
      <c r="G31" s="37">
        <f t="shared" si="9"/>
        <v>0</v>
      </c>
      <c r="H31" s="67">
        <f t="shared" si="9"/>
        <v>0</v>
      </c>
      <c r="I31" s="36">
        <f t="shared" si="9"/>
        <v>0.32565284178187404</v>
      </c>
      <c r="J31" s="36">
        <f t="shared" si="9"/>
        <v>0</v>
      </c>
      <c r="K31" s="37">
        <f t="shared" si="9"/>
        <v>0</v>
      </c>
      <c r="L31" s="37">
        <f t="shared" si="9"/>
        <v>0</v>
      </c>
      <c r="M31" s="37">
        <f t="shared" si="9"/>
        <v>0</v>
      </c>
      <c r="N31" s="36">
        <f t="shared" ref="N31:R37" si="10">IF(AF$37&gt;0,(AF31/AF$37),0)</f>
        <v>0</v>
      </c>
      <c r="O31" s="152">
        <f t="shared" si="10"/>
        <v>0</v>
      </c>
      <c r="P31" s="37">
        <f t="shared" si="10"/>
        <v>0</v>
      </c>
      <c r="Q31" s="67">
        <f t="shared" si="10"/>
        <v>0</v>
      </c>
      <c r="R31" s="152">
        <f t="shared" si="10"/>
        <v>0</v>
      </c>
      <c r="S31" s="117"/>
      <c r="T31" s="104">
        <f>+GETPIVOTDATA(" Total # Prof Old",'OLD Counts Pivot Table'!$A$3,"State","DE","Category",1,"Category2","Four-Year")</f>
        <v>379</v>
      </c>
      <c r="U31" s="105">
        <f>+GETPIVOTDATA(" Total # Prof Old",'OLD Counts Pivot Table'!$A$3,"State","DE","Category",2,"Category2","Four-Year")</f>
        <v>0</v>
      </c>
      <c r="V31" s="105">
        <f>+GETPIVOTDATA(" Total # Prof Old",'OLD Counts Pivot Table'!$A$3,"State","DE","Category",3,"Category2","Four-Year")</f>
        <v>0</v>
      </c>
      <c r="W31" s="105">
        <f>+GETPIVOTDATA(" Total # Prof Old",'OLD Counts Pivot Table'!$A$3,"State","DE","Category",4,"Category2","Four-Year")</f>
        <v>45</v>
      </c>
      <c r="X31" s="105">
        <f>+GETPIVOTDATA(" Total # Prof Old",'OLD Counts Pivot Table'!$A$3,"State","DE","Category",5,"Category2","Four-Year")</f>
        <v>0</v>
      </c>
      <c r="Y31" s="105">
        <f>+GETPIVOTDATA(" Total # Prof Old",'OLD Counts Pivot Table'!$A$3,"State","DE","Category",6,"Category2","Four-Year")</f>
        <v>0</v>
      </c>
      <c r="Z31" s="107">
        <f>+GETPIVOTDATA(" Total # Prof Old",'OLD Counts Pivot Table'!$A$3,"State","DE","Category2","Four-Year")</f>
        <v>424</v>
      </c>
      <c r="AA31" s="104">
        <f>+GETPIVOTDATA(" Total # Prof Old",'OLD Counts Pivot Table'!$A$3,"State","DE","Category",7,"Category2","Group2")</f>
        <v>0</v>
      </c>
      <c r="AB31" s="105">
        <f>+GETPIVOTDATA(" Total # Prof Old",'OLD Counts Pivot Table'!$A$3,"State","DE","Category",8,"Category2","Group2")</f>
        <v>0</v>
      </c>
      <c r="AC31" s="105">
        <f>+GETPIVOTDATA(" Total # Prof Old",'OLD Counts Pivot Table'!$A$3,"State","DE","Category",9,"Category2","Group2")</f>
        <v>0</v>
      </c>
      <c r="AD31" s="105">
        <f>+GETPIVOTDATA(" Total # Prof Old",'OLD Counts Pivot Table'!$A$3,"State","DE","Category",10,"Category2","Group2")</f>
        <v>0</v>
      </c>
      <c r="AE31" s="105">
        <f>+GETPIVOTDATA(" Total # Prof Old",'OLD Counts Pivot Table'!$A$3,"State","DE","Category","11","Category2","Group2")</f>
        <v>0</v>
      </c>
      <c r="AF31" s="107">
        <f>+GETPIVOTDATA(" Total # Prof Old",'OLD Counts Pivot Table'!$A$3,"State","DE","Category2","Group2")</f>
        <v>0</v>
      </c>
      <c r="AG31" s="104">
        <f>+GETPIVOTDATA(" Total # Prof Old",'OLD Counts Pivot Table'!$A$3,"State","DE","Category",12,"Category2","Technical Institutes")</f>
        <v>0</v>
      </c>
      <c r="AH31" s="105">
        <f>+GETPIVOTDATA(" Total # Prof Old",'OLD Counts Pivot Table'!$A$3,"State","DE","Category",13,"Category2","Technical Institutes")</f>
        <v>0</v>
      </c>
      <c r="AI31" s="106">
        <f>+GETPIVOTDATA(" Total # Prof Old",'OLD Counts Pivot Table'!$A$3,"State","DE","Category",14,"Category2","Technical Institutes")</f>
        <v>0</v>
      </c>
      <c r="AJ31" s="104">
        <f>+GETPIVOTDATA(" Total # Prof Old",'OLD Counts Pivot Table'!$A$3,"State","AR","Category2","Technical Institutes")</f>
        <v>0</v>
      </c>
    </row>
    <row r="32" spans="1:38">
      <c r="A32" s="30"/>
      <c r="B32" s="38" t="s">
        <v>333</v>
      </c>
      <c r="C32" s="32">
        <f t="shared" si="9"/>
        <v>0.30755395683453235</v>
      </c>
      <c r="D32" s="34">
        <f t="shared" si="9"/>
        <v>0</v>
      </c>
      <c r="E32" s="34">
        <f t="shared" si="9"/>
        <v>0</v>
      </c>
      <c r="F32" s="34">
        <f t="shared" si="9"/>
        <v>0.42105263157894735</v>
      </c>
      <c r="G32" s="34">
        <f t="shared" si="9"/>
        <v>0</v>
      </c>
      <c r="H32" s="68">
        <f t="shared" si="9"/>
        <v>0</v>
      </c>
      <c r="I32" s="32">
        <f t="shared" si="9"/>
        <v>0.3241167434715822</v>
      </c>
      <c r="J32" s="32">
        <f t="shared" si="9"/>
        <v>0</v>
      </c>
      <c r="K32" s="34">
        <f t="shared" si="9"/>
        <v>0</v>
      </c>
      <c r="L32" s="34">
        <f t="shared" si="9"/>
        <v>0</v>
      </c>
      <c r="M32" s="34">
        <f t="shared" ref="M32:M37" si="11">IF(AD$37&gt;0,(AD32/AD$37),0)</f>
        <v>0</v>
      </c>
      <c r="N32" s="32">
        <f t="shared" si="10"/>
        <v>0</v>
      </c>
      <c r="O32" s="32">
        <f t="shared" si="10"/>
        <v>0</v>
      </c>
      <c r="P32" s="34">
        <f t="shared" si="10"/>
        <v>0</v>
      </c>
      <c r="Q32" s="68">
        <f t="shared" si="10"/>
        <v>0</v>
      </c>
      <c r="R32" s="32">
        <f t="shared" si="10"/>
        <v>0</v>
      </c>
      <c r="S32" s="87"/>
      <c r="T32" s="108">
        <f>+GETPIVOTDATA(" Tot # Asc. Prof Old",'OLD Counts Pivot Table'!$A$3,"State","DE","Category",1,"Category2","Four-Year")</f>
        <v>342</v>
      </c>
      <c r="U32" s="109">
        <f>+GETPIVOTDATA(" Tot # Asc. Prof Old",'OLD Counts Pivot Table'!$A$3,"State","DE","Category",2,"Category2","Four-Year")</f>
        <v>0</v>
      </c>
      <c r="V32" s="109">
        <f>+GETPIVOTDATA(" Tot # Asc. Prof Old",'OLD Counts Pivot Table'!$A$3,"State","DE","Category",3,"Category2","Four-Year")</f>
        <v>0</v>
      </c>
      <c r="W32" s="109">
        <f>+GETPIVOTDATA(" Tot # Asc. Prof Old",'OLD Counts Pivot Table'!$A$3,"State","DE","Category",4,"Category2","Four-Year")</f>
        <v>80</v>
      </c>
      <c r="X32" s="109">
        <f>+GETPIVOTDATA(" Tot # Asc. Prof Old",'OLD Counts Pivot Table'!$A$3,"State","DE","Category",5,"Category2","Four-Year")</f>
        <v>0</v>
      </c>
      <c r="Y32" s="109">
        <f>+GETPIVOTDATA(" Tot # Asc. Prof Old",'OLD Counts Pivot Table'!$A$3,"State","DE","Category",6,"Category2","Four-Year")</f>
        <v>0</v>
      </c>
      <c r="Z32" s="111">
        <f>+GETPIVOTDATA(" Tot # Asc. Prof Old",'OLD Counts Pivot Table'!$A$3,"State","DE","Category2","Four-Year")</f>
        <v>422</v>
      </c>
      <c r="AA32" s="108">
        <f>+GETPIVOTDATA(" Tot # Asc. Prof Old",'OLD Counts Pivot Table'!$A$3,"State","DE","Category",7,"Category2","Group2")</f>
        <v>0</v>
      </c>
      <c r="AB32" s="109">
        <f>+GETPIVOTDATA(" Tot # Asc. Prof Old",'OLD Counts Pivot Table'!$A$3,"State","DE","Category",8,"Category2","Group2")</f>
        <v>0</v>
      </c>
      <c r="AC32" s="109">
        <f>+GETPIVOTDATA(" Tot # Asc. Prof Old",'OLD Counts Pivot Table'!$A$3,"State","DE","Category",9,"Category2","Group2")</f>
        <v>0</v>
      </c>
      <c r="AD32" s="109">
        <f>+GETPIVOTDATA(" Tot # Asc. Prof Old",'OLD Counts Pivot Table'!$A$3,"State","DE","Category",10,"Category2","Group2")</f>
        <v>0</v>
      </c>
      <c r="AE32" s="109">
        <f>+GETPIVOTDATA(" Tot # Asc. Prof Old",'OLD Counts Pivot Table'!$A$3,"State","DE","Category","11","Category2","Group2")</f>
        <v>0</v>
      </c>
      <c r="AF32" s="111">
        <f>+GETPIVOTDATA(" Tot # Asc. Prof Old",'OLD Counts Pivot Table'!$A$3,"State","DE","Category2","Group2")</f>
        <v>0</v>
      </c>
      <c r="AG32" s="108">
        <f>+GETPIVOTDATA(" Tot # Asc. Prof Old",'OLD Counts Pivot Table'!$A$3,"State","DE","Category",12,"Category2","Technical Institutes")</f>
        <v>0</v>
      </c>
      <c r="AH32" s="109">
        <f>+GETPIVOTDATA(" Tot # Asc. Prof Old",'OLD Counts Pivot Table'!$A$3,"State","DE","Category",13,"Category2","Technical Institutes")</f>
        <v>0</v>
      </c>
      <c r="AI32" s="110">
        <f>+GETPIVOTDATA(" Tot # Asc. Prof Old",'OLD Counts Pivot Table'!$A$3,"State","DE","Category",14,"Category2","Technical Institutes")</f>
        <v>0</v>
      </c>
      <c r="AJ32" s="108">
        <f>+GETPIVOTDATA(" Tot # Asc. Prof Old",'OLD Counts Pivot Table'!$A$3,"State","AR","Category2","Technical Institutes")</f>
        <v>0</v>
      </c>
    </row>
    <row r="33" spans="1:38">
      <c r="A33" s="30"/>
      <c r="B33" s="38" t="s">
        <v>334</v>
      </c>
      <c r="C33" s="32">
        <f t="shared" si="9"/>
        <v>0.25809352517985612</v>
      </c>
      <c r="D33" s="34">
        <f t="shared" si="9"/>
        <v>0</v>
      </c>
      <c r="E33" s="34">
        <f t="shared" si="9"/>
        <v>0</v>
      </c>
      <c r="F33" s="34">
        <f t="shared" si="9"/>
        <v>0.31578947368421051</v>
      </c>
      <c r="G33" s="34">
        <f t="shared" si="9"/>
        <v>0</v>
      </c>
      <c r="H33" s="68">
        <f t="shared" si="9"/>
        <v>0</v>
      </c>
      <c r="I33" s="32">
        <f t="shared" si="9"/>
        <v>0.26651305683563747</v>
      </c>
      <c r="J33" s="32">
        <f t="shared" si="9"/>
        <v>0</v>
      </c>
      <c r="K33" s="34">
        <f t="shared" si="9"/>
        <v>0</v>
      </c>
      <c r="L33" s="34">
        <f t="shared" si="9"/>
        <v>0</v>
      </c>
      <c r="M33" s="34">
        <f t="shared" si="11"/>
        <v>0</v>
      </c>
      <c r="N33" s="32">
        <f t="shared" si="10"/>
        <v>0</v>
      </c>
      <c r="O33" s="32">
        <f t="shared" si="10"/>
        <v>0</v>
      </c>
      <c r="P33" s="34">
        <f t="shared" si="10"/>
        <v>0</v>
      </c>
      <c r="Q33" s="68">
        <f t="shared" si="10"/>
        <v>0</v>
      </c>
      <c r="R33" s="32">
        <f t="shared" si="10"/>
        <v>0</v>
      </c>
      <c r="S33" s="87"/>
      <c r="T33" s="108">
        <f>+GETPIVOTDATA(" Tot # Ast. Prof Old",'OLD Counts Pivot Table'!$A$3,"State","DE","Category",1,"Category2","Four-Year")</f>
        <v>287</v>
      </c>
      <c r="U33" s="109">
        <f>+GETPIVOTDATA(" Tot # Ast. Prof Old",'OLD Counts Pivot Table'!$A$3,"State","DE","Category",2,"Category2","Four-Year")</f>
        <v>0</v>
      </c>
      <c r="V33" s="109">
        <f>+GETPIVOTDATA(" Tot # Ast. Prof Old",'OLD Counts Pivot Table'!$A$3,"State","DE","Category",3,"Category2","Four-Year")</f>
        <v>0</v>
      </c>
      <c r="W33" s="109">
        <f>+GETPIVOTDATA(" Tot # Ast. Prof Old",'OLD Counts Pivot Table'!$A$3,"State","DE","Category",4,"Category2","Four-Year")</f>
        <v>60</v>
      </c>
      <c r="X33" s="109">
        <f>+GETPIVOTDATA(" Tot # Ast. Prof Old",'OLD Counts Pivot Table'!$A$3,"State","DE","Category",5,"Category2","Four-Year")</f>
        <v>0</v>
      </c>
      <c r="Y33" s="109">
        <f>+GETPIVOTDATA(" Tot # Ast. Prof Old",'OLD Counts Pivot Table'!$A$3,"State","DE","Category",6,"Category2","Four-Year")</f>
        <v>0</v>
      </c>
      <c r="Z33" s="111">
        <f>+GETPIVOTDATA(" Tot # Ast. Prof Old",'OLD Counts Pivot Table'!$A$3,"State","DE","Category2","Four-Year")</f>
        <v>347</v>
      </c>
      <c r="AA33" s="108">
        <f>+GETPIVOTDATA(" Tot # Ast. Prof Old",'OLD Counts Pivot Table'!$A$3,"State","DE","Category",7,"Category2","Group2")</f>
        <v>0</v>
      </c>
      <c r="AB33" s="109">
        <f>+GETPIVOTDATA(" Tot # Ast. Prof Old",'OLD Counts Pivot Table'!$A$3,"State","DE","Category",8,"Category2","Group2")</f>
        <v>0</v>
      </c>
      <c r="AC33" s="109">
        <f>+GETPIVOTDATA(" Tot # Ast. Prof Old",'OLD Counts Pivot Table'!$A$3,"State","DE","Category",9,"Category2","Group2")</f>
        <v>0</v>
      </c>
      <c r="AD33" s="109">
        <f>+GETPIVOTDATA(" Tot # Ast. Prof Old",'OLD Counts Pivot Table'!$A$3,"State","DE","Category",10,"Category2","Group2")</f>
        <v>0</v>
      </c>
      <c r="AE33" s="109">
        <f>+GETPIVOTDATA(" Tot # Ast. Prof Old",'OLD Counts Pivot Table'!$A$3,"State","DE","Category","11","Category2","Group2")</f>
        <v>0</v>
      </c>
      <c r="AF33" s="111">
        <f>+GETPIVOTDATA(" Tot # Ast. Prof Old",'OLD Counts Pivot Table'!$A$3,"State","DE","Category2","Group2")</f>
        <v>0</v>
      </c>
      <c r="AG33" s="108">
        <f>+GETPIVOTDATA(" Tot # Ast. Prof Old",'OLD Counts Pivot Table'!$A$3,"State","DE","Category",12,"Category2","Technical Institutes")</f>
        <v>0</v>
      </c>
      <c r="AH33" s="109">
        <f>+GETPIVOTDATA(" Tot # Ast. Prof Old",'OLD Counts Pivot Table'!$A$3,"State","DE","Category",13,"Category2","Technical Institutes")</f>
        <v>0</v>
      </c>
      <c r="AI33" s="110">
        <f>+GETPIVOTDATA(" Tot # Ast. Prof Old",'OLD Counts Pivot Table'!$A$3,"State","DE","Category",14,"Category2","Technical Institutes")</f>
        <v>0</v>
      </c>
      <c r="AJ33" s="108">
        <f>+GETPIVOTDATA(" Tot # Ast. Prof Old",'OLD Counts Pivot Table'!$A$3,"State","AR","Category2","Technical Institutes")</f>
        <v>0</v>
      </c>
    </row>
    <row r="34" spans="1:38">
      <c r="A34" s="30"/>
      <c r="B34" s="38" t="s">
        <v>335</v>
      </c>
      <c r="C34" s="32">
        <f t="shared" si="9"/>
        <v>9.3525179856115109E-2</v>
      </c>
      <c r="D34" s="34">
        <f t="shared" si="9"/>
        <v>0</v>
      </c>
      <c r="E34" s="34">
        <f t="shared" si="9"/>
        <v>0</v>
      </c>
      <c r="F34" s="34">
        <f t="shared" si="9"/>
        <v>2.1052631578947368E-2</v>
      </c>
      <c r="G34" s="34">
        <f t="shared" si="9"/>
        <v>0</v>
      </c>
      <c r="H34" s="68">
        <f t="shared" si="9"/>
        <v>0</v>
      </c>
      <c r="I34" s="32">
        <f t="shared" si="9"/>
        <v>8.294930875576037E-2</v>
      </c>
      <c r="J34" s="32">
        <f t="shared" si="9"/>
        <v>0</v>
      </c>
      <c r="K34" s="34">
        <f t="shared" si="9"/>
        <v>0</v>
      </c>
      <c r="L34" s="34">
        <f t="shared" si="9"/>
        <v>0</v>
      </c>
      <c r="M34" s="34">
        <f t="shared" si="11"/>
        <v>0</v>
      </c>
      <c r="N34" s="32">
        <f t="shared" si="10"/>
        <v>0</v>
      </c>
      <c r="O34" s="32">
        <f t="shared" si="10"/>
        <v>0</v>
      </c>
      <c r="P34" s="34">
        <f t="shared" si="10"/>
        <v>0</v>
      </c>
      <c r="Q34" s="68">
        <f t="shared" si="10"/>
        <v>0</v>
      </c>
      <c r="R34" s="32">
        <f t="shared" si="10"/>
        <v>0</v>
      </c>
      <c r="S34" s="87"/>
      <c r="T34" s="108">
        <f>+GETPIVOTDATA(" Tot # Instr. Old",'OLD Counts Pivot Table'!$A$3,"State","DE","Category",1,"Category2","Four-Year")</f>
        <v>104</v>
      </c>
      <c r="U34" s="109">
        <f>+GETPIVOTDATA(" Tot # Instr. Old",'OLD Counts Pivot Table'!$A$3,"State","DE","Category",2,"Category2","Four-Year")</f>
        <v>0</v>
      </c>
      <c r="V34" s="109">
        <f>+GETPIVOTDATA(" Tot # Instr. Old",'OLD Counts Pivot Table'!$A$3,"State","DE","Category",3,"Category2","Four-Year")</f>
        <v>0</v>
      </c>
      <c r="W34" s="109">
        <f>+GETPIVOTDATA(" Tot # Instr. Old",'OLD Counts Pivot Table'!$A$3,"State","DE","Category",4,"Category2","Four-Year")</f>
        <v>4</v>
      </c>
      <c r="X34" s="109">
        <f>+GETPIVOTDATA(" Tot # Instr. Old",'OLD Counts Pivot Table'!$A$3,"State","DE","Category",5,"Category2","Four-Year")</f>
        <v>0</v>
      </c>
      <c r="Y34" s="109">
        <f>+GETPIVOTDATA(" Tot # Instr. Old",'OLD Counts Pivot Table'!$A$3,"State","DE","Category",6,"Category2","Four-Year")</f>
        <v>0</v>
      </c>
      <c r="Z34" s="111">
        <f>+GETPIVOTDATA(" Tot # Instr. Old",'OLD Counts Pivot Table'!$A$3,"State","DE","Category2","Four-Year")</f>
        <v>108</v>
      </c>
      <c r="AA34" s="108">
        <f>+GETPIVOTDATA(" Tot # Instr. Old",'OLD Counts Pivot Table'!$A$3,"State","DE","Category",7,"Category2","Group2")</f>
        <v>0</v>
      </c>
      <c r="AB34" s="109">
        <f>+GETPIVOTDATA(" Tot # Instr. Old",'OLD Counts Pivot Table'!$A$3,"State","DE","Category",8,"Category2","Group2")</f>
        <v>0</v>
      </c>
      <c r="AC34" s="109">
        <f>+GETPIVOTDATA(" Tot # Instr. Old",'OLD Counts Pivot Table'!$A$3,"State","DE","Category",9,"Category2","Group2")</f>
        <v>0</v>
      </c>
      <c r="AD34" s="109">
        <f>+GETPIVOTDATA(" Tot # Instr. Old",'OLD Counts Pivot Table'!$A$3,"State","DE","Category",10,"Category2","Group2")</f>
        <v>0</v>
      </c>
      <c r="AE34" s="109">
        <f>+GETPIVOTDATA(" Tot # Instr. Old",'OLD Counts Pivot Table'!$A$3,"State","DE","Category","11","Category2","Group2")</f>
        <v>0</v>
      </c>
      <c r="AF34" s="111">
        <f>+GETPIVOTDATA(" Tot # Instr. Old",'OLD Counts Pivot Table'!$A$3,"State","DE","Category2","Group2")</f>
        <v>0</v>
      </c>
      <c r="AG34" s="108">
        <f>+GETPIVOTDATA(" Tot # Instr. Old",'OLD Counts Pivot Table'!$A$3,"State","DE","Category",12,"Category2","Technical Institutes")</f>
        <v>0</v>
      </c>
      <c r="AH34" s="109">
        <f>+GETPIVOTDATA(" Tot # Instr. Old",'OLD Counts Pivot Table'!$A$3,"State","DE","Category",13,"Category2","Technical Institutes")</f>
        <v>0</v>
      </c>
      <c r="AI34" s="110">
        <f>+GETPIVOTDATA(" Tot # Instr. Old",'OLD Counts Pivot Table'!$A$3,"State","DE","Category",14,"Category2","Technical Institutes")</f>
        <v>0</v>
      </c>
      <c r="AJ34" s="108">
        <f>+GETPIVOTDATA(" Tot # Instr. Old",'OLD Counts Pivot Table'!$A$3,"State","AR","Category2","Technical Institutes")</f>
        <v>0</v>
      </c>
    </row>
    <row r="35" spans="1:38">
      <c r="A35" s="30"/>
      <c r="B35" s="38" t="s">
        <v>315</v>
      </c>
      <c r="C35" s="237">
        <f t="shared" si="9"/>
        <v>0</v>
      </c>
      <c r="D35" s="34">
        <f t="shared" si="9"/>
        <v>0</v>
      </c>
      <c r="E35" s="34">
        <f t="shared" si="9"/>
        <v>0</v>
      </c>
      <c r="F35" s="34">
        <f t="shared" si="9"/>
        <v>5.263157894736842E-3</v>
      </c>
      <c r="G35" s="34">
        <f t="shared" si="9"/>
        <v>0</v>
      </c>
      <c r="H35" s="68">
        <f t="shared" si="9"/>
        <v>0</v>
      </c>
      <c r="I35" s="237">
        <f t="shared" si="9"/>
        <v>7.6804915514592934E-4</v>
      </c>
      <c r="J35" s="32">
        <f t="shared" si="9"/>
        <v>0</v>
      </c>
      <c r="K35" s="34">
        <f t="shared" si="9"/>
        <v>0</v>
      </c>
      <c r="L35" s="34">
        <f t="shared" si="9"/>
        <v>0</v>
      </c>
      <c r="M35" s="34">
        <f t="shared" si="11"/>
        <v>0</v>
      </c>
      <c r="N35" s="32">
        <f t="shared" si="10"/>
        <v>0</v>
      </c>
      <c r="O35" s="32">
        <f t="shared" si="10"/>
        <v>0</v>
      </c>
      <c r="P35" s="34">
        <f t="shared" si="10"/>
        <v>0</v>
      </c>
      <c r="Q35" s="68">
        <f t="shared" si="10"/>
        <v>0</v>
      </c>
      <c r="R35" s="32">
        <f t="shared" si="10"/>
        <v>0</v>
      </c>
      <c r="S35" s="87"/>
      <c r="T35" s="108">
        <f>++GETPIVOTDATA(" Tot # Undes. Old",'OLD Counts Pivot Table'!$A$3,"State","DE","Category",1,"Category2","Four-Year")</f>
        <v>0</v>
      </c>
      <c r="U35" s="109">
        <f>+GETPIVOTDATA(" Tot # Undes. Old",'OLD Counts Pivot Table'!$A$3,"State","DE","Category",2,"Category2","Four-Year")</f>
        <v>0</v>
      </c>
      <c r="V35" s="109">
        <f>+GETPIVOTDATA(" Tot # Undes. Old",'OLD Counts Pivot Table'!$A$3,"State","DE","Category",3,"Category2","Four-Year")</f>
        <v>0</v>
      </c>
      <c r="W35" s="109">
        <f>+GETPIVOTDATA(" Tot # Undes. Old",'OLD Counts Pivot Table'!$A$3,"State","DE","Category",4,"Category2","Four-Year")</f>
        <v>1</v>
      </c>
      <c r="X35" s="109">
        <f>+GETPIVOTDATA(" Tot # Undes. Old",'OLD Counts Pivot Table'!$A$3,"State","DE","Category",5,"Category2","Four-Year")</f>
        <v>0</v>
      </c>
      <c r="Y35" s="109">
        <f>+GETPIVOTDATA(" Tot # Undes. Old",'OLD Counts Pivot Table'!$A$3,"State","DE","Category",6,"Category2","Four-Year")</f>
        <v>0</v>
      </c>
      <c r="Z35" s="111">
        <f>+GETPIVOTDATA(" Tot # Undes. Old",'OLD Counts Pivot Table'!$A$3,"State","DE","Category2","Four-Year")</f>
        <v>1</v>
      </c>
      <c r="AA35" s="108">
        <f>+GETPIVOTDATA(" Tot # Undes. Old",'OLD Counts Pivot Table'!$A$3,"State","DE","Category",7,"Category2","Group2")</f>
        <v>0</v>
      </c>
      <c r="AB35" s="109">
        <f>+GETPIVOTDATA(" Tot # Undes. Old",'OLD Counts Pivot Table'!$A$3,"State","DE","Category",8,"Category2","Group2")</f>
        <v>0</v>
      </c>
      <c r="AC35" s="109">
        <f>+GETPIVOTDATA(" Tot # Undes. Old",'OLD Counts Pivot Table'!$A$3,"State","DE","Category",9,"Category2","Group2")</f>
        <v>0</v>
      </c>
      <c r="AD35" s="109">
        <f>+GETPIVOTDATA(" Tot # Undes. Old",'OLD Counts Pivot Table'!$A$3,"State","DE","Category",10,"Category2","Group2")</f>
        <v>0</v>
      </c>
      <c r="AE35" s="109">
        <f>+GETPIVOTDATA(" Tot # Undes. Old",'OLD Counts Pivot Table'!$A$3,"State","DE","Category","11","Category2","Group2")</f>
        <v>0</v>
      </c>
      <c r="AF35" s="111">
        <f>+GETPIVOTDATA(" Tot # Undes. Old",'OLD Counts Pivot Table'!$A$3,"State","DE","Category2","Group2")</f>
        <v>0</v>
      </c>
      <c r="AG35" s="108">
        <f>+GETPIVOTDATA(" Tot # Undes. Old",'OLD Counts Pivot Table'!$A$3,"State","DE","Category",12,"Category2","Technical Institutes")</f>
        <v>0</v>
      </c>
      <c r="AH35" s="109">
        <f>+GETPIVOTDATA(" Tot # Undes. Old",'OLD Counts Pivot Table'!$A$3,"State","DE","Category",13,"Category2","Technical Institutes")</f>
        <v>0</v>
      </c>
      <c r="AI35" s="110">
        <f>+GETPIVOTDATA(" Tot # Undes. Old",'OLD Counts Pivot Table'!$A$3,"State","DE","Category",14,"Category2","Technical Institutes")</f>
        <v>0</v>
      </c>
      <c r="AJ35" s="108">
        <f>+GETPIVOTDATA(" Tot # Undes. Old",'OLD Counts Pivot Table'!$A$3,"State","AR","Category2","Technical Institutes")</f>
        <v>0</v>
      </c>
    </row>
    <row r="36" spans="1:38">
      <c r="A36" s="30"/>
      <c r="B36" s="38" t="s">
        <v>314</v>
      </c>
      <c r="C36" s="32">
        <f t="shared" si="9"/>
        <v>0</v>
      </c>
      <c r="D36" s="34">
        <f t="shared" si="9"/>
        <v>0</v>
      </c>
      <c r="E36" s="185">
        <f t="shared" si="9"/>
        <v>0</v>
      </c>
      <c r="F36" s="34">
        <f t="shared" si="9"/>
        <v>0</v>
      </c>
      <c r="G36" s="185">
        <f t="shared" si="9"/>
        <v>0</v>
      </c>
      <c r="H36" s="68">
        <f t="shared" si="9"/>
        <v>0</v>
      </c>
      <c r="I36" s="184">
        <f t="shared" si="9"/>
        <v>0</v>
      </c>
      <c r="J36" s="32">
        <f t="shared" si="9"/>
        <v>0</v>
      </c>
      <c r="K36" s="34">
        <f t="shared" si="9"/>
        <v>0</v>
      </c>
      <c r="L36" s="34">
        <f t="shared" si="9"/>
        <v>1</v>
      </c>
      <c r="M36" s="34">
        <f t="shared" si="11"/>
        <v>1</v>
      </c>
      <c r="N36" s="32">
        <f t="shared" si="10"/>
        <v>1</v>
      </c>
      <c r="O36" s="32">
        <f t="shared" si="10"/>
        <v>0</v>
      </c>
      <c r="P36" s="34">
        <f t="shared" si="10"/>
        <v>0</v>
      </c>
      <c r="Q36" s="68">
        <f t="shared" si="10"/>
        <v>0</v>
      </c>
      <c r="R36" s="32">
        <f t="shared" si="10"/>
        <v>0</v>
      </c>
      <c r="S36" s="87"/>
      <c r="T36" s="108">
        <f>+GETPIVOTDATA(" Tot # Single Rnk Old",'OLD Counts Pivot Table'!$A$3,"State","DE","Category",1,"Category2","Four-Year")</f>
        <v>0</v>
      </c>
      <c r="U36" s="109">
        <f>+GETPIVOTDATA(" Tot # Single Rnk Old",'OLD Counts Pivot Table'!$A$3,"State","DE","Category",2,"Category2","Four-Year")</f>
        <v>0</v>
      </c>
      <c r="V36" s="109">
        <f>+GETPIVOTDATA(" Tot # Single Rnk Old",'OLD Counts Pivot Table'!$A$3,"State","DE","Category",3,"Category2","Four-Year")</f>
        <v>0</v>
      </c>
      <c r="W36" s="109">
        <f>+GETPIVOTDATA(" Tot # Single Rnk Old",'OLD Counts Pivot Table'!$A$3,"State","DE","Category",4,"Category2","Four-Year")</f>
        <v>0</v>
      </c>
      <c r="X36" s="109">
        <f>+GETPIVOTDATA(" Tot # Single Rnk Old",'OLD Counts Pivot Table'!$A$3,"State","DE","Category",5,"Category2","Four-Year")</f>
        <v>0</v>
      </c>
      <c r="Y36" s="109">
        <f>+GETPIVOTDATA(" Tot # Single Rnk Old",'OLD Counts Pivot Table'!$A$3,"State","DE","Category",6,"Category2","Four-Year")</f>
        <v>0</v>
      </c>
      <c r="Z36" s="111">
        <f>+GETPIVOTDATA(" Tot # Single Rnk Old",'OLD Counts Pivot Table'!$A$3,"State","DE","Category2","Four-Year")</f>
        <v>0</v>
      </c>
      <c r="AA36" s="108">
        <f>+GETPIVOTDATA(" Tot # Single Rnk Old",'OLD Counts Pivot Table'!$A$3,"State","DE","Category",7,"Category2","Group2")</f>
        <v>0</v>
      </c>
      <c r="AB36" s="109">
        <f>+GETPIVOTDATA(" Tot # Single Rnk Old",'OLD Counts Pivot Table'!$A$3,"State","DE","Category",8,"Category2","Group2")</f>
        <v>0</v>
      </c>
      <c r="AC36" s="109">
        <f>+GETPIVOTDATA(" Tot # Single Rnk Old",'OLD Counts Pivot Table'!$A$3,"State","DE","Category",9,"Category2","Group2")</f>
        <v>295</v>
      </c>
      <c r="AD36" s="109">
        <f>+GETPIVOTDATA(" Tot # Single Rnk Old",'OLD Counts Pivot Table'!$A$3,"State","DE","Category",10,"Category2","Group2")</f>
        <v>81</v>
      </c>
      <c r="AE36" s="109">
        <f>+GETPIVOTDATA(" Tot # Single Rnk Old",'OLD Counts Pivot Table'!$A$3,"State","DE","Category","11","Category2","Group2")</f>
        <v>0</v>
      </c>
      <c r="AF36" s="111">
        <f>+GETPIVOTDATA(" Tot # Single Rnk Old",'OLD Counts Pivot Table'!$A$3,"State","DE","Category2","Group2")</f>
        <v>376</v>
      </c>
      <c r="AG36" s="108">
        <f>+GETPIVOTDATA(" Tot # Single Rnk Old",'OLD Counts Pivot Table'!$A$3,"State","DE","Category",12,"Category2","Technical Institutes")</f>
        <v>0</v>
      </c>
      <c r="AH36" s="109">
        <f>+GETPIVOTDATA(" Tot # Single Rnk Old",'OLD Counts Pivot Table'!$A$3,"State","DE","Category",13,"Category2","Technical Institutes")</f>
        <v>0</v>
      </c>
      <c r="AI36" s="110">
        <f>+GETPIVOTDATA(" Tot # Single Rnk Old",'OLD Counts Pivot Table'!$A$3,"State","DE","Category",14,"Category2","Technical Institutes")</f>
        <v>0</v>
      </c>
      <c r="AJ36" s="108">
        <f>+GETPIVOTDATA(" Tot # Single Rnk Old",'OLD Counts Pivot Table'!$A$3,"State","AR","Category2","Technical Institutes")</f>
        <v>0</v>
      </c>
    </row>
    <row r="37" spans="1:38" s="54" customFormat="1">
      <c r="A37" s="191"/>
      <c r="B37" s="192" t="s">
        <v>316</v>
      </c>
      <c r="C37" s="33">
        <f t="shared" si="9"/>
        <v>1</v>
      </c>
      <c r="D37" s="31">
        <f t="shared" si="9"/>
        <v>0</v>
      </c>
      <c r="E37" s="31">
        <f t="shared" si="9"/>
        <v>0</v>
      </c>
      <c r="F37" s="31">
        <f t="shared" si="9"/>
        <v>1</v>
      </c>
      <c r="G37" s="31">
        <f t="shared" si="9"/>
        <v>0</v>
      </c>
      <c r="H37" s="69">
        <f t="shared" si="9"/>
        <v>0</v>
      </c>
      <c r="I37" s="33">
        <f t="shared" si="9"/>
        <v>1</v>
      </c>
      <c r="J37" s="33">
        <f t="shared" si="9"/>
        <v>0</v>
      </c>
      <c r="K37" s="31">
        <f t="shared" si="9"/>
        <v>0</v>
      </c>
      <c r="L37" s="31">
        <f t="shared" si="9"/>
        <v>1</v>
      </c>
      <c r="M37" s="31">
        <f t="shared" si="11"/>
        <v>1</v>
      </c>
      <c r="N37" s="33">
        <f t="shared" si="10"/>
        <v>1</v>
      </c>
      <c r="O37" s="33">
        <f t="shared" si="10"/>
        <v>0</v>
      </c>
      <c r="P37" s="31">
        <f t="shared" si="10"/>
        <v>0</v>
      </c>
      <c r="Q37" s="69">
        <f t="shared" si="10"/>
        <v>0</v>
      </c>
      <c r="R37" s="33">
        <f t="shared" si="10"/>
        <v>0</v>
      </c>
      <c r="S37" s="88"/>
      <c r="T37" s="112">
        <f>+GETPIVOTDATA(" All Ranks # Old",'OLD Counts Pivot Table'!$A$3,"State","DE","Category",1,"Category2","Four-Year")</f>
        <v>1112</v>
      </c>
      <c r="U37" s="113">
        <f>+GETPIVOTDATA(" All Ranks # Old",'OLD Counts Pivot Table'!$A$3,"State","DE","Category",2,"Category2","Four-Year")</f>
        <v>0</v>
      </c>
      <c r="V37" s="113">
        <f>+GETPIVOTDATA(" All Ranks # Old",'OLD Counts Pivot Table'!$A$3,"State","DE","Category",3,"Category2","Four-Year")</f>
        <v>0</v>
      </c>
      <c r="W37" s="113">
        <f>+GETPIVOTDATA(" All Ranks # Old",'OLD Counts Pivot Table'!$A$3,"State","DE","Category",4,"Category2","Four-Year")</f>
        <v>190</v>
      </c>
      <c r="X37" s="113">
        <f>+GETPIVOTDATA(" All Ranks # Old",'OLD Counts Pivot Table'!$A$3,"State","DE","Category",5,"Category2","Four-Year")</f>
        <v>0</v>
      </c>
      <c r="Y37" s="113">
        <f>+GETPIVOTDATA(" All Ranks # Old",'OLD Counts Pivot Table'!$A$3,"State","DE","Category",6,"Category2","Four-Year")</f>
        <v>0</v>
      </c>
      <c r="Z37" s="115">
        <f>+GETPIVOTDATA(" All Ranks # Old",'OLD Counts Pivot Table'!$A$3,"State","DE","Category2","Four-Year")</f>
        <v>1302</v>
      </c>
      <c r="AA37" s="112">
        <f>+GETPIVOTDATA(" All Ranks # Old",'OLD Counts Pivot Table'!$A$3,"State","DE","Category",7,"Category2","Group2")</f>
        <v>0</v>
      </c>
      <c r="AB37" s="113">
        <f>+GETPIVOTDATA(" All Ranks # Old",'OLD Counts Pivot Table'!$A$3,"State","DE","Category",8,"Category2","Group2")</f>
        <v>0</v>
      </c>
      <c r="AC37" s="113">
        <f>+GETPIVOTDATA(" All Ranks # Old",'OLD Counts Pivot Table'!$A$3,"State","DE","Category",9,"Category2","Group2")</f>
        <v>295</v>
      </c>
      <c r="AD37" s="113">
        <f>+GETPIVOTDATA(" All Ranks # Old",'OLD Counts Pivot Table'!$A$3,"State","DE","Category",10,"Category2","Group2")</f>
        <v>81</v>
      </c>
      <c r="AE37" s="113">
        <f>+GETPIVOTDATA(" All Ranks # Old",'OLD Counts Pivot Table'!$A$3,"State","DE","Category","11","Category2","Group2")</f>
        <v>0</v>
      </c>
      <c r="AF37" s="115">
        <f>+GETPIVOTDATA(" All Ranks # Old",'OLD Counts Pivot Table'!$A$3,"State","DE","Category2","Group2")</f>
        <v>376</v>
      </c>
      <c r="AG37" s="112">
        <f>+GETPIVOTDATA(" All Ranks # Old",'OLD Counts Pivot Table'!$A$3,"State","DE","Category",12,"Category2","Technical Institutes")</f>
        <v>0</v>
      </c>
      <c r="AH37" s="113">
        <f>+GETPIVOTDATA(" All Ranks # Old",'OLD Counts Pivot Table'!$A$3,"State","DE","Category",13,"Category2","Technical Institutes")</f>
        <v>0</v>
      </c>
      <c r="AI37" s="114">
        <f>+GETPIVOTDATA(" All Ranks # Old",'OLD Counts Pivot Table'!$A$3,"State","DE","Category",14,"Category2","Technical Institutes")</f>
        <v>0</v>
      </c>
      <c r="AJ37" s="112">
        <f>+GETPIVOTDATA(" All Ranks # Old",'OLD Counts Pivot Table'!$A$3,"State","AR","Category2","Technical Institutes")</f>
        <v>0</v>
      </c>
      <c r="AK37" s="116"/>
      <c r="AL37" s="116"/>
    </row>
    <row r="38" spans="1:38">
      <c r="A38" s="38" t="s">
        <v>347</v>
      </c>
      <c r="B38" s="35" t="s">
        <v>332</v>
      </c>
      <c r="C38" s="36">
        <f t="shared" ref="C38:M44" si="12">IF(T$44&gt;0,(T38/T$44),0)</f>
        <v>0.29569892473118281</v>
      </c>
      <c r="D38" s="37">
        <f t="shared" si="12"/>
        <v>0.25417201540436457</v>
      </c>
      <c r="E38" s="37">
        <f t="shared" si="12"/>
        <v>0.22525107604017217</v>
      </c>
      <c r="F38" s="37">
        <f t="shared" si="12"/>
        <v>0.16666666666666666</v>
      </c>
      <c r="G38" s="37">
        <f t="shared" si="12"/>
        <v>0</v>
      </c>
      <c r="H38" s="67">
        <f t="shared" si="12"/>
        <v>0.35</v>
      </c>
      <c r="I38" s="36">
        <f t="shared" si="12"/>
        <v>0.27675723242767575</v>
      </c>
      <c r="J38" s="36">
        <f t="shared" si="12"/>
        <v>0</v>
      </c>
      <c r="K38" s="37">
        <f t="shared" si="12"/>
        <v>0</v>
      </c>
      <c r="L38" s="37">
        <f t="shared" si="12"/>
        <v>0</v>
      </c>
      <c r="M38" s="37">
        <f t="shared" si="12"/>
        <v>0</v>
      </c>
      <c r="N38" s="36">
        <f t="shared" ref="N38:R44" si="13">IF(AF$44&gt;0,(AF38/AF$44),0)</f>
        <v>0</v>
      </c>
      <c r="O38" s="152">
        <f t="shared" si="13"/>
        <v>0</v>
      </c>
      <c r="P38" s="37">
        <f t="shared" si="13"/>
        <v>0</v>
      </c>
      <c r="Q38" s="67">
        <f t="shared" si="13"/>
        <v>0</v>
      </c>
      <c r="R38" s="152">
        <f t="shared" si="13"/>
        <v>0</v>
      </c>
      <c r="S38" s="117"/>
      <c r="T38" s="104">
        <f>+GETPIVOTDATA(" Total # Prof Old",'OLD Counts Pivot Table'!$A$3,"State","FL","Category",1,"Category2","Four-Year")</f>
        <v>1925</v>
      </c>
      <c r="U38" s="105">
        <f>+GETPIVOTDATA(" Total # Prof Old",'OLD Counts Pivot Table'!$A$3,"State","FL","Category",2,"Category2","Four-Year")</f>
        <v>198</v>
      </c>
      <c r="V38" s="105">
        <f>+GETPIVOTDATA(" Total # Prof Old",'OLD Counts Pivot Table'!$A$3,"State","FL","Category",3,"Category2","Four-Year")</f>
        <v>314</v>
      </c>
      <c r="W38" s="105">
        <f>+GETPIVOTDATA(" Total # Prof Old",'OLD Counts Pivot Table'!$A$3,"State","FL","Category",4,"Category2","Four-Year")</f>
        <v>58</v>
      </c>
      <c r="X38" s="105">
        <f>+GETPIVOTDATA(" Total # Prof Old",'OLD Counts Pivot Table'!$A$3,"State","FL","Category",5,"Category2","Four-Year")</f>
        <v>0</v>
      </c>
      <c r="Y38" s="105">
        <f>+GETPIVOTDATA(" Total # Prof Old",'OLD Counts Pivot Table'!$A$3,"State","FL","Category",6,"Category2","Four-Year")</f>
        <v>21</v>
      </c>
      <c r="Z38" s="107">
        <f>+GETPIVOTDATA(" Total # Prof Old",'OLD Counts Pivot Table'!$A$3,"State","FL","Category2","Four-Year")</f>
        <v>2516</v>
      </c>
      <c r="AA38" s="104">
        <f>+GETPIVOTDATA(" Total # Prof Old",'OLD Counts Pivot Table'!$A$3,"State","FL","Category",7,"Category2","Group2")</f>
        <v>0</v>
      </c>
      <c r="AB38" s="105">
        <f>+GETPIVOTDATA(" Total # Prof Old",'OLD Counts Pivot Table'!$A$3,"State","FL","Category",8,"Category2","Group2")</f>
        <v>0</v>
      </c>
      <c r="AC38" s="105">
        <f>+GETPIVOTDATA(" Total # Prof Old",'OLD Counts Pivot Table'!$A$3,"State","FL","Category",9,"Category2","Group2")</f>
        <v>0</v>
      </c>
      <c r="AD38" s="105">
        <f>+GETPIVOTDATA(" Total # Prof Old",'OLD Counts Pivot Table'!$A$3,"State","FL","Category",10,"Category2","Group2")</f>
        <v>0</v>
      </c>
      <c r="AE38" s="105">
        <f>+GETPIVOTDATA(" Total # Prof Old",'OLD Counts Pivot Table'!$A$3,"State","FL","Category","11","Category2","Group2")</f>
        <v>0</v>
      </c>
      <c r="AF38" s="107">
        <f>+GETPIVOTDATA(" Total # Prof Old",'OLD Counts Pivot Table'!$A$3,"State","FL","Category2","Group2")</f>
        <v>0</v>
      </c>
      <c r="AG38" s="104">
        <f>+GETPIVOTDATA(" Total # Prof Old",'OLD Counts Pivot Table'!$A$3,"State","FL","Category",12,"Category2","Technical Institutes")</f>
        <v>0</v>
      </c>
      <c r="AH38" s="105">
        <f>+GETPIVOTDATA(" Total # Prof Old",'OLD Counts Pivot Table'!$A$3,"State","FL","Category",13,"Category2","Technical Institutes")</f>
        <v>0</v>
      </c>
      <c r="AI38" s="106">
        <f>+GETPIVOTDATA(" Total # Prof Old",'OLD Counts Pivot Table'!$A$3,"State","FL","Category",14,"Category2","Technical Institutes")</f>
        <v>0</v>
      </c>
      <c r="AJ38" s="104">
        <f>+GETPIVOTDATA(" Total # Prof Old",'OLD Counts Pivot Table'!$A$3,"State","AR","Category2","Technical Institutes")</f>
        <v>0</v>
      </c>
    </row>
    <row r="39" spans="1:38">
      <c r="A39" s="30"/>
      <c r="B39" s="38" t="s">
        <v>333</v>
      </c>
      <c r="C39" s="32">
        <f t="shared" si="12"/>
        <v>0.28725038402457759</v>
      </c>
      <c r="D39" s="34">
        <f t="shared" si="12"/>
        <v>0.29910141206675223</v>
      </c>
      <c r="E39" s="34">
        <f t="shared" si="12"/>
        <v>0.28837876614060259</v>
      </c>
      <c r="F39" s="34">
        <f t="shared" si="12"/>
        <v>0.26724137931034481</v>
      </c>
      <c r="G39" s="34">
        <f t="shared" si="12"/>
        <v>0</v>
      </c>
      <c r="H39" s="68">
        <f t="shared" si="12"/>
        <v>0.45</v>
      </c>
      <c r="I39" s="32">
        <f t="shared" si="12"/>
        <v>0.28874711252887469</v>
      </c>
      <c r="J39" s="32">
        <f t="shared" si="12"/>
        <v>0</v>
      </c>
      <c r="K39" s="34">
        <f t="shared" si="12"/>
        <v>0</v>
      </c>
      <c r="L39" s="34">
        <f t="shared" si="12"/>
        <v>0</v>
      </c>
      <c r="M39" s="34">
        <f t="shared" ref="M39:M44" si="14">IF(AD$44&gt;0,(AD39/AD$44),0)</f>
        <v>0</v>
      </c>
      <c r="N39" s="32">
        <f t="shared" si="13"/>
        <v>0</v>
      </c>
      <c r="O39" s="32">
        <f t="shared" si="13"/>
        <v>0</v>
      </c>
      <c r="P39" s="34">
        <f t="shared" si="13"/>
        <v>0</v>
      </c>
      <c r="Q39" s="68">
        <f t="shared" si="13"/>
        <v>0</v>
      </c>
      <c r="R39" s="32">
        <f t="shared" si="13"/>
        <v>0</v>
      </c>
      <c r="S39" s="87"/>
      <c r="T39" s="108">
        <f>+GETPIVOTDATA(" Tot # Asc. Prof Old",'OLD Counts Pivot Table'!$A$3,"State","FL","Category",1,"Category2","Four-Year")</f>
        <v>1870</v>
      </c>
      <c r="U39" s="109">
        <f>+GETPIVOTDATA(" Tot # Asc. Prof Old",'OLD Counts Pivot Table'!$A$3,"State","FL","Category",2,"Category2","Four-Year")</f>
        <v>233</v>
      </c>
      <c r="V39" s="109">
        <f>+GETPIVOTDATA(" Tot # Asc. Prof Old",'OLD Counts Pivot Table'!$A$3,"State","FL","Category",3,"Category2","Four-Year")</f>
        <v>402</v>
      </c>
      <c r="W39" s="109">
        <f>+GETPIVOTDATA(" Tot # Asc. Prof Old",'OLD Counts Pivot Table'!$A$3,"State","FL","Category",4,"Category2","Four-Year")</f>
        <v>93</v>
      </c>
      <c r="X39" s="109">
        <f>+GETPIVOTDATA(" Tot # Asc. Prof Old",'OLD Counts Pivot Table'!$A$3,"State","FL","Category",5,"Category2","Four-Year")</f>
        <v>0</v>
      </c>
      <c r="Y39" s="109">
        <f>+GETPIVOTDATA(" Tot # Asc. Prof Old",'OLD Counts Pivot Table'!$A$3,"State","FL","Category",6,"Category2","Four-Year")</f>
        <v>27</v>
      </c>
      <c r="Z39" s="111">
        <f>+GETPIVOTDATA(" Tot # Asc. Prof Old",'OLD Counts Pivot Table'!$A$3,"State","FL","Category2","Four-Year")</f>
        <v>2625</v>
      </c>
      <c r="AA39" s="108">
        <f>+GETPIVOTDATA(" Tot # Asc. Prof Old",'OLD Counts Pivot Table'!$A$3,"State","FL","Category",7,"Category2","Group2")</f>
        <v>0</v>
      </c>
      <c r="AB39" s="109">
        <f>+GETPIVOTDATA(" Tot # Asc. Prof Old",'OLD Counts Pivot Table'!$A$3,"State","FL","Category",8,"Category2","Group2")</f>
        <v>0</v>
      </c>
      <c r="AC39" s="109">
        <f>+GETPIVOTDATA(" Tot # Asc. Prof Old",'OLD Counts Pivot Table'!$A$3,"State","FL","Category",9,"Category2","Group2")</f>
        <v>0</v>
      </c>
      <c r="AD39" s="109">
        <f>+GETPIVOTDATA(" Tot # Asc. Prof Old",'OLD Counts Pivot Table'!$A$3,"State","FL","Category",10,"Category2","Group2")</f>
        <v>0</v>
      </c>
      <c r="AE39" s="109">
        <f>+GETPIVOTDATA(" Tot # Asc. Prof Old",'OLD Counts Pivot Table'!$A$3,"State","FL","Category","11","Category2","Group2")</f>
        <v>0</v>
      </c>
      <c r="AF39" s="111">
        <f>+GETPIVOTDATA(" Tot # Asc. Prof Old",'OLD Counts Pivot Table'!$A$3,"State","FL","Category2","Group2")</f>
        <v>0</v>
      </c>
      <c r="AG39" s="108">
        <f>+GETPIVOTDATA(" Tot # Asc. Prof Old",'OLD Counts Pivot Table'!$A$3,"State","FL","Category",12,"Category2","Technical Institutes")</f>
        <v>0</v>
      </c>
      <c r="AH39" s="109">
        <f>+GETPIVOTDATA(" Tot # Asc. Prof Old",'OLD Counts Pivot Table'!$A$3,"State","FL","Category",13,"Category2","Technical Institutes")</f>
        <v>0</v>
      </c>
      <c r="AI39" s="110">
        <f>+GETPIVOTDATA(" Tot # Asc. Prof Old",'OLD Counts Pivot Table'!$A$3,"State","FL","Category",14,"Category2","Technical Institutes")</f>
        <v>0</v>
      </c>
      <c r="AJ39" s="108">
        <f>+GETPIVOTDATA(" Tot # Asc. Prof Old",'OLD Counts Pivot Table'!$A$3,"State","AR","Category2","Technical Institutes")</f>
        <v>0</v>
      </c>
    </row>
    <row r="40" spans="1:38">
      <c r="A40" s="30"/>
      <c r="B40" s="38" t="s">
        <v>334</v>
      </c>
      <c r="C40" s="32">
        <f t="shared" si="12"/>
        <v>0.2436251920122888</v>
      </c>
      <c r="D40" s="34">
        <f t="shared" si="12"/>
        <v>0.22721437740693196</v>
      </c>
      <c r="E40" s="34">
        <f t="shared" si="12"/>
        <v>0.29626972740315638</v>
      </c>
      <c r="F40" s="34">
        <f t="shared" si="12"/>
        <v>0.33045977011494254</v>
      </c>
      <c r="G40" s="34">
        <f t="shared" si="12"/>
        <v>0</v>
      </c>
      <c r="H40" s="68">
        <f t="shared" si="12"/>
        <v>0.18333333333333332</v>
      </c>
      <c r="I40" s="32">
        <f t="shared" si="12"/>
        <v>0.25321746782532173</v>
      </c>
      <c r="J40" s="32">
        <f t="shared" si="12"/>
        <v>0</v>
      </c>
      <c r="K40" s="34">
        <f t="shared" si="12"/>
        <v>0</v>
      </c>
      <c r="L40" s="34">
        <f t="shared" si="12"/>
        <v>0</v>
      </c>
      <c r="M40" s="34">
        <f t="shared" si="14"/>
        <v>0</v>
      </c>
      <c r="N40" s="32">
        <f t="shared" si="13"/>
        <v>0</v>
      </c>
      <c r="O40" s="32">
        <f t="shared" si="13"/>
        <v>0</v>
      </c>
      <c r="P40" s="34">
        <f t="shared" si="13"/>
        <v>0</v>
      </c>
      <c r="Q40" s="68">
        <f t="shared" si="13"/>
        <v>0</v>
      </c>
      <c r="R40" s="32">
        <f t="shared" si="13"/>
        <v>0</v>
      </c>
      <c r="S40" s="87"/>
      <c r="T40" s="108">
        <f>+GETPIVOTDATA(" Tot # Ast. Prof Old",'OLD Counts Pivot Table'!$A$3,"State","FL","Category",1,"Category2","Four-Year")</f>
        <v>1586</v>
      </c>
      <c r="U40" s="109">
        <f>+GETPIVOTDATA(" Tot # Ast. Prof Old",'OLD Counts Pivot Table'!$A$3,"State","FL","Category",2,"Category2","Four-Year")</f>
        <v>177</v>
      </c>
      <c r="V40" s="109">
        <f>+GETPIVOTDATA(" Tot # Ast. Prof Old",'OLD Counts Pivot Table'!$A$3,"State","FL","Category",3,"Category2","Four-Year")</f>
        <v>413</v>
      </c>
      <c r="W40" s="109">
        <f>+GETPIVOTDATA(" Tot # Ast. Prof Old",'OLD Counts Pivot Table'!$A$3,"State","FL","Category",4,"Category2","Four-Year")</f>
        <v>115</v>
      </c>
      <c r="X40" s="109">
        <f>+GETPIVOTDATA(" Tot # Ast. Prof Old",'OLD Counts Pivot Table'!$A$3,"State","FL","Category",5,"Category2","Four-Year")</f>
        <v>0</v>
      </c>
      <c r="Y40" s="109">
        <f>+GETPIVOTDATA(" Tot # Ast. Prof Old",'OLD Counts Pivot Table'!$A$3,"State","FL","Category",6,"Category2","Four-Year")</f>
        <v>11</v>
      </c>
      <c r="Z40" s="111">
        <f>+GETPIVOTDATA(" Tot # Ast. Prof Old",'OLD Counts Pivot Table'!$A$3,"State","FL","Category2","Four-Year")</f>
        <v>2302</v>
      </c>
      <c r="AA40" s="108">
        <f>+GETPIVOTDATA(" Tot # Ast. Prof Old",'OLD Counts Pivot Table'!$A$3,"State","FL","Category",7,"Category2","Group2")</f>
        <v>0</v>
      </c>
      <c r="AB40" s="109">
        <f>+GETPIVOTDATA(" Tot # Ast. Prof Old",'OLD Counts Pivot Table'!$A$3,"State","FL","Category",8,"Category2","Group2")</f>
        <v>0</v>
      </c>
      <c r="AC40" s="109">
        <f>+GETPIVOTDATA(" Tot # Ast. Prof Old",'OLD Counts Pivot Table'!$A$3,"State","FL","Category",9,"Category2","Group2")</f>
        <v>0</v>
      </c>
      <c r="AD40" s="109">
        <f>+GETPIVOTDATA(" Tot # Ast. Prof Old",'OLD Counts Pivot Table'!$A$3,"State","FL","Category",10,"Category2","Group2")</f>
        <v>0</v>
      </c>
      <c r="AE40" s="109">
        <f>+GETPIVOTDATA(" Tot # Ast. Prof Old",'OLD Counts Pivot Table'!$A$3,"State","FL","Category","11","Category2","Group2")</f>
        <v>0</v>
      </c>
      <c r="AF40" s="111">
        <f>+GETPIVOTDATA(" Tot # Ast. Prof Old",'OLD Counts Pivot Table'!$A$3,"State","FL","Category2","Group2")</f>
        <v>0</v>
      </c>
      <c r="AG40" s="108">
        <f>+GETPIVOTDATA(" Tot # Ast. Prof Old",'OLD Counts Pivot Table'!$A$3,"State","FL","Category",12,"Category2","Technical Institutes")</f>
        <v>0</v>
      </c>
      <c r="AH40" s="109">
        <f>+GETPIVOTDATA(" Tot # Ast. Prof Old",'OLD Counts Pivot Table'!$A$3,"State","FL","Category",13,"Category2","Technical Institutes")</f>
        <v>0</v>
      </c>
      <c r="AI40" s="110">
        <f>+GETPIVOTDATA(" Tot # Ast. Prof Old",'OLD Counts Pivot Table'!$A$3,"State","FL","Category",14,"Category2","Technical Institutes")</f>
        <v>0</v>
      </c>
      <c r="AJ40" s="108">
        <f>+GETPIVOTDATA(" Tot # Ast. Prof Old",'OLD Counts Pivot Table'!$A$3,"State","AR","Category2","Technical Institutes")</f>
        <v>0</v>
      </c>
    </row>
    <row r="41" spans="1:38">
      <c r="A41" s="30"/>
      <c r="B41" s="38" t="s">
        <v>335</v>
      </c>
      <c r="C41" s="32">
        <f t="shared" si="12"/>
        <v>9.1858678955453146E-2</v>
      </c>
      <c r="D41" s="34">
        <f t="shared" si="12"/>
        <v>0.21437740693196405</v>
      </c>
      <c r="E41" s="34">
        <f t="shared" si="12"/>
        <v>0.14275466284074606</v>
      </c>
      <c r="F41" s="34">
        <f t="shared" si="12"/>
        <v>0.22701149425287356</v>
      </c>
      <c r="G41" s="34">
        <f t="shared" si="12"/>
        <v>0</v>
      </c>
      <c r="H41" s="68">
        <f t="shared" si="12"/>
        <v>1.6666666666666666E-2</v>
      </c>
      <c r="I41" s="32">
        <f t="shared" si="12"/>
        <v>0.11483885161148388</v>
      </c>
      <c r="J41" s="32">
        <f t="shared" si="12"/>
        <v>0</v>
      </c>
      <c r="K41" s="34">
        <f t="shared" si="12"/>
        <v>0</v>
      </c>
      <c r="L41" s="34">
        <f t="shared" si="12"/>
        <v>0</v>
      </c>
      <c r="M41" s="34">
        <f t="shared" si="14"/>
        <v>0</v>
      </c>
      <c r="N41" s="32">
        <f t="shared" si="13"/>
        <v>0</v>
      </c>
      <c r="O41" s="32">
        <f t="shared" si="13"/>
        <v>0</v>
      </c>
      <c r="P41" s="34">
        <f t="shared" si="13"/>
        <v>0</v>
      </c>
      <c r="Q41" s="68">
        <f t="shared" si="13"/>
        <v>0</v>
      </c>
      <c r="R41" s="32">
        <f t="shared" si="13"/>
        <v>0</v>
      </c>
      <c r="S41" s="87"/>
      <c r="T41" s="108">
        <f>+GETPIVOTDATA(" Tot # Instr. Old",'OLD Counts Pivot Table'!$A$3,"State","FL","Category",1,"Category2","Four-Year")</f>
        <v>598</v>
      </c>
      <c r="U41" s="109">
        <f>+GETPIVOTDATA(" Tot # Instr. Old",'OLD Counts Pivot Table'!$A$3,"State","FL","Category",2,"Category2","Four-Year")</f>
        <v>167</v>
      </c>
      <c r="V41" s="109">
        <f>+GETPIVOTDATA(" Tot # Instr. Old",'OLD Counts Pivot Table'!$A$3,"State","FL","Category",3,"Category2","Four-Year")</f>
        <v>199</v>
      </c>
      <c r="W41" s="109">
        <f>+GETPIVOTDATA(" Tot # Instr. Old",'OLD Counts Pivot Table'!$A$3,"State","FL","Category",4,"Category2","Four-Year")</f>
        <v>79</v>
      </c>
      <c r="X41" s="109">
        <f>+GETPIVOTDATA(" Tot # Instr. Old",'OLD Counts Pivot Table'!$A$3,"State","FL","Category",5,"Category2","Four-Year")</f>
        <v>0</v>
      </c>
      <c r="Y41" s="109">
        <f>+GETPIVOTDATA(" Tot # Instr. Old",'OLD Counts Pivot Table'!$A$3,"State","FL","Category",6,"Category2","Four-Year")</f>
        <v>1</v>
      </c>
      <c r="Z41" s="111">
        <f>+GETPIVOTDATA(" Tot # Instr. Old",'OLD Counts Pivot Table'!$A$3,"State","FL","Category2","Four-Year")</f>
        <v>1044</v>
      </c>
      <c r="AA41" s="108">
        <f>+GETPIVOTDATA(" Tot # Instr. Old",'OLD Counts Pivot Table'!$A$3,"State","FL","Category",7,"Category2","Group2")</f>
        <v>0</v>
      </c>
      <c r="AB41" s="109">
        <f>+GETPIVOTDATA(" Tot # Instr. Old",'OLD Counts Pivot Table'!$A$3,"State","FL","Category",8,"Category2","Group2")</f>
        <v>0</v>
      </c>
      <c r="AC41" s="109">
        <f>+GETPIVOTDATA(" Tot # Instr. Old",'OLD Counts Pivot Table'!$A$3,"State","FL","Category",9,"Category2","Group2")</f>
        <v>0</v>
      </c>
      <c r="AD41" s="109">
        <f>+GETPIVOTDATA(" Tot # Instr. Old",'OLD Counts Pivot Table'!$A$3,"State","FL","Category",10,"Category2","Group2")</f>
        <v>0</v>
      </c>
      <c r="AE41" s="109">
        <f>+GETPIVOTDATA(" Tot # Instr. Old",'OLD Counts Pivot Table'!$A$3,"State","FL","Category","11","Category2","Group2")</f>
        <v>0</v>
      </c>
      <c r="AF41" s="111">
        <f>+GETPIVOTDATA(" Tot # Instr. Old",'OLD Counts Pivot Table'!$A$3,"State","FL","Category2","Group2")</f>
        <v>0</v>
      </c>
      <c r="AG41" s="108">
        <f>+GETPIVOTDATA(" Tot # Instr. Old",'OLD Counts Pivot Table'!$A$3,"State","FL","Category",12,"Category2","Technical Institutes")</f>
        <v>0</v>
      </c>
      <c r="AH41" s="109">
        <f>+GETPIVOTDATA(" Tot # Instr. Old",'OLD Counts Pivot Table'!$A$3,"State","FL","Category",13,"Category2","Technical Institutes")</f>
        <v>0</v>
      </c>
      <c r="AI41" s="110">
        <f>+GETPIVOTDATA(" Tot # Instr. Old",'OLD Counts Pivot Table'!$A$3,"State","FL","Category",14,"Category2","Technical Institutes")</f>
        <v>0</v>
      </c>
      <c r="AJ41" s="108">
        <f>+GETPIVOTDATA(" Tot # Instr. Old",'OLD Counts Pivot Table'!$A$3,"State","AR","Category2","Technical Institutes")</f>
        <v>0</v>
      </c>
    </row>
    <row r="42" spans="1:38">
      <c r="A42" s="30"/>
      <c r="B42" s="38" t="s">
        <v>315</v>
      </c>
      <c r="C42" s="32">
        <f t="shared" si="12"/>
        <v>8.1566820276497698E-2</v>
      </c>
      <c r="D42" s="34">
        <f t="shared" si="12"/>
        <v>5.1347881899871627E-3</v>
      </c>
      <c r="E42" s="34">
        <f t="shared" si="12"/>
        <v>4.7345767575322814E-2</v>
      </c>
      <c r="F42" s="34">
        <f t="shared" si="12"/>
        <v>8.6206896551724137E-3</v>
      </c>
      <c r="G42" s="236">
        <f t="shared" si="12"/>
        <v>0</v>
      </c>
      <c r="H42" s="68">
        <f t="shared" si="12"/>
        <v>0</v>
      </c>
      <c r="I42" s="32">
        <f t="shared" si="12"/>
        <v>6.6439335606643932E-2</v>
      </c>
      <c r="J42" s="32">
        <f t="shared" si="12"/>
        <v>0</v>
      </c>
      <c r="K42" s="34">
        <f t="shared" si="12"/>
        <v>0</v>
      </c>
      <c r="L42" s="34">
        <f t="shared" si="12"/>
        <v>0</v>
      </c>
      <c r="M42" s="34">
        <f t="shared" si="14"/>
        <v>0</v>
      </c>
      <c r="N42" s="32">
        <f t="shared" si="13"/>
        <v>0</v>
      </c>
      <c r="O42" s="32">
        <f t="shared" si="13"/>
        <v>0</v>
      </c>
      <c r="P42" s="34">
        <f t="shared" si="13"/>
        <v>0</v>
      </c>
      <c r="Q42" s="68">
        <f t="shared" si="13"/>
        <v>0</v>
      </c>
      <c r="R42" s="32">
        <f t="shared" si="13"/>
        <v>0</v>
      </c>
      <c r="S42" s="87"/>
      <c r="T42" s="108">
        <f>++GETPIVOTDATA(" Tot # Undes. Old",'OLD Counts Pivot Table'!$A$3,"State","FL","Category",1,"Category2","Four-Year")</f>
        <v>531</v>
      </c>
      <c r="U42" s="109">
        <f>+GETPIVOTDATA(" Tot # Undes. Old",'OLD Counts Pivot Table'!$A$3,"State","FL","Category",2,"Category2","Four-Year")</f>
        <v>4</v>
      </c>
      <c r="V42" s="109">
        <f>+GETPIVOTDATA(" Tot # Undes. Old",'OLD Counts Pivot Table'!$A$3,"State","FL","Category",3,"Category2","Four-Year")</f>
        <v>66</v>
      </c>
      <c r="W42" s="109">
        <f>+GETPIVOTDATA(" Tot # Undes. Old",'OLD Counts Pivot Table'!$A$3,"State","FL","Category",4,"Category2","Four-Year")</f>
        <v>3</v>
      </c>
      <c r="X42" s="109">
        <f>+GETPIVOTDATA(" Tot # Undes. Old",'OLD Counts Pivot Table'!$A$3,"State","FL","Category",5,"Category2","Four-Year")</f>
        <v>0</v>
      </c>
      <c r="Y42" s="109">
        <f>+GETPIVOTDATA(" Tot # Undes. Old",'OLD Counts Pivot Table'!$A$3,"State","FL","Category",6,"Category2","Four-Year")</f>
        <v>0</v>
      </c>
      <c r="Z42" s="111">
        <f>+GETPIVOTDATA(" Tot # Undes. Old",'OLD Counts Pivot Table'!$A$3,"State","FL","Category2","Four-Year")</f>
        <v>604</v>
      </c>
      <c r="AA42" s="108">
        <f>+GETPIVOTDATA(" Tot # Undes. Old",'OLD Counts Pivot Table'!$A$3,"State","FL","Category",7,"Category2","Group2")</f>
        <v>0</v>
      </c>
      <c r="AB42" s="109">
        <f>+GETPIVOTDATA(" Tot # Undes. Old",'OLD Counts Pivot Table'!$A$3,"State","FL","Category",8,"Category2","Group2")</f>
        <v>0</v>
      </c>
      <c r="AC42" s="109">
        <f>+GETPIVOTDATA(" Tot # Undes. Old",'OLD Counts Pivot Table'!$A$3,"State","FL","Category",9,"Category2","Group2")</f>
        <v>0</v>
      </c>
      <c r="AD42" s="109">
        <f>+GETPIVOTDATA(" Tot # Undes. Old",'OLD Counts Pivot Table'!$A$3,"State","FL","Category",10,"Category2","Group2")</f>
        <v>0</v>
      </c>
      <c r="AE42" s="109">
        <f>+GETPIVOTDATA(" Tot # Undes. Old",'OLD Counts Pivot Table'!$A$3,"State","FL","Category","11","Category2","Group2")</f>
        <v>0</v>
      </c>
      <c r="AF42" s="111">
        <f>+GETPIVOTDATA(" Tot # Undes. Old",'OLD Counts Pivot Table'!$A$3,"State","FL","Category2","Group2")</f>
        <v>0</v>
      </c>
      <c r="AG42" s="108">
        <f>+GETPIVOTDATA(" Tot # Undes. Old",'OLD Counts Pivot Table'!$A$3,"State","FL","Category",12,"Category2","Technical Institutes")</f>
        <v>0</v>
      </c>
      <c r="AH42" s="109">
        <f>+GETPIVOTDATA(" Tot # Undes. Old",'OLD Counts Pivot Table'!$A$3,"State","FL","Category",13,"Category2","Technical Institutes")</f>
        <v>0</v>
      </c>
      <c r="AI42" s="110">
        <f>+GETPIVOTDATA(" Tot # Undes. Old",'OLD Counts Pivot Table'!$A$3,"State","FL","Category",14,"Category2","Technical Institutes")</f>
        <v>0</v>
      </c>
      <c r="AJ42" s="108">
        <f>+GETPIVOTDATA(" Tot # Undes. Old",'OLD Counts Pivot Table'!$A$3,"State","AR","Category2","Technical Institutes")</f>
        <v>0</v>
      </c>
    </row>
    <row r="43" spans="1:38">
      <c r="A43" s="30"/>
      <c r="B43" s="38" t="s">
        <v>314</v>
      </c>
      <c r="C43" s="32">
        <f t="shared" si="12"/>
        <v>0</v>
      </c>
      <c r="D43" s="34">
        <f t="shared" si="12"/>
        <v>0</v>
      </c>
      <c r="E43" s="185">
        <f t="shared" si="12"/>
        <v>0</v>
      </c>
      <c r="F43" s="34">
        <f t="shared" si="12"/>
        <v>0</v>
      </c>
      <c r="G43" s="185">
        <f t="shared" si="12"/>
        <v>0</v>
      </c>
      <c r="H43" s="68">
        <f t="shared" si="12"/>
        <v>0</v>
      </c>
      <c r="I43" s="184">
        <f t="shared" si="12"/>
        <v>0</v>
      </c>
      <c r="J43" s="32">
        <f t="shared" si="12"/>
        <v>1</v>
      </c>
      <c r="K43" s="34">
        <f t="shared" si="12"/>
        <v>1</v>
      </c>
      <c r="L43" s="34">
        <f t="shared" si="12"/>
        <v>1</v>
      </c>
      <c r="M43" s="34">
        <f t="shared" si="14"/>
        <v>1</v>
      </c>
      <c r="N43" s="32">
        <f t="shared" si="13"/>
        <v>1</v>
      </c>
      <c r="O43" s="32">
        <f t="shared" si="13"/>
        <v>0</v>
      </c>
      <c r="P43" s="34">
        <f t="shared" si="13"/>
        <v>0</v>
      </c>
      <c r="Q43" s="68">
        <f t="shared" si="13"/>
        <v>0</v>
      </c>
      <c r="R43" s="32">
        <f t="shared" si="13"/>
        <v>0</v>
      </c>
      <c r="S43" s="87"/>
      <c r="T43" s="108">
        <f>+GETPIVOTDATA(" Tot # Single Rnk Old",'OLD Counts Pivot Table'!$A$3,"State","FL","Category",1,"Category2","Four-Year")</f>
        <v>0</v>
      </c>
      <c r="U43" s="109">
        <f>+GETPIVOTDATA(" Tot # Single Rnk Old",'OLD Counts Pivot Table'!$A$3,"State","FL","Category",2,"Category2","Four-Year")</f>
        <v>0</v>
      </c>
      <c r="V43" s="109">
        <f>+GETPIVOTDATA(" Tot # Single Rnk Old",'OLD Counts Pivot Table'!$A$3,"State","FL","Category",3,"Category2","Four-Year")</f>
        <v>0</v>
      </c>
      <c r="W43" s="109">
        <f>+GETPIVOTDATA(" Tot # Single Rnk Old",'OLD Counts Pivot Table'!$A$3,"State","FL","Category",4,"Category2","Four-Year")</f>
        <v>0</v>
      </c>
      <c r="X43" s="109">
        <f>+GETPIVOTDATA(" Tot # Single Rnk Old",'OLD Counts Pivot Table'!$A$3,"State","FL","Category",5,"Category2","Four-Year")</f>
        <v>0</v>
      </c>
      <c r="Y43" s="109">
        <f>+GETPIVOTDATA(" Tot # Single Rnk Old",'OLD Counts Pivot Table'!$A$3,"State","FL","Category",6,"Category2","Four-Year")</f>
        <v>0</v>
      </c>
      <c r="Z43" s="111">
        <f>+GETPIVOTDATA(" Tot # Single Rnk Old",'OLD Counts Pivot Table'!$A$3,"State","FL","Category2","Four-Year")</f>
        <v>0</v>
      </c>
      <c r="AA43" s="108">
        <f>+GETPIVOTDATA(" Tot # Single Rnk Old",'OLD Counts Pivot Table'!$A$3,"State","FL","Category",7,"Category2","Group2")</f>
        <v>1508</v>
      </c>
      <c r="AB43" s="109">
        <f>+GETPIVOTDATA(" Tot # Single Rnk Old",'OLD Counts Pivot Table'!$A$3,"State","FL","Category",8,"Category2","Group2")</f>
        <v>3317</v>
      </c>
      <c r="AC43" s="109">
        <f>+GETPIVOTDATA(" Tot # Single Rnk Old",'OLD Counts Pivot Table'!$A$3,"State","FL","Category",9,"Category2","Group2")</f>
        <v>423</v>
      </c>
      <c r="AD43" s="109">
        <f>+GETPIVOTDATA(" Tot # Single Rnk Old",'OLD Counts Pivot Table'!$A$3,"State","FL","Category",10,"Category2","Group2")</f>
        <v>49</v>
      </c>
      <c r="AE43" s="109">
        <f>+GETPIVOTDATA(" Tot # Single Rnk Old",'OLD Counts Pivot Table'!$A$3,"State","FL","Category","11","Category2","Group2")</f>
        <v>0</v>
      </c>
      <c r="AF43" s="111">
        <f>+GETPIVOTDATA(" Tot # Single Rnk Old",'OLD Counts Pivot Table'!$A$3,"State","FL","Category2","Group2")</f>
        <v>5297</v>
      </c>
      <c r="AG43" s="108">
        <f>+GETPIVOTDATA(" Tot # Single Rnk Old",'OLD Counts Pivot Table'!$A$3,"State","FL","Category",12,"Category2","Technical Institutes")</f>
        <v>0</v>
      </c>
      <c r="AH43" s="109">
        <f>+GETPIVOTDATA(" Tot # Single Rnk Old",'OLD Counts Pivot Table'!$A$3,"State","FL","Category",13,"Category2","Technical Institutes")</f>
        <v>0</v>
      </c>
      <c r="AI43" s="110">
        <f>+GETPIVOTDATA(" Tot # Single Rnk Old",'OLD Counts Pivot Table'!$A$3,"State","FL","Category",14,"Category2","Technical Institutes")</f>
        <v>0</v>
      </c>
      <c r="AJ43" s="108">
        <f>+GETPIVOTDATA(" Tot # Single Rnk Old",'OLD Counts Pivot Table'!$A$3,"State","AR","Category2","Technical Institutes")</f>
        <v>0</v>
      </c>
    </row>
    <row r="44" spans="1:38" s="54" customFormat="1">
      <c r="A44" s="191"/>
      <c r="B44" s="192" t="s">
        <v>316</v>
      </c>
      <c r="C44" s="33">
        <f t="shared" si="12"/>
        <v>1</v>
      </c>
      <c r="D44" s="31">
        <f t="shared" si="12"/>
        <v>1</v>
      </c>
      <c r="E44" s="31">
        <f t="shared" si="12"/>
        <v>1</v>
      </c>
      <c r="F44" s="31">
        <f t="shared" si="12"/>
        <v>1</v>
      </c>
      <c r="G44" s="31">
        <f t="shared" si="12"/>
        <v>0</v>
      </c>
      <c r="H44" s="69">
        <f t="shared" si="12"/>
        <v>1</v>
      </c>
      <c r="I44" s="33">
        <f t="shared" si="12"/>
        <v>1</v>
      </c>
      <c r="J44" s="33">
        <f t="shared" si="12"/>
        <v>1</v>
      </c>
      <c r="K44" s="31">
        <f t="shared" si="12"/>
        <v>1</v>
      </c>
      <c r="L44" s="31">
        <f t="shared" si="12"/>
        <v>1</v>
      </c>
      <c r="M44" s="31">
        <f t="shared" si="14"/>
        <v>1</v>
      </c>
      <c r="N44" s="33">
        <f t="shared" si="13"/>
        <v>1</v>
      </c>
      <c r="O44" s="33">
        <f t="shared" si="13"/>
        <v>0</v>
      </c>
      <c r="P44" s="31">
        <f t="shared" si="13"/>
        <v>0</v>
      </c>
      <c r="Q44" s="69">
        <f t="shared" si="13"/>
        <v>0</v>
      </c>
      <c r="R44" s="33">
        <f t="shared" si="13"/>
        <v>0</v>
      </c>
      <c r="S44" s="88"/>
      <c r="T44" s="112">
        <f>+GETPIVOTDATA(" All Ranks # Old",'OLD Counts Pivot Table'!$A$3,"State","FL","Category",1,"Category2","Four-Year")</f>
        <v>6510</v>
      </c>
      <c r="U44" s="113">
        <f>+GETPIVOTDATA(" All Ranks # Old",'OLD Counts Pivot Table'!$A$3,"State","FL","Category",2,"Category2","Four-Year")</f>
        <v>779</v>
      </c>
      <c r="V44" s="113">
        <f>+GETPIVOTDATA(" All Ranks # Old",'OLD Counts Pivot Table'!$A$3,"State","FL","Category",3,"Category2","Four-Year")</f>
        <v>1394</v>
      </c>
      <c r="W44" s="113">
        <f>+GETPIVOTDATA(" All Ranks # Old",'OLD Counts Pivot Table'!$A$3,"State","FL","Category",4,"Category2","Four-Year")</f>
        <v>348</v>
      </c>
      <c r="X44" s="113">
        <f>+GETPIVOTDATA(" All Ranks # Old",'OLD Counts Pivot Table'!$A$3,"State","FL","Category",5,"Category2","Four-Year")</f>
        <v>0</v>
      </c>
      <c r="Y44" s="113">
        <f>+GETPIVOTDATA(" All Ranks # Old",'OLD Counts Pivot Table'!$A$3,"State","FL","Category",6,"Category2","Four-Year")</f>
        <v>60</v>
      </c>
      <c r="Z44" s="115">
        <f>+GETPIVOTDATA(" All Ranks # Old",'OLD Counts Pivot Table'!$A$3,"State","FL","Category2","Four-Year")</f>
        <v>9091</v>
      </c>
      <c r="AA44" s="112">
        <f>+GETPIVOTDATA(" All Ranks # Old",'OLD Counts Pivot Table'!$A$3,"State","FL","Category",7,"Category2","Group2")</f>
        <v>1508</v>
      </c>
      <c r="AB44" s="113">
        <f>+GETPIVOTDATA(" All Ranks # Old",'OLD Counts Pivot Table'!$A$3,"State","FL","Category",8,"Category2","Group2")</f>
        <v>3317</v>
      </c>
      <c r="AC44" s="113">
        <f>+GETPIVOTDATA(" All Ranks # Old",'OLD Counts Pivot Table'!$A$3,"State","FL","Category",9,"Category2","Group2")</f>
        <v>423</v>
      </c>
      <c r="AD44" s="113">
        <f>+GETPIVOTDATA(" All Ranks # Old",'OLD Counts Pivot Table'!$A$3,"State","FL","Category",10,"Category2","Group2")</f>
        <v>49</v>
      </c>
      <c r="AE44" s="113">
        <f>+GETPIVOTDATA(" All Ranks # Old",'OLD Counts Pivot Table'!$A$3,"State","FL","Category","11","Category2","Group2")</f>
        <v>0</v>
      </c>
      <c r="AF44" s="115">
        <f>+GETPIVOTDATA(" All Ranks # Old",'OLD Counts Pivot Table'!$A$3,"State","FL","Category2","Group2")</f>
        <v>5297</v>
      </c>
      <c r="AG44" s="112">
        <f>+GETPIVOTDATA(" All Ranks # Old",'OLD Counts Pivot Table'!$A$3,"State","FL","Category",12,"Category2","Technical Institutes")</f>
        <v>0</v>
      </c>
      <c r="AH44" s="113">
        <f>+GETPIVOTDATA(" All Ranks # Old",'OLD Counts Pivot Table'!$A$3,"State","FL","Category",13,"Category2","Technical Institutes")</f>
        <v>0</v>
      </c>
      <c r="AI44" s="114">
        <f>+GETPIVOTDATA(" All Ranks # Old",'OLD Counts Pivot Table'!$A$3,"State","FL","Category",14,"Category2","Technical Institutes")</f>
        <v>0</v>
      </c>
      <c r="AJ44" s="112">
        <f>+GETPIVOTDATA(" All Ranks # Old",'OLD Counts Pivot Table'!$A$3,"State","AR","Category2","Technical Institutes")</f>
        <v>0</v>
      </c>
      <c r="AK44" s="116"/>
      <c r="AL44" s="116"/>
    </row>
    <row r="45" spans="1:38">
      <c r="A45" s="38" t="s">
        <v>345</v>
      </c>
      <c r="B45" s="35" t="s">
        <v>332</v>
      </c>
      <c r="C45" s="36">
        <f t="shared" ref="C45:M51" si="15">IF(T$51&gt;0,(T45/T$51),0)</f>
        <v>0.32012734347364696</v>
      </c>
      <c r="D45" s="37">
        <f t="shared" si="15"/>
        <v>0.40695296523517382</v>
      </c>
      <c r="E45" s="37">
        <f t="shared" si="15"/>
        <v>0.22141560798548093</v>
      </c>
      <c r="F45" s="37">
        <f t="shared" si="15"/>
        <v>0.21013133208255161</v>
      </c>
      <c r="G45" s="37">
        <f t="shared" si="15"/>
        <v>0.21033210332103322</v>
      </c>
      <c r="H45" s="67">
        <f t="shared" si="15"/>
        <v>0.13709677419354838</v>
      </c>
      <c r="I45" s="36">
        <f t="shared" si="15"/>
        <v>0.27020140742538218</v>
      </c>
      <c r="J45" s="36">
        <f t="shared" si="15"/>
        <v>0.14792899408284024</v>
      </c>
      <c r="K45" s="37">
        <f t="shared" si="15"/>
        <v>9.2964824120603015E-2</v>
      </c>
      <c r="L45" s="37">
        <f t="shared" si="15"/>
        <v>0.11654676258992806</v>
      </c>
      <c r="M45" s="37">
        <f t="shared" si="15"/>
        <v>8.9820359281437126E-2</v>
      </c>
      <c r="N45" s="36">
        <f t="shared" ref="N45:R51" si="16">IF(AF$51&gt;0,(AF45/AF$51),0)</f>
        <v>0.11451814768460576</v>
      </c>
      <c r="O45" s="152">
        <f t="shared" si="16"/>
        <v>0</v>
      </c>
      <c r="P45" s="37">
        <f t="shared" si="16"/>
        <v>0</v>
      </c>
      <c r="Q45" s="67">
        <f t="shared" si="16"/>
        <v>0</v>
      </c>
      <c r="R45" s="152">
        <f t="shared" si="16"/>
        <v>0</v>
      </c>
      <c r="S45" s="117"/>
      <c r="T45" s="104">
        <f>+GETPIVOTDATA(" Total # Prof Old",'OLD Counts Pivot Table'!$A$3,"State","ga","Category",1,"Category2","Four-Year")</f>
        <v>905</v>
      </c>
      <c r="U45" s="105">
        <f>+GETPIVOTDATA(" Total # Prof Old",'OLD Counts Pivot Table'!$A$3,"State","ga","Category",2,"Category2","Four-Year")</f>
        <v>398</v>
      </c>
      <c r="V45" s="105">
        <f>+GETPIVOTDATA(" Total # Prof Old",'OLD Counts Pivot Table'!$A$3,"State","ga","Category",3,"Category2","Four-Year")</f>
        <v>366</v>
      </c>
      <c r="W45" s="105">
        <f>+GETPIVOTDATA(" Total # Prof Old",'OLD Counts Pivot Table'!$A$3,"State","ga","Category",4,"Category2","Four-Year")</f>
        <v>336</v>
      </c>
      <c r="X45" s="105">
        <f>+GETPIVOTDATA(" Total # Prof Old",'OLD Counts Pivot Table'!$A$3,"State","ga","Category",5,"Category2","Four-Year")</f>
        <v>171</v>
      </c>
      <c r="Y45" s="105">
        <f>+GETPIVOTDATA(" Total # Prof Old",'OLD Counts Pivot Table'!$A$3,"State","ga","Category",6,"Category2","Four-Year")</f>
        <v>51</v>
      </c>
      <c r="Z45" s="107">
        <f>+GETPIVOTDATA(" Total # Prof Old",'OLD Counts Pivot Table'!$A$3,"State","ga","Category2","Four-Year")</f>
        <v>2227</v>
      </c>
      <c r="AA45" s="104">
        <f>+GETPIVOTDATA(" Total # Prof Old",'OLD Counts Pivot Table'!$A$3,"State","ga","Category",7,"Category2","Group2")</f>
        <v>50</v>
      </c>
      <c r="AB45" s="105">
        <f>+GETPIVOTDATA(" Total # Prof Old",'OLD Counts Pivot Table'!$A$3,"State","ga","Category",8,"Category2","Group2")</f>
        <v>37</v>
      </c>
      <c r="AC45" s="105">
        <f>+GETPIVOTDATA(" Total # Prof Old",'OLD Counts Pivot Table'!$A$3,"State","ga","Category",9,"Category2","Group2")</f>
        <v>81</v>
      </c>
      <c r="AD45" s="105">
        <f>+GETPIVOTDATA(" Total # Prof Old",'OLD Counts Pivot Table'!$A$3,"State","ga","Category",10,"Category2","Group2")</f>
        <v>15</v>
      </c>
      <c r="AE45" s="105">
        <f>+GETPIVOTDATA(" Total # Prof Old",'OLD Counts Pivot Table'!$A$3,"State","ga","Category","11","Category2","Group2")</f>
        <v>0</v>
      </c>
      <c r="AF45" s="107">
        <f>+GETPIVOTDATA(" Total # Prof Old",'OLD Counts Pivot Table'!$A$3,"State","ga","Category2","Group2")</f>
        <v>183</v>
      </c>
      <c r="AG45" s="104">
        <f>+GETPIVOTDATA(" Total # Prof Old",'OLD Counts Pivot Table'!$A$3,"State","ga","Category",12,"Category2","Technical Institutes")</f>
        <v>0</v>
      </c>
      <c r="AH45" s="105">
        <f>+GETPIVOTDATA(" Total # Prof Old",'OLD Counts Pivot Table'!$A$3,"State","ga","Category",13,"Category2","Technical Institutes")</f>
        <v>0</v>
      </c>
      <c r="AI45" s="106">
        <f>+GETPIVOTDATA(" Total # Prof Old",'OLD Counts Pivot Table'!$A$3,"State","ga","Category",14,"Category2","Technical Institutes")</f>
        <v>0</v>
      </c>
      <c r="AJ45" s="104">
        <f>+GETPIVOTDATA(" Total # Prof Old",'OLD Counts Pivot Table'!$A$3,"State","AR","Category2","Technical Institutes")</f>
        <v>0</v>
      </c>
    </row>
    <row r="46" spans="1:38">
      <c r="A46" s="30"/>
      <c r="B46" s="38" t="s">
        <v>333</v>
      </c>
      <c r="C46" s="32">
        <f t="shared" si="15"/>
        <v>0.27449593208348072</v>
      </c>
      <c r="D46" s="34">
        <f t="shared" si="15"/>
        <v>0.24642126789366053</v>
      </c>
      <c r="E46" s="34">
        <f t="shared" si="15"/>
        <v>0.24440411373260737</v>
      </c>
      <c r="F46" s="34">
        <f t="shared" si="15"/>
        <v>0.24265165728580362</v>
      </c>
      <c r="G46" s="34">
        <f t="shared" si="15"/>
        <v>0.22263222632226323</v>
      </c>
      <c r="H46" s="68">
        <f t="shared" si="15"/>
        <v>0.30376344086021506</v>
      </c>
      <c r="I46" s="32">
        <f t="shared" si="15"/>
        <v>0.25515651540888135</v>
      </c>
      <c r="J46" s="32">
        <f t="shared" si="15"/>
        <v>0.26627218934911245</v>
      </c>
      <c r="K46" s="34">
        <f t="shared" si="15"/>
        <v>0.35678391959798994</v>
      </c>
      <c r="L46" s="34">
        <f t="shared" si="15"/>
        <v>0.21007194244604316</v>
      </c>
      <c r="M46" s="34">
        <f t="shared" ref="M46:M51" si="17">IF(AD$51&gt;0,(AD46/AD$51),0)</f>
        <v>0.24550898203592814</v>
      </c>
      <c r="N46" s="32">
        <f t="shared" si="16"/>
        <v>0.26220275344180227</v>
      </c>
      <c r="O46" s="32">
        <f t="shared" si="16"/>
        <v>0</v>
      </c>
      <c r="P46" s="34">
        <f t="shared" si="16"/>
        <v>0</v>
      </c>
      <c r="Q46" s="68">
        <f t="shared" si="16"/>
        <v>0</v>
      </c>
      <c r="R46" s="32">
        <f t="shared" si="16"/>
        <v>0</v>
      </c>
      <c r="S46" s="87"/>
      <c r="T46" s="108">
        <f>+GETPIVOTDATA(" Tot # Asc. Prof Old",'OLD Counts Pivot Table'!$A$3,"State","ga","Category",1,"Category2","Four-Year")</f>
        <v>776</v>
      </c>
      <c r="U46" s="109">
        <f>+GETPIVOTDATA(" Tot # Asc. Prof Old",'OLD Counts Pivot Table'!$A$3,"State","ga","Category",2,"Category2","Four-Year")</f>
        <v>241</v>
      </c>
      <c r="V46" s="109">
        <f>+GETPIVOTDATA(" Tot # Asc. Prof Old",'OLD Counts Pivot Table'!$A$3,"State","ga","Category",3,"Category2","Four-Year")</f>
        <v>404</v>
      </c>
      <c r="W46" s="109">
        <f>+GETPIVOTDATA(" Tot # Asc. Prof Old",'OLD Counts Pivot Table'!$A$3,"State","ga","Category",4,"Category2","Four-Year")</f>
        <v>388</v>
      </c>
      <c r="X46" s="109">
        <f>+GETPIVOTDATA(" Tot # Asc. Prof Old",'OLD Counts Pivot Table'!$A$3,"State","ga","Category",5,"Category2","Four-Year")</f>
        <v>181</v>
      </c>
      <c r="Y46" s="109">
        <f>+GETPIVOTDATA(" Tot # Asc. Prof Old",'OLD Counts Pivot Table'!$A$3,"State","ga","Category",6,"Category2","Four-Year")</f>
        <v>113</v>
      </c>
      <c r="Z46" s="111">
        <f>+GETPIVOTDATA(" Tot # Asc. Prof Old",'OLD Counts Pivot Table'!$A$3,"State","ga","Category2","Four-Year")</f>
        <v>2103</v>
      </c>
      <c r="AA46" s="108">
        <f>+GETPIVOTDATA(" Tot # Asc. Prof Old",'OLD Counts Pivot Table'!$A$3,"State","ga","Category",7,"Category2","Group2")</f>
        <v>90</v>
      </c>
      <c r="AB46" s="109">
        <f>+GETPIVOTDATA(" Tot # Asc. Prof Old",'OLD Counts Pivot Table'!$A$3,"State","ga","Category",8,"Category2","Group2")</f>
        <v>142</v>
      </c>
      <c r="AC46" s="109">
        <f>+GETPIVOTDATA(" Tot # Asc. Prof Old",'OLD Counts Pivot Table'!$A$3,"State","ga","Category",9,"Category2","Group2")</f>
        <v>146</v>
      </c>
      <c r="AD46" s="109">
        <f>+GETPIVOTDATA(" Tot # Asc. Prof Old",'OLD Counts Pivot Table'!$A$3,"State","ga","Category",10,"Category2","Group2")</f>
        <v>41</v>
      </c>
      <c r="AE46" s="109">
        <f>+GETPIVOTDATA(" Tot # Asc. Prof Old",'OLD Counts Pivot Table'!$A$3,"State","ga","Category","11","Category2","Group2")</f>
        <v>0</v>
      </c>
      <c r="AF46" s="111">
        <f>+GETPIVOTDATA(" Tot # Asc. Prof Old",'OLD Counts Pivot Table'!$A$3,"State","ga","Category2","Group2")</f>
        <v>419</v>
      </c>
      <c r="AG46" s="108">
        <f>+GETPIVOTDATA(" Tot # Asc. Prof Old",'OLD Counts Pivot Table'!$A$3,"State","ga","Category",12,"Category2","Technical Institutes")</f>
        <v>0</v>
      </c>
      <c r="AH46" s="109">
        <f>+GETPIVOTDATA(" Tot # Asc. Prof Old",'OLD Counts Pivot Table'!$A$3,"State","ga","Category",13,"Category2","Technical Institutes")</f>
        <v>0</v>
      </c>
      <c r="AI46" s="110">
        <f>+GETPIVOTDATA(" Tot # Asc. Prof Old",'OLD Counts Pivot Table'!$A$3,"State","ga","Category",14,"Category2","Technical Institutes")</f>
        <v>0</v>
      </c>
      <c r="AJ46" s="108">
        <f>+GETPIVOTDATA(" Tot # Asc. Prof Old",'OLD Counts Pivot Table'!$A$3,"State","AR","Category2","Technical Institutes")</f>
        <v>0</v>
      </c>
    </row>
    <row r="47" spans="1:38">
      <c r="A47" s="30"/>
      <c r="B47" s="38" t="s">
        <v>334</v>
      </c>
      <c r="C47" s="32">
        <f t="shared" si="15"/>
        <v>0.27449593208348072</v>
      </c>
      <c r="D47" s="34">
        <f t="shared" si="15"/>
        <v>0.2505112474437628</v>
      </c>
      <c r="E47" s="34">
        <f t="shared" si="15"/>
        <v>0.32425892316999394</v>
      </c>
      <c r="F47" s="34">
        <f t="shared" si="15"/>
        <v>0.40838023764853032</v>
      </c>
      <c r="G47" s="34">
        <f t="shared" si="15"/>
        <v>0.39606396063960642</v>
      </c>
      <c r="H47" s="68">
        <f t="shared" si="15"/>
        <v>0.478494623655914</v>
      </c>
      <c r="I47" s="32">
        <f t="shared" si="15"/>
        <v>0.32880368842513952</v>
      </c>
      <c r="J47" s="32">
        <f t="shared" si="15"/>
        <v>0.44970414201183434</v>
      </c>
      <c r="K47" s="34">
        <f t="shared" si="15"/>
        <v>0.28391959798994976</v>
      </c>
      <c r="L47" s="34">
        <f t="shared" si="15"/>
        <v>0.36402877697841729</v>
      </c>
      <c r="M47" s="34">
        <f t="shared" si="17"/>
        <v>0.3652694610778443</v>
      </c>
      <c r="N47" s="32">
        <f t="shared" si="16"/>
        <v>0.36232790988735919</v>
      </c>
      <c r="O47" s="32">
        <f t="shared" si="16"/>
        <v>0</v>
      </c>
      <c r="P47" s="34">
        <f t="shared" si="16"/>
        <v>0</v>
      </c>
      <c r="Q47" s="68">
        <f t="shared" si="16"/>
        <v>0</v>
      </c>
      <c r="R47" s="32">
        <f t="shared" si="16"/>
        <v>0</v>
      </c>
      <c r="S47" s="87"/>
      <c r="T47" s="108">
        <f>+GETPIVOTDATA(" Tot # Ast. Prof Old",'OLD Counts Pivot Table'!$A$3,"State","ga","Category",1,"Category2","Four-Year")</f>
        <v>776</v>
      </c>
      <c r="U47" s="109">
        <f>+GETPIVOTDATA(" Tot # Ast. Prof Old",'OLD Counts Pivot Table'!$A$3,"State","ga","Category",2,"Category2","Four-Year")</f>
        <v>245</v>
      </c>
      <c r="V47" s="109">
        <f>+GETPIVOTDATA(" Tot # Ast. Prof Old",'OLD Counts Pivot Table'!$A$3,"State","ga","Category",3,"Category2","Four-Year")</f>
        <v>536</v>
      </c>
      <c r="W47" s="109">
        <f>+GETPIVOTDATA(" Tot # Ast. Prof Old",'OLD Counts Pivot Table'!$A$3,"State","ga","Category",4,"Category2","Four-Year")</f>
        <v>653</v>
      </c>
      <c r="X47" s="109">
        <f>+GETPIVOTDATA(" Tot # Ast. Prof Old",'OLD Counts Pivot Table'!$A$3,"State","ga","Category",5,"Category2","Four-Year")</f>
        <v>322</v>
      </c>
      <c r="Y47" s="109">
        <f>+GETPIVOTDATA(" Tot # Ast. Prof Old",'OLD Counts Pivot Table'!$A$3,"State","ga","Category",6,"Category2","Four-Year")</f>
        <v>178</v>
      </c>
      <c r="Z47" s="111">
        <f>+GETPIVOTDATA(" Tot # Ast. Prof Old",'OLD Counts Pivot Table'!$A$3,"State","ga","Category2","Four-Year")</f>
        <v>2710</v>
      </c>
      <c r="AA47" s="108">
        <f>+GETPIVOTDATA(" Tot # Ast. Prof Old",'OLD Counts Pivot Table'!$A$3,"State","ga","Category",7,"Category2","Group2")</f>
        <v>152</v>
      </c>
      <c r="AB47" s="109">
        <f>+GETPIVOTDATA(" Tot # Ast. Prof Old",'OLD Counts Pivot Table'!$A$3,"State","ga","Category",8,"Category2","Group2")</f>
        <v>113</v>
      </c>
      <c r="AC47" s="109">
        <f>+GETPIVOTDATA(" Tot # Ast. Prof Old",'OLD Counts Pivot Table'!$A$3,"State","ga","Category",9,"Category2","Group2")</f>
        <v>253</v>
      </c>
      <c r="AD47" s="109">
        <f>+GETPIVOTDATA(" Tot # Ast. Prof Old",'OLD Counts Pivot Table'!$A$3,"State","ga","Category",10,"Category2","Group2")</f>
        <v>61</v>
      </c>
      <c r="AE47" s="109">
        <f>+GETPIVOTDATA(" Tot # Ast. Prof Old",'OLD Counts Pivot Table'!$A$3,"State","ga","Category","11","Category2","Group2")</f>
        <v>0</v>
      </c>
      <c r="AF47" s="111">
        <f>+GETPIVOTDATA(" Tot # Ast. Prof Old",'OLD Counts Pivot Table'!$A$3,"State","ga","Category2","Group2")</f>
        <v>579</v>
      </c>
      <c r="AG47" s="108">
        <f>+GETPIVOTDATA(" Tot # Ast. Prof Old",'OLD Counts Pivot Table'!$A$3,"State","ga","Category",12,"Category2","Technical Institutes")</f>
        <v>0</v>
      </c>
      <c r="AH47" s="109">
        <f>+GETPIVOTDATA(" Tot # Ast. Prof Old",'OLD Counts Pivot Table'!$A$3,"State","ga","Category",13,"Category2","Technical Institutes")</f>
        <v>0</v>
      </c>
      <c r="AI47" s="110">
        <f>+GETPIVOTDATA(" Tot # Ast. Prof Old",'OLD Counts Pivot Table'!$A$3,"State","ga","Category",14,"Category2","Technical Institutes")</f>
        <v>0</v>
      </c>
      <c r="AJ47" s="108">
        <f>+GETPIVOTDATA(" Tot # Ast. Prof Old",'OLD Counts Pivot Table'!$A$3,"State","AR","Category2","Technical Institutes")</f>
        <v>0</v>
      </c>
    </row>
    <row r="48" spans="1:38">
      <c r="A48" s="30"/>
      <c r="B48" s="38" t="s">
        <v>335</v>
      </c>
      <c r="C48" s="32">
        <f t="shared" si="15"/>
        <v>3.7849310222851082E-2</v>
      </c>
      <c r="D48" s="34">
        <f t="shared" si="15"/>
        <v>4.396728016359918E-2</v>
      </c>
      <c r="E48" s="34">
        <f t="shared" si="15"/>
        <v>0.1675741076830006</v>
      </c>
      <c r="F48" s="34">
        <f t="shared" si="15"/>
        <v>5.8786741713570984E-2</v>
      </c>
      <c r="G48" s="34">
        <f t="shared" si="15"/>
        <v>0.12423124231242312</v>
      </c>
      <c r="H48" s="68">
        <f t="shared" si="15"/>
        <v>8.0645161290322578E-3</v>
      </c>
      <c r="I48" s="32">
        <f t="shared" si="15"/>
        <v>7.5831108954137347E-2</v>
      </c>
      <c r="J48" s="32">
        <f t="shared" si="15"/>
        <v>0.13609467455621302</v>
      </c>
      <c r="K48" s="34">
        <f t="shared" si="15"/>
        <v>0.24120603015075376</v>
      </c>
      <c r="L48" s="34">
        <f t="shared" si="15"/>
        <v>0.29208633093525183</v>
      </c>
      <c r="M48" s="34">
        <f t="shared" si="17"/>
        <v>0.28742514970059879</v>
      </c>
      <c r="N48" s="32">
        <f t="shared" si="16"/>
        <v>0.24593241551939926</v>
      </c>
      <c r="O48" s="32">
        <f t="shared" si="16"/>
        <v>0</v>
      </c>
      <c r="P48" s="34">
        <f t="shared" si="16"/>
        <v>0</v>
      </c>
      <c r="Q48" s="68">
        <f t="shared" si="16"/>
        <v>0</v>
      </c>
      <c r="R48" s="32">
        <f t="shared" si="16"/>
        <v>0</v>
      </c>
      <c r="S48" s="87"/>
      <c r="T48" s="108">
        <f>+GETPIVOTDATA(" Tot # Instr. Old",'OLD Counts Pivot Table'!$A$3,"State","ga","Category",1,"Category2","Four-Year")</f>
        <v>107</v>
      </c>
      <c r="U48" s="109">
        <f>+GETPIVOTDATA(" Tot # Instr. Old",'OLD Counts Pivot Table'!$A$3,"State","ga","Category",2,"Category2","Four-Year")</f>
        <v>43</v>
      </c>
      <c r="V48" s="109">
        <f>+GETPIVOTDATA(" Tot # Instr. Old",'OLD Counts Pivot Table'!$A$3,"State","ga","Category",3,"Category2","Four-Year")</f>
        <v>277</v>
      </c>
      <c r="W48" s="109">
        <f>+GETPIVOTDATA(" Tot # Instr. Old",'OLD Counts Pivot Table'!$A$3,"State","ga","Category",4,"Category2","Four-Year")</f>
        <v>94</v>
      </c>
      <c r="X48" s="109">
        <f>+GETPIVOTDATA(" Tot # Instr. Old",'OLD Counts Pivot Table'!$A$3,"State","ga","Category",5,"Category2","Four-Year")</f>
        <v>101</v>
      </c>
      <c r="Y48" s="109">
        <f>+GETPIVOTDATA(" Tot # Instr. Old",'OLD Counts Pivot Table'!$A$3,"State","ga","Category",6,"Category2","Four-Year")</f>
        <v>3</v>
      </c>
      <c r="Z48" s="111">
        <f>+GETPIVOTDATA(" Tot # Instr. Old",'OLD Counts Pivot Table'!$A$3,"State","ga","Category2","Four-Year")</f>
        <v>625</v>
      </c>
      <c r="AA48" s="108">
        <f>+GETPIVOTDATA(" Tot # Instr. Old",'OLD Counts Pivot Table'!$A$3,"State","ga","Category",7,"Category2","Group2")</f>
        <v>46</v>
      </c>
      <c r="AB48" s="109">
        <f>+GETPIVOTDATA(" Tot # Instr. Old",'OLD Counts Pivot Table'!$A$3,"State","ga","Category",8,"Category2","Group2")</f>
        <v>96</v>
      </c>
      <c r="AC48" s="109">
        <f>+GETPIVOTDATA(" Tot # Instr. Old",'OLD Counts Pivot Table'!$A$3,"State","ga","Category",9,"Category2","Group2")</f>
        <v>203</v>
      </c>
      <c r="AD48" s="109">
        <f>+GETPIVOTDATA(" Tot # Instr. Old",'OLD Counts Pivot Table'!$A$3,"State","ga","Category",10,"Category2","Group2")</f>
        <v>48</v>
      </c>
      <c r="AE48" s="109">
        <f>+GETPIVOTDATA(" Tot # Instr. Old",'OLD Counts Pivot Table'!$A$3,"State","ga","Category","11","Category2","Group2")</f>
        <v>0</v>
      </c>
      <c r="AF48" s="111">
        <f>+GETPIVOTDATA(" Tot # Instr. Old",'OLD Counts Pivot Table'!$A$3,"State","ga","Category2","Group2")</f>
        <v>393</v>
      </c>
      <c r="AG48" s="108">
        <f>+GETPIVOTDATA(" Tot # Instr. Old",'OLD Counts Pivot Table'!$A$3,"State","ga","Category",12,"Category2","Technical Institutes")</f>
        <v>0</v>
      </c>
      <c r="AH48" s="109">
        <f>+GETPIVOTDATA(" Tot # Instr. Old",'OLD Counts Pivot Table'!$A$3,"State","ga","Category",13,"Category2","Technical Institutes")</f>
        <v>0</v>
      </c>
      <c r="AI48" s="110">
        <f>+GETPIVOTDATA(" Tot # Instr. Old",'OLD Counts Pivot Table'!$A$3,"State","ga","Category",14,"Category2","Technical Institutes")</f>
        <v>0</v>
      </c>
      <c r="AJ48" s="108">
        <f>+GETPIVOTDATA(" Tot # Instr. Old",'OLD Counts Pivot Table'!$A$3,"State","AR","Category2","Technical Institutes")</f>
        <v>0</v>
      </c>
    </row>
    <row r="49" spans="1:38">
      <c r="A49" s="30"/>
      <c r="B49" s="38" t="s">
        <v>315</v>
      </c>
      <c r="C49" s="32">
        <f t="shared" si="15"/>
        <v>9.30314821365405E-2</v>
      </c>
      <c r="D49" s="34">
        <f t="shared" si="15"/>
        <v>5.2147239263803678E-2</v>
      </c>
      <c r="E49" s="236">
        <f t="shared" si="15"/>
        <v>4.2347247428917122E-2</v>
      </c>
      <c r="F49" s="34">
        <f t="shared" si="15"/>
        <v>8.0050031269543465E-2</v>
      </c>
      <c r="G49" s="34">
        <f t="shared" si="15"/>
        <v>4.6740467404674045E-2</v>
      </c>
      <c r="H49" s="118">
        <f t="shared" si="15"/>
        <v>7.2580645161290328E-2</v>
      </c>
      <c r="I49" s="32">
        <f t="shared" si="15"/>
        <v>7.0007279786459597E-2</v>
      </c>
      <c r="J49" s="32">
        <f t="shared" si="15"/>
        <v>0</v>
      </c>
      <c r="K49" s="34">
        <f t="shared" si="15"/>
        <v>2.5125628140703519E-2</v>
      </c>
      <c r="L49" s="34">
        <f t="shared" si="15"/>
        <v>1.7266187050359712E-2</v>
      </c>
      <c r="M49" s="34">
        <f t="shared" si="17"/>
        <v>1.1976047904191617E-2</v>
      </c>
      <c r="N49" s="32">
        <f t="shared" si="16"/>
        <v>1.5018773466833541E-2</v>
      </c>
      <c r="O49" s="32">
        <f t="shared" si="16"/>
        <v>0</v>
      </c>
      <c r="P49" s="34">
        <f t="shared" si="16"/>
        <v>0</v>
      </c>
      <c r="Q49" s="68">
        <f t="shared" si="16"/>
        <v>0</v>
      </c>
      <c r="R49" s="32">
        <f t="shared" si="16"/>
        <v>0</v>
      </c>
      <c r="S49" s="87"/>
      <c r="T49" s="108">
        <f>++GETPIVOTDATA(" Tot # Undes. Old",'OLD Counts Pivot Table'!$A$3,"State","ga","Category",1,"Category2","Four-Year")</f>
        <v>263</v>
      </c>
      <c r="U49" s="109">
        <f>+GETPIVOTDATA(" Tot # Undes. Old",'OLD Counts Pivot Table'!$A$3,"State","ga","Category",2,"Category2","Four-Year")</f>
        <v>51</v>
      </c>
      <c r="V49" s="109">
        <f>+GETPIVOTDATA(" Tot # Undes. Old",'OLD Counts Pivot Table'!$A$3,"State","ga","Category",3,"Category2","Four-Year")</f>
        <v>70</v>
      </c>
      <c r="W49" s="109">
        <f>+GETPIVOTDATA(" Tot # Undes. Old",'OLD Counts Pivot Table'!$A$3,"State","ga","Category",4,"Category2","Four-Year")</f>
        <v>128</v>
      </c>
      <c r="X49" s="109">
        <f>+GETPIVOTDATA(" Tot # Undes. Old",'OLD Counts Pivot Table'!$A$3,"State","ga","Category",5,"Category2","Four-Year")</f>
        <v>38</v>
      </c>
      <c r="Y49" s="109">
        <f>+GETPIVOTDATA(" Tot # Undes. Old",'OLD Counts Pivot Table'!$A$3,"State","ga","Category",6,"Category2","Four-Year")</f>
        <v>27</v>
      </c>
      <c r="Z49" s="111">
        <f>+GETPIVOTDATA(" Tot # Undes. Old",'OLD Counts Pivot Table'!$A$3,"State","ga","Category2","Four-Year")</f>
        <v>577</v>
      </c>
      <c r="AA49" s="108">
        <f>+GETPIVOTDATA(" Tot # Undes. Old",'OLD Counts Pivot Table'!$A$3,"State","ga","Category",7,"Category2","Group2")</f>
        <v>0</v>
      </c>
      <c r="AB49" s="109">
        <f>+GETPIVOTDATA(" Tot # Undes. Old",'OLD Counts Pivot Table'!$A$3,"State","ga","Category",8,"Category2","Group2")</f>
        <v>10</v>
      </c>
      <c r="AC49" s="109">
        <f>+GETPIVOTDATA(" Tot # Undes. Old",'OLD Counts Pivot Table'!$A$3,"State","ga","Category",9,"Category2","Group2")</f>
        <v>12</v>
      </c>
      <c r="AD49" s="109">
        <f>+GETPIVOTDATA(" Tot # Undes. Old",'OLD Counts Pivot Table'!$A$3,"State","ga","Category",10,"Category2","Group2")</f>
        <v>2</v>
      </c>
      <c r="AE49" s="109">
        <f>+GETPIVOTDATA(" Tot # Undes. Old",'OLD Counts Pivot Table'!$A$3,"State","ga","Category","11","Category2","Group2")</f>
        <v>0</v>
      </c>
      <c r="AF49" s="111">
        <f>+GETPIVOTDATA(" Tot # Undes. Old",'OLD Counts Pivot Table'!$A$3,"State","ga","Category2","Group2")</f>
        <v>24</v>
      </c>
      <c r="AG49" s="108">
        <f>+GETPIVOTDATA(" Tot # Undes. Old",'OLD Counts Pivot Table'!$A$3,"State","ga","Category",12,"Category2","Technical Institutes")</f>
        <v>0</v>
      </c>
      <c r="AH49" s="109">
        <f>+GETPIVOTDATA(" Tot # Undes. Old",'OLD Counts Pivot Table'!$A$3,"State","ga","Category",13,"Category2","Technical Institutes")</f>
        <v>0</v>
      </c>
      <c r="AI49" s="110">
        <f>+GETPIVOTDATA(" Tot # Undes. Old",'OLD Counts Pivot Table'!$A$3,"State","ga","Category",14,"Category2","Technical Institutes")</f>
        <v>0</v>
      </c>
      <c r="AJ49" s="108">
        <f>+GETPIVOTDATA(" Tot # Undes. Old",'OLD Counts Pivot Table'!$A$3,"State","AR","Category2","Technical Institutes")</f>
        <v>0</v>
      </c>
    </row>
    <row r="50" spans="1:38">
      <c r="A50" s="30"/>
      <c r="B50" s="38" t="s">
        <v>314</v>
      </c>
      <c r="C50" s="32">
        <f t="shared" si="15"/>
        <v>0</v>
      </c>
      <c r="D50" s="34">
        <f t="shared" si="15"/>
        <v>0</v>
      </c>
      <c r="E50" s="185">
        <f t="shared" si="15"/>
        <v>0</v>
      </c>
      <c r="F50" s="34">
        <f t="shared" si="15"/>
        <v>0</v>
      </c>
      <c r="G50" s="185">
        <f t="shared" si="15"/>
        <v>0</v>
      </c>
      <c r="H50" s="68">
        <f t="shared" si="15"/>
        <v>0</v>
      </c>
      <c r="I50" s="184">
        <f t="shared" si="15"/>
        <v>0</v>
      </c>
      <c r="J50" s="32">
        <f t="shared" si="15"/>
        <v>0</v>
      </c>
      <c r="K50" s="34">
        <f t="shared" si="15"/>
        <v>0</v>
      </c>
      <c r="L50" s="34">
        <f t="shared" si="15"/>
        <v>0</v>
      </c>
      <c r="M50" s="34">
        <f t="shared" si="17"/>
        <v>0</v>
      </c>
      <c r="N50" s="32">
        <f t="shared" si="16"/>
        <v>0</v>
      </c>
      <c r="O50" s="32">
        <f t="shared" si="16"/>
        <v>1</v>
      </c>
      <c r="P50" s="34">
        <f t="shared" si="16"/>
        <v>1</v>
      </c>
      <c r="Q50" s="68">
        <f t="shared" si="16"/>
        <v>0</v>
      </c>
      <c r="R50" s="32">
        <f t="shared" si="16"/>
        <v>0</v>
      </c>
      <c r="S50" s="87"/>
      <c r="T50" s="108">
        <f>+GETPIVOTDATA(" Tot # Single Rnk Old",'OLD Counts Pivot Table'!$A$3,"State","ga","Category",1,"Category2","Four-Year")</f>
        <v>0</v>
      </c>
      <c r="U50" s="109">
        <f>+GETPIVOTDATA(" Tot # Single Rnk Old",'OLD Counts Pivot Table'!$A$3,"State","ga","Category",2,"Category2","Four-Year")</f>
        <v>0</v>
      </c>
      <c r="V50" s="109">
        <f>+GETPIVOTDATA(" Tot # Single Rnk Old",'OLD Counts Pivot Table'!$A$3,"State","ga","Category",3,"Category2","Four-Year")</f>
        <v>0</v>
      </c>
      <c r="W50" s="109">
        <f>+GETPIVOTDATA(" Tot # Single Rnk Old",'OLD Counts Pivot Table'!$A$3,"State","ga","Category",4,"Category2","Four-Year")</f>
        <v>0</v>
      </c>
      <c r="X50" s="109">
        <f>+GETPIVOTDATA(" Tot # Single Rnk Old",'OLD Counts Pivot Table'!$A$3,"State","ga","Category",5,"Category2","Four-Year")</f>
        <v>0</v>
      </c>
      <c r="Y50" s="109">
        <f>+GETPIVOTDATA(" Tot # Single Rnk Old",'OLD Counts Pivot Table'!$A$3,"State","ga","Category",6,"Category2","Four-Year")</f>
        <v>0</v>
      </c>
      <c r="Z50" s="111">
        <f>+GETPIVOTDATA(" Tot # Single Rnk Old",'OLD Counts Pivot Table'!$A$3,"State","ga","Category2","Four-Year")</f>
        <v>0</v>
      </c>
      <c r="AA50" s="108">
        <f>+GETPIVOTDATA(" Tot # Single Rnk Old",'OLD Counts Pivot Table'!$A$3,"State","ga","Category",7,"Category2","Group2")</f>
        <v>0</v>
      </c>
      <c r="AB50" s="109">
        <f>+GETPIVOTDATA(" Tot # Single Rnk Old",'OLD Counts Pivot Table'!$A$3,"State","ga","Category",8,"Category2","Group2")</f>
        <v>0</v>
      </c>
      <c r="AC50" s="109">
        <f>+GETPIVOTDATA(" Tot # Single Rnk Old",'OLD Counts Pivot Table'!$A$3,"State","ga","Category",9,"Category2","Group2")</f>
        <v>0</v>
      </c>
      <c r="AD50" s="109">
        <f>+GETPIVOTDATA(" Tot # Single Rnk Old",'OLD Counts Pivot Table'!$A$3,"State","ga","Category",10,"Category2","Group2")</f>
        <v>0</v>
      </c>
      <c r="AE50" s="109">
        <f>+GETPIVOTDATA(" Tot # Single Rnk Old",'OLD Counts Pivot Table'!$A$3,"State","ga","Category","11","Category2","Group2")</f>
        <v>0</v>
      </c>
      <c r="AF50" s="111">
        <f>+GETPIVOTDATA(" Tot # Single Rnk Old",'OLD Counts Pivot Table'!$A$3,"State","ga","Category2","Group2")</f>
        <v>0</v>
      </c>
      <c r="AG50" s="108">
        <f>+GETPIVOTDATA(" Tot # Single Rnk Old",'OLD Counts Pivot Table'!$A$3,"State","ga","Category",12,"Category2","Technical Institutes")</f>
        <v>2079</v>
      </c>
      <c r="AH50" s="109">
        <f>+GETPIVOTDATA(" Tot # Single Rnk Old",'OLD Counts Pivot Table'!$A$3,"State","ga","Category",13,"Category2","Technical Institutes")</f>
        <v>30</v>
      </c>
      <c r="AI50" s="110">
        <f>+GETPIVOTDATA(" Tot # Single Rnk Old",'OLD Counts Pivot Table'!$A$3,"State","ga","Category",14,"Category2","Technical Institutes")</f>
        <v>0</v>
      </c>
      <c r="AJ50" s="108">
        <f>+GETPIVOTDATA(" Tot # Single Rnk Old",'OLD Counts Pivot Table'!$A$3,"State","AR","Category2","Technical Institutes")</f>
        <v>0</v>
      </c>
    </row>
    <row r="51" spans="1:38" s="54" customFormat="1">
      <c r="A51" s="191"/>
      <c r="B51" s="192" t="s">
        <v>316</v>
      </c>
      <c r="C51" s="33">
        <f t="shared" si="15"/>
        <v>1</v>
      </c>
      <c r="D51" s="31">
        <f t="shared" si="15"/>
        <v>1</v>
      </c>
      <c r="E51" s="31">
        <f t="shared" si="15"/>
        <v>1</v>
      </c>
      <c r="F51" s="31">
        <f t="shared" si="15"/>
        <v>1</v>
      </c>
      <c r="G51" s="31">
        <f t="shared" si="15"/>
        <v>1</v>
      </c>
      <c r="H51" s="69">
        <f t="shared" si="15"/>
        <v>1</v>
      </c>
      <c r="I51" s="33">
        <f t="shared" si="15"/>
        <v>1</v>
      </c>
      <c r="J51" s="33">
        <f t="shared" si="15"/>
        <v>1</v>
      </c>
      <c r="K51" s="31">
        <f t="shared" si="15"/>
        <v>1</v>
      </c>
      <c r="L51" s="31">
        <f t="shared" si="15"/>
        <v>1</v>
      </c>
      <c r="M51" s="31">
        <f t="shared" si="17"/>
        <v>1</v>
      </c>
      <c r="N51" s="33">
        <f t="shared" si="16"/>
        <v>1</v>
      </c>
      <c r="O51" s="33">
        <f t="shared" si="16"/>
        <v>1</v>
      </c>
      <c r="P51" s="31">
        <f t="shared" si="16"/>
        <v>1</v>
      </c>
      <c r="Q51" s="69">
        <f t="shared" si="16"/>
        <v>0</v>
      </c>
      <c r="R51" s="33">
        <f t="shared" si="16"/>
        <v>0</v>
      </c>
      <c r="S51" s="88"/>
      <c r="T51" s="112">
        <f>+GETPIVOTDATA(" All Ranks # Old",'OLD Counts Pivot Table'!$A$3,"State","ga","Category",1,"Category2","Four-Year")</f>
        <v>2827</v>
      </c>
      <c r="U51" s="113">
        <f>+GETPIVOTDATA(" All Ranks # Old",'OLD Counts Pivot Table'!$A$3,"State","ga","Category",2,"Category2","Four-Year")</f>
        <v>978</v>
      </c>
      <c r="V51" s="113">
        <f>+GETPIVOTDATA(" All Ranks # Old",'OLD Counts Pivot Table'!$A$3,"State","ga","Category",3,"Category2","Four-Year")</f>
        <v>1653</v>
      </c>
      <c r="W51" s="113">
        <f>+GETPIVOTDATA(" All Ranks # Old",'OLD Counts Pivot Table'!$A$3,"State","ga","Category",4,"Category2","Four-Year")</f>
        <v>1599</v>
      </c>
      <c r="X51" s="113">
        <f>+GETPIVOTDATA(" All Ranks # Old",'OLD Counts Pivot Table'!$A$3,"State","ga","Category",5,"Category2","Four-Year")</f>
        <v>813</v>
      </c>
      <c r="Y51" s="113">
        <f>+GETPIVOTDATA(" All Ranks # Old",'OLD Counts Pivot Table'!$A$3,"State","ga","Category",6,"Category2","Four-Year")</f>
        <v>372</v>
      </c>
      <c r="Z51" s="115">
        <f>+GETPIVOTDATA(" All Ranks # Old",'OLD Counts Pivot Table'!$A$3,"State","ga","Category2","Four-Year")</f>
        <v>8242</v>
      </c>
      <c r="AA51" s="112">
        <f>+GETPIVOTDATA(" All Ranks # Old",'OLD Counts Pivot Table'!$A$3,"State","ga","Category",7,"Category2","Group2")</f>
        <v>338</v>
      </c>
      <c r="AB51" s="113">
        <f>+GETPIVOTDATA(" All Ranks # Old",'OLD Counts Pivot Table'!$A$3,"State","ga","Category",8,"Category2","Group2")</f>
        <v>398</v>
      </c>
      <c r="AC51" s="113">
        <f>+GETPIVOTDATA(" All Ranks # Old",'OLD Counts Pivot Table'!$A$3,"State","ga","Category",9,"Category2","Group2")</f>
        <v>695</v>
      </c>
      <c r="AD51" s="113">
        <f>+GETPIVOTDATA(" All Ranks # Old",'OLD Counts Pivot Table'!$A$3,"State","ga","Category",10,"Category2","Group2")</f>
        <v>167</v>
      </c>
      <c r="AE51" s="113">
        <f>+GETPIVOTDATA(" All Ranks # Old",'OLD Counts Pivot Table'!$A$3,"State","ga","Category","11","Category2","Group2")</f>
        <v>0</v>
      </c>
      <c r="AF51" s="115">
        <f>+GETPIVOTDATA(" All Ranks # Old",'OLD Counts Pivot Table'!$A$3,"State","ga","Category2","Group2")</f>
        <v>1598</v>
      </c>
      <c r="AG51" s="112">
        <f>+GETPIVOTDATA(" All Ranks # Old",'OLD Counts Pivot Table'!$A$3,"State","ga","Category",12,"Category2","Technical Institutes")</f>
        <v>2079</v>
      </c>
      <c r="AH51" s="113">
        <f>+GETPIVOTDATA(" All Ranks # Old",'OLD Counts Pivot Table'!$A$3,"State","ga","Category",13,"Category2","Technical Institutes")</f>
        <v>30</v>
      </c>
      <c r="AI51" s="114">
        <f>+GETPIVOTDATA(" All Ranks # Old",'OLD Counts Pivot Table'!$A$3,"State","ga","Category",14,"Category2","Technical Institutes")</f>
        <v>0</v>
      </c>
      <c r="AJ51" s="112">
        <f>+GETPIVOTDATA(" All Ranks # Old",'OLD Counts Pivot Table'!$A$3,"State","AR","Category2","Technical Institutes")</f>
        <v>0</v>
      </c>
      <c r="AK51" s="116"/>
      <c r="AL51" s="116"/>
    </row>
    <row r="52" spans="1:38">
      <c r="A52" s="38" t="s">
        <v>348</v>
      </c>
      <c r="B52" s="35" t="s">
        <v>332</v>
      </c>
      <c r="C52" s="36">
        <f t="shared" ref="C52:M58" si="18">IF(T$58&gt;0,(T52/T$58),0)</f>
        <v>0.35044330377974803</v>
      </c>
      <c r="D52" s="37">
        <f t="shared" si="18"/>
        <v>0</v>
      </c>
      <c r="E52" s="37">
        <f t="shared" si="18"/>
        <v>0.19851231985123199</v>
      </c>
      <c r="F52" s="37">
        <f t="shared" si="18"/>
        <v>0.16666666666666666</v>
      </c>
      <c r="G52" s="37">
        <f t="shared" si="18"/>
        <v>0</v>
      </c>
      <c r="H52" s="67">
        <f t="shared" si="18"/>
        <v>0</v>
      </c>
      <c r="I52" s="36">
        <f t="shared" si="18"/>
        <v>0.25999192571659263</v>
      </c>
      <c r="J52" s="36">
        <f t="shared" si="18"/>
        <v>0</v>
      </c>
      <c r="K52" s="37">
        <f t="shared" si="18"/>
        <v>0.28731343283582089</v>
      </c>
      <c r="L52" s="37">
        <f t="shared" si="18"/>
        <v>0.35771543086172347</v>
      </c>
      <c r="M52" s="37">
        <f t="shared" si="18"/>
        <v>0.44394618834080718</v>
      </c>
      <c r="N52" s="36">
        <f t="shared" ref="N52:R58" si="19">IF(AF$58&gt;0,(AF52/AF$58),0)</f>
        <v>0.34718269778030736</v>
      </c>
      <c r="O52" s="36">
        <f t="shared" si="19"/>
        <v>6.2068965517241378E-2</v>
      </c>
      <c r="P52" s="37">
        <f t="shared" si="19"/>
        <v>0</v>
      </c>
      <c r="Q52" s="67">
        <f t="shared" si="19"/>
        <v>0</v>
      </c>
      <c r="R52" s="36">
        <f t="shared" si="19"/>
        <v>0</v>
      </c>
      <c r="S52" s="117"/>
      <c r="T52" s="104">
        <f>+GETPIVOTDATA(" Total # Prof Old",'OLD Counts Pivot Table'!$A$3,"State","ky","Category",1,"Category2","Four-Year")</f>
        <v>751</v>
      </c>
      <c r="U52" s="105">
        <f>+GETPIVOTDATA(" Total # Prof Old",'OLD Counts Pivot Table'!$A$3,"State","ky","Category",2,"Category2","Four-Year")</f>
        <v>0</v>
      </c>
      <c r="V52" s="105">
        <f>+GETPIVOTDATA(" Total # Prof Old",'OLD Counts Pivot Table'!$A$3,"State","ky","Category",3,"Category2","Four-Year")</f>
        <v>427</v>
      </c>
      <c r="W52" s="105">
        <f>+GETPIVOTDATA(" Total # Prof Old",'OLD Counts Pivot Table'!$A$3,"State","ky","Category",4,"Category2","Four-Year")</f>
        <v>110</v>
      </c>
      <c r="X52" s="105">
        <f>+GETPIVOTDATA(" Total # Prof Old",'OLD Counts Pivot Table'!$A$3,"State","ky","Category",5,"Category2","Four-Year")</f>
        <v>0</v>
      </c>
      <c r="Y52" s="105">
        <f>+GETPIVOTDATA(" Total # Prof Old",'OLD Counts Pivot Table'!$A$3,"State","ky","Category",6,"Category2","Four-Year")</f>
        <v>0</v>
      </c>
      <c r="Z52" s="107">
        <f>+GETPIVOTDATA(" Total # Prof Old",'OLD Counts Pivot Table'!$A$3,"State","ky","Category2","Four-Year")</f>
        <v>1288</v>
      </c>
      <c r="AA52" s="104">
        <f>+GETPIVOTDATA(" Total # Prof Old",'OLD Counts Pivot Table'!$A$3,"State","ky","Category",7,"Category2","Group2")</f>
        <v>0</v>
      </c>
      <c r="AB52" s="105">
        <f>+GETPIVOTDATA(" Total # Prof Old",'OLD Counts Pivot Table'!$A$3,"State","ky","Category",8,"Category2","Group2")</f>
        <v>154</v>
      </c>
      <c r="AC52" s="105">
        <f>+GETPIVOTDATA(" Total # Prof Old",'OLD Counts Pivot Table'!$A$3,"State","ky","Category",9,"Category2","Group2")</f>
        <v>357</v>
      </c>
      <c r="AD52" s="105">
        <f>+GETPIVOTDATA(" Total # Prof Old",'OLD Counts Pivot Table'!$A$3,"State","ky","Category",10,"Category2","Group2")</f>
        <v>99</v>
      </c>
      <c r="AE52" s="105">
        <f>+GETPIVOTDATA(" Total # Prof Old",'OLD Counts Pivot Table'!$A$3,"State","ky","Category","11","Category2","Group2")</f>
        <v>0</v>
      </c>
      <c r="AF52" s="107">
        <f>+GETPIVOTDATA(" Total # Prof Old",'OLD Counts Pivot Table'!$A$3,"State","ky","Category2","Group2")</f>
        <v>610</v>
      </c>
      <c r="AG52" s="104">
        <f>+GETPIVOTDATA(" Total # Prof Old",'OLD Counts Pivot Table'!$A$3,"State","ky","Category",12,"Category2","Technical Institutes")</f>
        <v>9</v>
      </c>
      <c r="AH52" s="105">
        <f>+GETPIVOTDATA(" Total # Prof Old",'OLD Counts Pivot Table'!$A$3,"State","ky","Category",13,"Category2","Technical Institutes")</f>
        <v>0</v>
      </c>
      <c r="AI52" s="106">
        <f>+GETPIVOTDATA(" Total # Prof Old",'OLD Counts Pivot Table'!$A$3,"State","ky","Category",14,"Category2","Technical Institutes")</f>
        <v>0</v>
      </c>
      <c r="AJ52" s="104">
        <f>+GETPIVOTDATA(" Total # Prof Old",'OLD Counts Pivot Table'!$A$3,"State","AR","Category2","Technical Institutes")</f>
        <v>0</v>
      </c>
    </row>
    <row r="53" spans="1:38">
      <c r="A53" s="30"/>
      <c r="B53" s="38" t="s">
        <v>333</v>
      </c>
      <c r="C53" s="32">
        <f t="shared" si="18"/>
        <v>0.28511432571161921</v>
      </c>
      <c r="D53" s="34">
        <f t="shared" si="18"/>
        <v>0</v>
      </c>
      <c r="E53" s="34">
        <f t="shared" si="18"/>
        <v>0.26220362622036264</v>
      </c>
      <c r="F53" s="34">
        <f t="shared" si="18"/>
        <v>0.26515151515151514</v>
      </c>
      <c r="G53" s="34">
        <f t="shared" si="18"/>
        <v>0</v>
      </c>
      <c r="H53" s="68">
        <f t="shared" si="18"/>
        <v>0</v>
      </c>
      <c r="I53" s="32">
        <f t="shared" si="18"/>
        <v>0.27250706499798144</v>
      </c>
      <c r="J53" s="32">
        <f t="shared" si="18"/>
        <v>0</v>
      </c>
      <c r="K53" s="34">
        <f t="shared" si="18"/>
        <v>0.40485074626865669</v>
      </c>
      <c r="L53" s="34">
        <f t="shared" si="18"/>
        <v>0.30360721442885774</v>
      </c>
      <c r="M53" s="34">
        <f t="shared" ref="M53:M58" si="20">IF(AD$58&gt;0,(AD53/AD$58),0)</f>
        <v>0.27802690582959644</v>
      </c>
      <c r="N53" s="32">
        <f t="shared" si="19"/>
        <v>0.33124644280022764</v>
      </c>
      <c r="O53" s="32">
        <f t="shared" si="19"/>
        <v>0.22758620689655173</v>
      </c>
      <c r="P53" s="34">
        <f t="shared" si="19"/>
        <v>0</v>
      </c>
      <c r="Q53" s="68">
        <f t="shared" si="19"/>
        <v>0</v>
      </c>
      <c r="R53" s="32">
        <f t="shared" si="19"/>
        <v>0</v>
      </c>
      <c r="S53" s="87"/>
      <c r="T53" s="108">
        <f>+GETPIVOTDATA(" Tot # Asc. Prof Old",'OLD Counts Pivot Table'!$A$3,"State","ky","Category",1,"Category2","Four-Year")</f>
        <v>611</v>
      </c>
      <c r="U53" s="109">
        <f>+GETPIVOTDATA(" Tot # Asc. Prof Old",'OLD Counts Pivot Table'!$A$3,"State","ky","Category",2,"Category2","Four-Year")</f>
        <v>0</v>
      </c>
      <c r="V53" s="109">
        <f>+GETPIVOTDATA(" Tot # Asc. Prof Old",'OLD Counts Pivot Table'!$A$3,"State","ky","Category",3,"Category2","Four-Year")</f>
        <v>564</v>
      </c>
      <c r="W53" s="109">
        <f>+GETPIVOTDATA(" Tot # Asc. Prof Old",'OLD Counts Pivot Table'!$A$3,"State","ky","Category",4,"Category2","Four-Year")</f>
        <v>175</v>
      </c>
      <c r="X53" s="109">
        <f>+GETPIVOTDATA(" Tot # Asc. Prof Old",'OLD Counts Pivot Table'!$A$3,"State","ky","Category",5,"Category2","Four-Year")</f>
        <v>0</v>
      </c>
      <c r="Y53" s="109">
        <f>+GETPIVOTDATA(" Tot # Asc. Prof Old",'OLD Counts Pivot Table'!$A$3,"State","ky","Category",6,"Category2","Four-Year")</f>
        <v>0</v>
      </c>
      <c r="Z53" s="111">
        <f>+GETPIVOTDATA(" Tot # Asc. Prof Old",'OLD Counts Pivot Table'!$A$3,"State","ky","Category2","Four-Year")</f>
        <v>1350</v>
      </c>
      <c r="AA53" s="108">
        <f>+GETPIVOTDATA(" Tot # Asc. Prof Old",'OLD Counts Pivot Table'!$A$3,"State","ky","Category",7,"Category2","Group2")</f>
        <v>0</v>
      </c>
      <c r="AB53" s="109">
        <f>+GETPIVOTDATA(" Tot # Asc. Prof Old",'OLD Counts Pivot Table'!$A$3,"State","ky","Category",8,"Category2","Group2")</f>
        <v>217</v>
      </c>
      <c r="AC53" s="109">
        <f>+GETPIVOTDATA(" Tot # Asc. Prof Old",'OLD Counts Pivot Table'!$A$3,"State","ky","Category",9,"Category2","Group2")</f>
        <v>303</v>
      </c>
      <c r="AD53" s="109">
        <f>+GETPIVOTDATA(" Tot # Asc. Prof Old",'OLD Counts Pivot Table'!$A$3,"State","ky","Category",10,"Category2","Group2")</f>
        <v>62</v>
      </c>
      <c r="AE53" s="109">
        <f>+GETPIVOTDATA(" Tot # Asc. Prof Old",'OLD Counts Pivot Table'!$A$3,"State","ky","Category","11","Category2","Group2")</f>
        <v>0</v>
      </c>
      <c r="AF53" s="111">
        <f>+GETPIVOTDATA(" Tot # Asc. Prof Old",'OLD Counts Pivot Table'!$A$3,"State","ky","Category2","Group2")</f>
        <v>582</v>
      </c>
      <c r="AG53" s="108">
        <f>+GETPIVOTDATA(" Tot # Asc. Prof Old",'OLD Counts Pivot Table'!$A$3,"State","ky","Category",12,"Category2","Technical Institutes")</f>
        <v>33</v>
      </c>
      <c r="AH53" s="109">
        <f>+GETPIVOTDATA(" Tot # Asc. Prof Old",'OLD Counts Pivot Table'!$A$3,"State","ky","Category",13,"Category2","Technical Institutes")</f>
        <v>0</v>
      </c>
      <c r="AI53" s="110">
        <f>+GETPIVOTDATA(" Tot # Asc. Prof Old",'OLD Counts Pivot Table'!$A$3,"State","ky","Category",14,"Category2","Technical Institutes")</f>
        <v>0</v>
      </c>
      <c r="AJ53" s="108">
        <f>+GETPIVOTDATA(" Tot # Asc. Prof Old",'OLD Counts Pivot Table'!$A$3,"State","AR","Category2","Technical Institutes")</f>
        <v>0</v>
      </c>
    </row>
    <row r="54" spans="1:38">
      <c r="A54" s="30"/>
      <c r="B54" s="38" t="s">
        <v>334</v>
      </c>
      <c r="C54" s="32">
        <f t="shared" si="18"/>
        <v>0.26318245450303313</v>
      </c>
      <c r="D54" s="34">
        <f t="shared" si="18"/>
        <v>0</v>
      </c>
      <c r="E54" s="34">
        <f t="shared" si="18"/>
        <v>0.2789400278940028</v>
      </c>
      <c r="F54" s="34">
        <f t="shared" si="18"/>
        <v>0.30757575757575756</v>
      </c>
      <c r="G54" s="34">
        <f t="shared" si="18"/>
        <v>0</v>
      </c>
      <c r="H54" s="68">
        <f t="shared" si="18"/>
        <v>0</v>
      </c>
      <c r="I54" s="32">
        <f t="shared" si="18"/>
        <v>0.27593863544610414</v>
      </c>
      <c r="J54" s="32">
        <f t="shared" si="18"/>
        <v>0</v>
      </c>
      <c r="K54" s="34">
        <f t="shared" si="18"/>
        <v>0.17910447761194029</v>
      </c>
      <c r="L54" s="34">
        <f t="shared" si="18"/>
        <v>0.14629258517034069</v>
      </c>
      <c r="M54" s="34">
        <f t="shared" si="20"/>
        <v>0.12556053811659193</v>
      </c>
      <c r="N54" s="32">
        <f t="shared" si="19"/>
        <v>0.15367103016505407</v>
      </c>
      <c r="O54" s="32">
        <f t="shared" si="19"/>
        <v>0.2620689655172414</v>
      </c>
      <c r="P54" s="34">
        <f t="shared" si="19"/>
        <v>0</v>
      </c>
      <c r="Q54" s="68">
        <f t="shared" si="19"/>
        <v>0</v>
      </c>
      <c r="R54" s="32">
        <f t="shared" si="19"/>
        <v>0</v>
      </c>
      <c r="S54" s="87"/>
      <c r="T54" s="108">
        <f>+GETPIVOTDATA(" Tot # Ast. Prof Old",'OLD Counts Pivot Table'!$A$3,"State","ky","Category",1,"Category2","Four-Year")</f>
        <v>564</v>
      </c>
      <c r="U54" s="109">
        <f>+GETPIVOTDATA(" Tot # Ast. Prof Old",'OLD Counts Pivot Table'!$A$3,"State","ky","Category",2,"Category2","Four-Year")</f>
        <v>0</v>
      </c>
      <c r="V54" s="109">
        <f>+GETPIVOTDATA(" Tot # Ast. Prof Old",'OLD Counts Pivot Table'!$A$3,"State","ky","Category",3,"Category2","Four-Year")</f>
        <v>600</v>
      </c>
      <c r="W54" s="109">
        <f>+GETPIVOTDATA(" Tot # Ast. Prof Old",'OLD Counts Pivot Table'!$A$3,"State","ky","Category",4,"Category2","Four-Year")</f>
        <v>203</v>
      </c>
      <c r="X54" s="109">
        <f>+GETPIVOTDATA(" Tot # Ast. Prof Old",'OLD Counts Pivot Table'!$A$3,"State","ky","Category",5,"Category2","Four-Year")</f>
        <v>0</v>
      </c>
      <c r="Y54" s="109">
        <f>+GETPIVOTDATA(" Tot # Ast. Prof Old",'OLD Counts Pivot Table'!$A$3,"State","ky","Category",6,"Category2","Four-Year")</f>
        <v>0</v>
      </c>
      <c r="Z54" s="111">
        <f>+GETPIVOTDATA(" Tot # Ast. Prof Old",'OLD Counts Pivot Table'!$A$3,"State","ky","Category2","Four-Year")</f>
        <v>1367</v>
      </c>
      <c r="AA54" s="108">
        <f>+GETPIVOTDATA(" Tot # Ast. Prof Old",'OLD Counts Pivot Table'!$A$3,"State","ky","Category",7,"Category2","Group2")</f>
        <v>0</v>
      </c>
      <c r="AB54" s="109">
        <f>+GETPIVOTDATA(" Tot # Ast. Prof Old",'OLD Counts Pivot Table'!$A$3,"State","ky","Category",8,"Category2","Group2")</f>
        <v>96</v>
      </c>
      <c r="AC54" s="109">
        <f>+GETPIVOTDATA(" Tot # Ast. Prof Old",'OLD Counts Pivot Table'!$A$3,"State","ky","Category",9,"Category2","Group2")</f>
        <v>146</v>
      </c>
      <c r="AD54" s="109">
        <f>+GETPIVOTDATA(" Tot # Ast. Prof Old",'OLD Counts Pivot Table'!$A$3,"State","ky","Category",10,"Category2","Group2")</f>
        <v>28</v>
      </c>
      <c r="AE54" s="109">
        <f>+GETPIVOTDATA(" Tot # Ast. Prof Old",'OLD Counts Pivot Table'!$A$3,"State","ky","Category","11","Category2","Group2")</f>
        <v>0</v>
      </c>
      <c r="AF54" s="111">
        <f>+GETPIVOTDATA(" Tot # Ast. Prof Old",'OLD Counts Pivot Table'!$A$3,"State","ky","Category2","Group2")</f>
        <v>270</v>
      </c>
      <c r="AG54" s="108">
        <f>+GETPIVOTDATA(" Tot # Ast. Prof Old",'OLD Counts Pivot Table'!$A$3,"State","ky","Category",12,"Category2","Technical Institutes")</f>
        <v>38</v>
      </c>
      <c r="AH54" s="109">
        <f>+GETPIVOTDATA(" Tot # Ast. Prof Old",'OLD Counts Pivot Table'!$A$3,"State","ky","Category",13,"Category2","Technical Institutes")</f>
        <v>0</v>
      </c>
      <c r="AI54" s="110">
        <f>+GETPIVOTDATA(" Tot # Ast. Prof Old",'OLD Counts Pivot Table'!$A$3,"State","ky","Category",14,"Category2","Technical Institutes")</f>
        <v>0</v>
      </c>
      <c r="AJ54" s="108">
        <f>+GETPIVOTDATA(" Tot # Ast. Prof Old",'OLD Counts Pivot Table'!$A$3,"State","AR","Category2","Technical Institutes")</f>
        <v>0</v>
      </c>
    </row>
    <row r="55" spans="1:38">
      <c r="A55" s="30"/>
      <c r="B55" s="38" t="s">
        <v>335</v>
      </c>
      <c r="C55" s="237">
        <f t="shared" si="18"/>
        <v>4.4797013532431172E-2</v>
      </c>
      <c r="D55" s="34">
        <f t="shared" si="18"/>
        <v>0</v>
      </c>
      <c r="E55" s="34">
        <f t="shared" si="18"/>
        <v>0.12133891213389121</v>
      </c>
      <c r="F55" s="34">
        <f t="shared" si="18"/>
        <v>2.8787878787878789E-2</v>
      </c>
      <c r="G55" s="34">
        <f t="shared" si="18"/>
        <v>0</v>
      </c>
      <c r="H55" s="68">
        <f t="shared" si="18"/>
        <v>0</v>
      </c>
      <c r="I55" s="32">
        <f t="shared" si="18"/>
        <v>7.5898264029067422E-2</v>
      </c>
      <c r="J55" s="32">
        <f t="shared" si="18"/>
        <v>0</v>
      </c>
      <c r="K55" s="34">
        <f t="shared" si="18"/>
        <v>0.1287313432835821</v>
      </c>
      <c r="L55" s="34">
        <f t="shared" si="18"/>
        <v>0.19238476953907815</v>
      </c>
      <c r="M55" s="34">
        <f t="shared" si="20"/>
        <v>0.15246636771300448</v>
      </c>
      <c r="N55" s="32">
        <f t="shared" si="19"/>
        <v>0.16789982925441094</v>
      </c>
      <c r="O55" s="32">
        <f t="shared" si="19"/>
        <v>0.44827586206896552</v>
      </c>
      <c r="P55" s="34">
        <f t="shared" si="19"/>
        <v>0</v>
      </c>
      <c r="Q55" s="68">
        <f t="shared" si="19"/>
        <v>0</v>
      </c>
      <c r="R55" s="32">
        <f t="shared" si="19"/>
        <v>0</v>
      </c>
      <c r="S55" s="87"/>
      <c r="T55" s="108">
        <f>+GETPIVOTDATA(" Tot # Instr. Old",'OLD Counts Pivot Table'!$A$3,"State","ky","Category",1,"Category2","Four-Year")</f>
        <v>96</v>
      </c>
      <c r="U55" s="109">
        <f>+GETPIVOTDATA(" Tot # Instr. Old",'OLD Counts Pivot Table'!$A$3,"State","ky","Category",2,"Category2","Four-Year")</f>
        <v>0</v>
      </c>
      <c r="V55" s="109">
        <f>+GETPIVOTDATA(" Tot # Instr. Old",'OLD Counts Pivot Table'!$A$3,"State","ky","Category",3,"Category2","Four-Year")</f>
        <v>261</v>
      </c>
      <c r="W55" s="109">
        <f>+GETPIVOTDATA(" Tot # Instr. Old",'OLD Counts Pivot Table'!$A$3,"State","ky","Category",4,"Category2","Four-Year")</f>
        <v>19</v>
      </c>
      <c r="X55" s="109">
        <f>+GETPIVOTDATA(" Tot # Instr. Old",'OLD Counts Pivot Table'!$A$3,"State","ky","Category",5,"Category2","Four-Year")</f>
        <v>0</v>
      </c>
      <c r="Y55" s="109">
        <f>+GETPIVOTDATA(" Tot # Instr. Old",'OLD Counts Pivot Table'!$A$3,"State","ky","Category",6,"Category2","Four-Year")</f>
        <v>0</v>
      </c>
      <c r="Z55" s="111">
        <f>+GETPIVOTDATA(" Tot # Instr. Old",'OLD Counts Pivot Table'!$A$3,"State","ky","Category2","Four-Year")</f>
        <v>376</v>
      </c>
      <c r="AA55" s="108">
        <f>+GETPIVOTDATA(" Tot # Instr. Old",'OLD Counts Pivot Table'!$A$3,"State","ky","Category",7,"Category2","Group2")</f>
        <v>0</v>
      </c>
      <c r="AB55" s="109">
        <f>+GETPIVOTDATA(" Tot # Instr. Old",'OLD Counts Pivot Table'!$A$3,"State","ky","Category",8,"Category2","Group2")</f>
        <v>69</v>
      </c>
      <c r="AC55" s="109">
        <f>+GETPIVOTDATA(" Tot # Instr. Old",'OLD Counts Pivot Table'!$A$3,"State","ky","Category",9,"Category2","Group2")</f>
        <v>192</v>
      </c>
      <c r="AD55" s="109">
        <f>+GETPIVOTDATA(" Tot # Instr. Old",'OLD Counts Pivot Table'!$A$3,"State","ky","Category",10,"Category2","Group2")</f>
        <v>34</v>
      </c>
      <c r="AE55" s="109">
        <f>+GETPIVOTDATA(" Tot # Instr. Old",'OLD Counts Pivot Table'!$A$3,"State","ky","Category","11","Category2","Group2")</f>
        <v>0</v>
      </c>
      <c r="AF55" s="111">
        <f>+GETPIVOTDATA(" Tot # Instr. Old",'OLD Counts Pivot Table'!$A$3,"State","ky","Category2","Group2")</f>
        <v>295</v>
      </c>
      <c r="AG55" s="108">
        <f>+GETPIVOTDATA(" Tot # Instr. Old",'OLD Counts Pivot Table'!$A$3,"State","ky","Category",12,"Category2","Technical Institutes")</f>
        <v>65</v>
      </c>
      <c r="AH55" s="109">
        <f>+GETPIVOTDATA(" Tot # Instr. Old",'OLD Counts Pivot Table'!$A$3,"State","ky","Category",13,"Category2","Technical Institutes")</f>
        <v>0</v>
      </c>
      <c r="AI55" s="110">
        <f>+GETPIVOTDATA(" Tot # Instr. Old",'OLD Counts Pivot Table'!$A$3,"State","ky","Category",14,"Category2","Technical Institutes")</f>
        <v>0</v>
      </c>
      <c r="AJ55" s="108">
        <f>+GETPIVOTDATA(" Tot # Instr. Old",'OLD Counts Pivot Table'!$A$3,"State","AR","Category2","Technical Institutes")</f>
        <v>0</v>
      </c>
    </row>
    <row r="56" spans="1:38">
      <c r="A56" s="30"/>
      <c r="B56" s="38" t="s">
        <v>315</v>
      </c>
      <c r="C56" s="32">
        <f t="shared" si="18"/>
        <v>5.6462902473168458E-2</v>
      </c>
      <c r="D56" s="236">
        <f t="shared" si="18"/>
        <v>0</v>
      </c>
      <c r="E56" s="34">
        <f t="shared" si="18"/>
        <v>0.1390051139005114</v>
      </c>
      <c r="F56" s="34">
        <f t="shared" si="18"/>
        <v>0.23181818181818181</v>
      </c>
      <c r="G56" s="34">
        <f t="shared" si="18"/>
        <v>0</v>
      </c>
      <c r="H56" s="68">
        <f t="shared" si="18"/>
        <v>0</v>
      </c>
      <c r="I56" s="32">
        <f t="shared" si="18"/>
        <v>0.11566410981025434</v>
      </c>
      <c r="J56" s="32">
        <f t="shared" si="18"/>
        <v>0</v>
      </c>
      <c r="K56" s="34">
        <f t="shared" si="18"/>
        <v>0</v>
      </c>
      <c r="L56" s="34">
        <f t="shared" si="18"/>
        <v>0</v>
      </c>
      <c r="M56" s="34">
        <f t="shared" si="20"/>
        <v>0</v>
      </c>
      <c r="N56" s="32">
        <f t="shared" si="19"/>
        <v>0</v>
      </c>
      <c r="O56" s="32">
        <f t="shared" si="19"/>
        <v>0</v>
      </c>
      <c r="P56" s="34">
        <f t="shared" si="19"/>
        <v>0</v>
      </c>
      <c r="Q56" s="68">
        <f t="shared" si="19"/>
        <v>0</v>
      </c>
      <c r="R56" s="32">
        <f t="shared" si="19"/>
        <v>0</v>
      </c>
      <c r="S56" s="87"/>
      <c r="T56" s="108">
        <f>++GETPIVOTDATA(" Tot # Undes. Old",'OLD Counts Pivot Table'!$A$3,"State","ky","Category",1,"Category2","Four-Year")</f>
        <v>121</v>
      </c>
      <c r="U56" s="109">
        <f>+GETPIVOTDATA(" Tot # Undes. Old",'OLD Counts Pivot Table'!$A$3,"State","ky","Category",2,"Category2","Four-Year")</f>
        <v>0</v>
      </c>
      <c r="V56" s="109">
        <f>+GETPIVOTDATA(" Tot # Undes. Old",'OLD Counts Pivot Table'!$A$3,"State","ky","Category",3,"Category2","Four-Year")</f>
        <v>299</v>
      </c>
      <c r="W56" s="109">
        <f>+GETPIVOTDATA(" Tot # Undes. Old",'OLD Counts Pivot Table'!$A$3,"State","ky","Category",4,"Category2","Four-Year")</f>
        <v>153</v>
      </c>
      <c r="X56" s="109">
        <f>+GETPIVOTDATA(" Tot # Undes. Old",'OLD Counts Pivot Table'!$A$3,"State","ky","Category",5,"Category2","Four-Year")</f>
        <v>0</v>
      </c>
      <c r="Y56" s="109">
        <f>+GETPIVOTDATA(" Tot # Undes. Old",'OLD Counts Pivot Table'!$A$3,"State","ky","Category",6,"Category2","Four-Year")</f>
        <v>0</v>
      </c>
      <c r="Z56" s="111">
        <f>+GETPIVOTDATA(" Tot # Undes. Old",'OLD Counts Pivot Table'!$A$3,"State","ky","Category2","Four-Year")</f>
        <v>573</v>
      </c>
      <c r="AA56" s="108">
        <f>+GETPIVOTDATA(" Tot # Undes. Old",'OLD Counts Pivot Table'!$A$3,"State","ky","Category",7,"Category2","Group2")</f>
        <v>0</v>
      </c>
      <c r="AB56" s="109">
        <f>+GETPIVOTDATA(" Tot # Undes. Old",'OLD Counts Pivot Table'!$A$3,"State","ky","Category",8,"Category2","Group2")</f>
        <v>0</v>
      </c>
      <c r="AC56" s="109">
        <f>+GETPIVOTDATA(" Tot # Undes. Old",'OLD Counts Pivot Table'!$A$3,"State","ky","Category",9,"Category2","Group2")</f>
        <v>0</v>
      </c>
      <c r="AD56" s="109">
        <f>+GETPIVOTDATA(" Tot # Undes. Old",'OLD Counts Pivot Table'!$A$3,"State","ky","Category",10,"Category2","Group2")</f>
        <v>0</v>
      </c>
      <c r="AE56" s="109">
        <f>+GETPIVOTDATA(" Tot # Undes. Old",'OLD Counts Pivot Table'!$A$3,"State","ky","Category","11","Category2","Group2")</f>
        <v>0</v>
      </c>
      <c r="AF56" s="111">
        <f>+GETPIVOTDATA(" Tot # Undes. Old",'OLD Counts Pivot Table'!$A$3,"State","ky","Category2","Group2")</f>
        <v>0</v>
      </c>
      <c r="AG56" s="108">
        <f>+GETPIVOTDATA(" Tot # Undes. Old",'OLD Counts Pivot Table'!$A$3,"State","ky","Category",12,"Category2","Technical Institutes")</f>
        <v>0</v>
      </c>
      <c r="AH56" s="109">
        <f>+GETPIVOTDATA(" Tot # Undes. Old",'OLD Counts Pivot Table'!$A$3,"State","ky","Category",13,"Category2","Technical Institutes")</f>
        <v>0</v>
      </c>
      <c r="AI56" s="110">
        <f>+GETPIVOTDATA(" Tot # Undes. Old",'OLD Counts Pivot Table'!$A$3,"State","ky","Category",14,"Category2","Technical Institutes")</f>
        <v>0</v>
      </c>
      <c r="AJ56" s="108">
        <f>+GETPIVOTDATA(" Tot # Undes. Old",'OLD Counts Pivot Table'!$A$3,"State","AR","Category2","Technical Institutes")</f>
        <v>0</v>
      </c>
    </row>
    <row r="57" spans="1:38">
      <c r="A57" s="30"/>
      <c r="B57" s="38" t="s">
        <v>314</v>
      </c>
      <c r="C57" s="32">
        <f t="shared" si="18"/>
        <v>0</v>
      </c>
      <c r="D57" s="34">
        <f t="shared" si="18"/>
        <v>0</v>
      </c>
      <c r="E57" s="185">
        <f t="shared" si="18"/>
        <v>0</v>
      </c>
      <c r="F57" s="34">
        <f t="shared" si="18"/>
        <v>0</v>
      </c>
      <c r="G57" s="185">
        <f t="shared" si="18"/>
        <v>0</v>
      </c>
      <c r="H57" s="68">
        <f t="shared" si="18"/>
        <v>0</v>
      </c>
      <c r="I57" s="184">
        <f t="shared" si="18"/>
        <v>0</v>
      </c>
      <c r="J57" s="32">
        <f t="shared" si="18"/>
        <v>0</v>
      </c>
      <c r="K57" s="34">
        <f t="shared" si="18"/>
        <v>0</v>
      </c>
      <c r="L57" s="34">
        <f t="shared" si="18"/>
        <v>0</v>
      </c>
      <c r="M57" s="34">
        <f t="shared" si="20"/>
        <v>0</v>
      </c>
      <c r="N57" s="32">
        <f t="shared" si="19"/>
        <v>0</v>
      </c>
      <c r="O57" s="32">
        <f t="shared" si="19"/>
        <v>0</v>
      </c>
      <c r="P57" s="34">
        <f t="shared" si="19"/>
        <v>0</v>
      </c>
      <c r="Q57" s="68">
        <f t="shared" si="19"/>
        <v>0</v>
      </c>
      <c r="R57" s="32">
        <f t="shared" si="19"/>
        <v>0</v>
      </c>
      <c r="S57" s="87"/>
      <c r="T57" s="108">
        <f>+GETPIVOTDATA(" Tot # Single Rnk Old",'OLD Counts Pivot Table'!$A$3,"State","ky","Category",1,"Category2","Four-Year")</f>
        <v>0</v>
      </c>
      <c r="U57" s="109">
        <f>+GETPIVOTDATA(" Tot # Single Rnk Old",'OLD Counts Pivot Table'!$A$3,"State","ky","Category",2,"Category2","Four-Year")</f>
        <v>0</v>
      </c>
      <c r="V57" s="109">
        <f>+GETPIVOTDATA(" Tot # Single Rnk Old",'OLD Counts Pivot Table'!$A$3,"State","ky","Category",3,"Category2","Four-Year")</f>
        <v>0</v>
      </c>
      <c r="W57" s="109">
        <f>+GETPIVOTDATA(" Tot # Single Rnk Old",'OLD Counts Pivot Table'!$A$3,"State","ky","Category",4,"Category2","Four-Year")</f>
        <v>0</v>
      </c>
      <c r="X57" s="109">
        <f>+GETPIVOTDATA(" Tot # Single Rnk Old",'OLD Counts Pivot Table'!$A$3,"State","ky","Category",5,"Category2","Four-Year")</f>
        <v>0</v>
      </c>
      <c r="Y57" s="109">
        <f>+GETPIVOTDATA(" Tot # Single Rnk Old",'OLD Counts Pivot Table'!$A$3,"State","ky","Category",6,"Category2","Four-Year")</f>
        <v>0</v>
      </c>
      <c r="Z57" s="111">
        <f>+GETPIVOTDATA(" Tot # Single Rnk Old",'OLD Counts Pivot Table'!$A$3,"State","ky","Category2","Four-Year")</f>
        <v>0</v>
      </c>
      <c r="AA57" s="108">
        <f>+GETPIVOTDATA(" Tot # Single Rnk Old",'OLD Counts Pivot Table'!$A$3,"State","ky","Category",7,"Category2","Group2")</f>
        <v>0</v>
      </c>
      <c r="AB57" s="109">
        <f>+GETPIVOTDATA(" Tot # Single Rnk Old",'OLD Counts Pivot Table'!$A$3,"State","ky","Category",8,"Category2","Group2")</f>
        <v>0</v>
      </c>
      <c r="AC57" s="109">
        <f>+GETPIVOTDATA(" Tot # Single Rnk Old",'OLD Counts Pivot Table'!$A$3,"State","ky","Category",9,"Category2","Group2")</f>
        <v>0</v>
      </c>
      <c r="AD57" s="109">
        <f>+GETPIVOTDATA(" Tot # Single Rnk Old",'OLD Counts Pivot Table'!$A$3,"State","ky","Category",10,"Category2","Group2")</f>
        <v>0</v>
      </c>
      <c r="AE57" s="109">
        <f>+GETPIVOTDATA(" Tot # Single Rnk Old",'OLD Counts Pivot Table'!$A$3,"State","ky","Category","11","Category2","Group2")</f>
        <v>0</v>
      </c>
      <c r="AF57" s="111">
        <f>+GETPIVOTDATA(" Tot # Single Rnk Old",'OLD Counts Pivot Table'!$A$3,"State","ky","Category2","Group2")</f>
        <v>0</v>
      </c>
      <c r="AG57" s="108">
        <f>+GETPIVOTDATA(" Tot # Single Rnk Old",'OLD Counts Pivot Table'!$A$3,"State","ky","Category",12,"Category2","Technical Institutes")</f>
        <v>0</v>
      </c>
      <c r="AH57" s="109">
        <f>+GETPIVOTDATA(" Tot # Single Rnk Old",'OLD Counts Pivot Table'!$A$3,"State","ky","Category",13,"Category2","Technical Institutes")</f>
        <v>0</v>
      </c>
      <c r="AI57" s="110">
        <f>+GETPIVOTDATA(" Tot # Single Rnk Old",'OLD Counts Pivot Table'!$A$3,"State","ky","Category",14,"Category2","Technical Institutes")</f>
        <v>0</v>
      </c>
      <c r="AJ57" s="108">
        <f>+GETPIVOTDATA(" Tot # Single Rnk Old",'OLD Counts Pivot Table'!$A$3,"State","AR","Category2","Technical Institutes")</f>
        <v>0</v>
      </c>
    </row>
    <row r="58" spans="1:38" s="54" customFormat="1">
      <c r="A58" s="191"/>
      <c r="B58" s="192" t="s">
        <v>316</v>
      </c>
      <c r="C58" s="33">
        <f t="shared" si="18"/>
        <v>1</v>
      </c>
      <c r="D58" s="31">
        <f t="shared" si="18"/>
        <v>0</v>
      </c>
      <c r="E58" s="31">
        <f t="shared" si="18"/>
        <v>1</v>
      </c>
      <c r="F58" s="31">
        <f t="shared" si="18"/>
        <v>1</v>
      </c>
      <c r="G58" s="31">
        <f t="shared" si="18"/>
        <v>0</v>
      </c>
      <c r="H58" s="69">
        <f t="shared" si="18"/>
        <v>0</v>
      </c>
      <c r="I58" s="33">
        <f t="shared" si="18"/>
        <v>1</v>
      </c>
      <c r="J58" s="33">
        <f t="shared" si="18"/>
        <v>0</v>
      </c>
      <c r="K58" s="31">
        <f t="shared" si="18"/>
        <v>1</v>
      </c>
      <c r="L58" s="31">
        <f t="shared" si="18"/>
        <v>1</v>
      </c>
      <c r="M58" s="31">
        <f t="shared" si="20"/>
        <v>1</v>
      </c>
      <c r="N58" s="33">
        <f t="shared" si="19"/>
        <v>1</v>
      </c>
      <c r="O58" s="33">
        <f t="shared" si="19"/>
        <v>1</v>
      </c>
      <c r="P58" s="31">
        <f t="shared" si="19"/>
        <v>0</v>
      </c>
      <c r="Q58" s="69">
        <f t="shared" si="19"/>
        <v>0</v>
      </c>
      <c r="R58" s="33">
        <f t="shared" si="19"/>
        <v>0</v>
      </c>
      <c r="S58" s="88"/>
      <c r="T58" s="112">
        <f>+GETPIVOTDATA(" All Ranks # Old",'OLD Counts Pivot Table'!$A$3,"State","ky","Category",1,"Category2","Four-Year")</f>
        <v>2143</v>
      </c>
      <c r="U58" s="113">
        <f>+GETPIVOTDATA(" All Ranks # Old",'OLD Counts Pivot Table'!$A$3,"State","ky","Category",2,"Category2","Four-Year")</f>
        <v>0</v>
      </c>
      <c r="V58" s="113">
        <f>+GETPIVOTDATA(" All Ranks # Old",'OLD Counts Pivot Table'!$A$3,"State","ky","Category",3,"Category2","Four-Year")</f>
        <v>2151</v>
      </c>
      <c r="W58" s="113">
        <f>+GETPIVOTDATA(" All Ranks # Old",'OLD Counts Pivot Table'!$A$3,"State","ky","Category",4,"Category2","Four-Year")</f>
        <v>660</v>
      </c>
      <c r="X58" s="113">
        <f>+GETPIVOTDATA(" All Ranks # Old",'OLD Counts Pivot Table'!$A$3,"State","ky","Category",5,"Category2","Four-Year")</f>
        <v>0</v>
      </c>
      <c r="Y58" s="113">
        <f>+GETPIVOTDATA(" All Ranks # Old",'OLD Counts Pivot Table'!$A$3,"State","ky","Category",6,"Category2","Four-Year")</f>
        <v>0</v>
      </c>
      <c r="Z58" s="115">
        <f>+GETPIVOTDATA(" All Ranks # Old",'OLD Counts Pivot Table'!$A$3,"State","ky","Category2","Four-Year")</f>
        <v>4954</v>
      </c>
      <c r="AA58" s="112">
        <f>+GETPIVOTDATA(" All Ranks # Old",'OLD Counts Pivot Table'!$A$3,"State","ky","Category",7,"Category2","Group2")</f>
        <v>0</v>
      </c>
      <c r="AB58" s="113">
        <f>+GETPIVOTDATA(" All Ranks # Old",'OLD Counts Pivot Table'!$A$3,"State","ky","Category",8,"Category2","Group2")</f>
        <v>536</v>
      </c>
      <c r="AC58" s="113">
        <f>+GETPIVOTDATA(" All Ranks # Old",'OLD Counts Pivot Table'!$A$3,"State","ky","Category",9,"Category2","Group2")</f>
        <v>998</v>
      </c>
      <c r="AD58" s="113">
        <f>+GETPIVOTDATA(" All Ranks # Old",'OLD Counts Pivot Table'!$A$3,"State","ky","Category",10,"Category2","Group2")</f>
        <v>223</v>
      </c>
      <c r="AE58" s="113">
        <f>+GETPIVOTDATA(" All Ranks # Old",'OLD Counts Pivot Table'!$A$3,"State","ky","Category","11","Category2","Group2")</f>
        <v>0</v>
      </c>
      <c r="AF58" s="115">
        <f>+GETPIVOTDATA(" All Ranks # Old",'OLD Counts Pivot Table'!$A$3,"State","ky","Category2","Group2")</f>
        <v>1757</v>
      </c>
      <c r="AG58" s="112">
        <f>+GETPIVOTDATA(" All Ranks # Old",'OLD Counts Pivot Table'!$A$3,"State","ky","Category",12,"Category2","Technical Institutes")</f>
        <v>145</v>
      </c>
      <c r="AH58" s="113">
        <f>+GETPIVOTDATA(" All Ranks # Old",'OLD Counts Pivot Table'!$A$3,"State","ky","Category",13,"Category2","Technical Institutes")</f>
        <v>0</v>
      </c>
      <c r="AI58" s="114">
        <f>+GETPIVOTDATA(" All Ranks # Old",'OLD Counts Pivot Table'!$A$3,"State","ky","Category",14,"Category2","Technical Institutes")</f>
        <v>0</v>
      </c>
      <c r="AJ58" s="112">
        <f>+GETPIVOTDATA(" All Ranks # Old",'OLD Counts Pivot Table'!$A$3,"State","AR","Category2","Technical Institutes")</f>
        <v>0</v>
      </c>
      <c r="AK58" s="116"/>
      <c r="AL58" s="116"/>
    </row>
    <row r="59" spans="1:38">
      <c r="A59" s="38" t="s">
        <v>308</v>
      </c>
      <c r="B59" s="35" t="s">
        <v>332</v>
      </c>
      <c r="C59" s="36">
        <f t="shared" ref="C59:M65" si="21">IF(T$65&gt;0,(T59/T$65),0)</f>
        <v>0.33946360153256705</v>
      </c>
      <c r="D59" s="37">
        <f t="shared" si="21"/>
        <v>0.24513888888888888</v>
      </c>
      <c r="E59" s="37">
        <f t="shared" si="21"/>
        <v>0.22290545734050729</v>
      </c>
      <c r="F59" s="37">
        <f t="shared" si="21"/>
        <v>0.19373634377276039</v>
      </c>
      <c r="G59" s="37">
        <f t="shared" si="21"/>
        <v>0</v>
      </c>
      <c r="H59" s="67">
        <f t="shared" si="21"/>
        <v>0</v>
      </c>
      <c r="I59" s="36">
        <f t="shared" si="21"/>
        <v>0.24949252629636465</v>
      </c>
      <c r="J59" s="36">
        <f t="shared" si="21"/>
        <v>0.22222222222222221</v>
      </c>
      <c r="K59" s="37">
        <f t="shared" si="21"/>
        <v>0.13793103448275862</v>
      </c>
      <c r="L59" s="37">
        <f t="shared" si="21"/>
        <v>0.11059907834101383</v>
      </c>
      <c r="M59" s="37">
        <f t="shared" si="21"/>
        <v>2.7777777777777776E-2</v>
      </c>
      <c r="N59" s="36">
        <f t="shared" ref="N59:R65" si="22">IF(AF$65&gt;0,(AF59/AF$65),0)</f>
        <v>0.12258064516129032</v>
      </c>
      <c r="O59" s="152">
        <f t="shared" si="22"/>
        <v>0</v>
      </c>
      <c r="P59" s="37">
        <f t="shared" si="22"/>
        <v>0</v>
      </c>
      <c r="Q59" s="67">
        <f t="shared" si="22"/>
        <v>0</v>
      </c>
      <c r="R59" s="152">
        <f t="shared" si="22"/>
        <v>0</v>
      </c>
      <c r="S59" s="117"/>
      <c r="T59" s="104">
        <f>+GETPIVOTDATA(" Total # Prof Old",'OLD Counts Pivot Table'!$A$3,"State","LA","Category",1,"Category2","Four-Year")</f>
        <v>443</v>
      </c>
      <c r="U59" s="105">
        <f>+GETPIVOTDATA(" Total # Prof Old",'OLD Counts Pivot Table'!$A$3,"State","LA","Category",2,"Category2","Four-Year")</f>
        <v>353</v>
      </c>
      <c r="V59" s="105">
        <f>+GETPIVOTDATA(" Total # Prof Old",'OLD Counts Pivot Table'!$A$3,"State","LA","Category",3,"Category2","Four-Year")</f>
        <v>290</v>
      </c>
      <c r="W59" s="105">
        <f>+GETPIVOTDATA(" Total # Prof Old",'OLD Counts Pivot Table'!$A$3,"State","LA","Category",4,"Category2","Four-Year")</f>
        <v>266</v>
      </c>
      <c r="X59" s="105">
        <f>+GETPIVOTDATA(" Total # Prof Old",'OLD Counts Pivot Table'!$A$3,"State","LA","Category",5,"Category2","Four-Year")</f>
        <v>0</v>
      </c>
      <c r="Y59" s="105">
        <f>+GETPIVOTDATA(" Total # Prof Old",'OLD Counts Pivot Table'!$A$3,"State","LA","Category",6,"Category2","Four-Year")</f>
        <v>0</v>
      </c>
      <c r="Z59" s="107">
        <f>+GETPIVOTDATA(" Total # Prof Old",'OLD Counts Pivot Table'!$A$3,"State","LA","Category2","Four-Year")</f>
        <v>1352</v>
      </c>
      <c r="AA59" s="104">
        <f>+GETPIVOTDATA(" Total # Prof Old",'OLD Counts Pivot Table'!$A$3,"State","LA","Category",7,"Category2","Group2")</f>
        <v>24</v>
      </c>
      <c r="AB59" s="105">
        <f>+GETPIVOTDATA(" Total # Prof Old",'OLD Counts Pivot Table'!$A$3,"State","LA","Category",8,"Category2","Group2")</f>
        <v>80</v>
      </c>
      <c r="AC59" s="105">
        <f>+GETPIVOTDATA(" Total # Prof Old",'OLD Counts Pivot Table'!$A$3,"State","LA","Category",9,"Category2","Group2")</f>
        <v>24</v>
      </c>
      <c r="AD59" s="105">
        <f>+GETPIVOTDATA(" Total # Prof Old",'OLD Counts Pivot Table'!$A$3,"State","LA","Category",10,"Category2","Group2")</f>
        <v>5</v>
      </c>
      <c r="AE59" s="105">
        <f>+GETPIVOTDATA(" Total # Prof Old",'OLD Counts Pivot Table'!$A$3,"State","LA","Category","11","Category2","Group2")</f>
        <v>0</v>
      </c>
      <c r="AF59" s="107">
        <f>+GETPIVOTDATA(" Total # Prof Old",'OLD Counts Pivot Table'!$A$3,"State","LA","Category2","Group2")</f>
        <v>133</v>
      </c>
      <c r="AG59" s="104">
        <f>+GETPIVOTDATA(" Total # Prof Old",'OLD Counts Pivot Table'!$A$3,"State","LA","Category",12,"Category2","Technical Institutes")</f>
        <v>0</v>
      </c>
      <c r="AH59" s="105">
        <f>+GETPIVOTDATA(" Total # Prof Old",'OLD Counts Pivot Table'!$A$3,"State","LA","Category",13,"Category2","Technical Institutes")</f>
        <v>0</v>
      </c>
      <c r="AI59" s="106">
        <f>+GETPIVOTDATA(" Total # Prof Old",'OLD Counts Pivot Table'!$A$3,"State","LA","Category",14,"Category2","Technical Institutes")</f>
        <v>0</v>
      </c>
      <c r="AJ59" s="104">
        <f>+GETPIVOTDATA(" Total # Prof Old",'OLD Counts Pivot Table'!$A$3,"State","AR","Category2","Technical Institutes")</f>
        <v>0</v>
      </c>
    </row>
    <row r="60" spans="1:38">
      <c r="A60" s="30"/>
      <c r="B60" s="38" t="s">
        <v>333</v>
      </c>
      <c r="C60" s="32">
        <f t="shared" si="21"/>
        <v>0.22835249042145594</v>
      </c>
      <c r="D60" s="34">
        <f t="shared" si="21"/>
        <v>0.23194444444444445</v>
      </c>
      <c r="E60" s="34">
        <f t="shared" si="21"/>
        <v>0.20368946963873943</v>
      </c>
      <c r="F60" s="34">
        <f t="shared" si="21"/>
        <v>0.21631463947560087</v>
      </c>
      <c r="G60" s="34">
        <f t="shared" si="21"/>
        <v>0</v>
      </c>
      <c r="H60" s="68">
        <f t="shared" si="21"/>
        <v>0</v>
      </c>
      <c r="I60" s="32">
        <f t="shared" si="21"/>
        <v>0.22033585532386049</v>
      </c>
      <c r="J60" s="32">
        <f t="shared" si="21"/>
        <v>0.22222222222222221</v>
      </c>
      <c r="K60" s="34">
        <f t="shared" si="21"/>
        <v>0.1706896551724138</v>
      </c>
      <c r="L60" s="34">
        <f t="shared" si="21"/>
        <v>0.20737327188940091</v>
      </c>
      <c r="M60" s="34">
        <f t="shared" ref="M60:M65" si="23">IF(AD$65&gt;0,(AD60/AD$65),0)</f>
        <v>0.19444444444444445</v>
      </c>
      <c r="N60" s="32">
        <f t="shared" si="22"/>
        <v>0.18709677419354839</v>
      </c>
      <c r="O60" s="32">
        <f t="shared" si="22"/>
        <v>0</v>
      </c>
      <c r="P60" s="34">
        <f t="shared" si="22"/>
        <v>0</v>
      </c>
      <c r="Q60" s="68">
        <f t="shared" si="22"/>
        <v>0</v>
      </c>
      <c r="R60" s="32">
        <f t="shared" si="22"/>
        <v>0</v>
      </c>
      <c r="S60" s="87"/>
      <c r="T60" s="108">
        <f>+GETPIVOTDATA(" Tot # Asc. Prof Old",'OLD Counts Pivot Table'!$A$3,"State","LA","Category",1,"Category2","Four-Year")</f>
        <v>298</v>
      </c>
      <c r="U60" s="109">
        <f>+GETPIVOTDATA(" Tot # Asc. Prof Old",'OLD Counts Pivot Table'!$A$3,"State","LA","Category",2,"Category2","Four-Year")</f>
        <v>334</v>
      </c>
      <c r="V60" s="109">
        <f>+GETPIVOTDATA(" Tot # Asc. Prof Old",'OLD Counts Pivot Table'!$A$3,"State","LA","Category",3,"Category2","Four-Year")</f>
        <v>265</v>
      </c>
      <c r="W60" s="109">
        <f>+GETPIVOTDATA(" Tot # Asc. Prof Old",'OLD Counts Pivot Table'!$A$3,"State","LA","Category",4,"Category2","Four-Year")</f>
        <v>297</v>
      </c>
      <c r="X60" s="109">
        <f>+GETPIVOTDATA(" Tot # Asc. Prof Old",'OLD Counts Pivot Table'!$A$3,"State","LA","Category",5,"Category2","Four-Year")</f>
        <v>0</v>
      </c>
      <c r="Y60" s="109">
        <f>+GETPIVOTDATA(" Tot # Asc. Prof Old",'OLD Counts Pivot Table'!$A$3,"State","LA","Category",6,"Category2","Four-Year")</f>
        <v>0</v>
      </c>
      <c r="Z60" s="111">
        <f>+GETPIVOTDATA(" Tot # Asc. Prof Old",'OLD Counts Pivot Table'!$A$3,"State","LA","Category2","Four-Year")</f>
        <v>1194</v>
      </c>
      <c r="AA60" s="108">
        <f>+GETPIVOTDATA(" Tot # Asc. Prof Old",'OLD Counts Pivot Table'!$A$3,"State","LA","Category",7,"Category2","Group2")</f>
        <v>24</v>
      </c>
      <c r="AB60" s="109">
        <f>+GETPIVOTDATA(" Tot # Asc. Prof Old",'OLD Counts Pivot Table'!$A$3,"State","LA","Category",8,"Category2","Group2")</f>
        <v>99</v>
      </c>
      <c r="AC60" s="109">
        <f>+GETPIVOTDATA(" Tot # Asc. Prof Old",'OLD Counts Pivot Table'!$A$3,"State","LA","Category",9,"Category2","Group2")</f>
        <v>45</v>
      </c>
      <c r="AD60" s="109">
        <f>+GETPIVOTDATA(" Tot # Asc. Prof Old",'OLD Counts Pivot Table'!$A$3,"State","LA","Category",10,"Category2","Group2")</f>
        <v>35</v>
      </c>
      <c r="AE60" s="109">
        <f>+GETPIVOTDATA(" Tot # Asc. Prof Old",'OLD Counts Pivot Table'!$A$3,"State","LA","Category","11","Category2","Group2")</f>
        <v>0</v>
      </c>
      <c r="AF60" s="111">
        <f>+GETPIVOTDATA(" Tot # Asc. Prof Old",'OLD Counts Pivot Table'!$A$3,"State","LA","Category2","Group2")</f>
        <v>203</v>
      </c>
      <c r="AG60" s="108">
        <f>+GETPIVOTDATA(" Tot # Asc. Prof Old",'OLD Counts Pivot Table'!$A$3,"State","LA","Category",12,"Category2","Technical Institutes")</f>
        <v>0</v>
      </c>
      <c r="AH60" s="109">
        <f>+GETPIVOTDATA(" Tot # Asc. Prof Old",'OLD Counts Pivot Table'!$A$3,"State","LA","Category",13,"Category2","Technical Institutes")</f>
        <v>0</v>
      </c>
      <c r="AI60" s="110">
        <f>+GETPIVOTDATA(" Tot # Asc. Prof Old",'OLD Counts Pivot Table'!$A$3,"State","LA","Category",14,"Category2","Technical Institutes")</f>
        <v>0</v>
      </c>
      <c r="AJ60" s="108">
        <f>+GETPIVOTDATA(" Tot # Asc. Prof Old",'OLD Counts Pivot Table'!$A$3,"State","AR","Category2","Technical Institutes")</f>
        <v>0</v>
      </c>
    </row>
    <row r="61" spans="1:38">
      <c r="A61" s="30"/>
      <c r="B61" s="38" t="s">
        <v>334</v>
      </c>
      <c r="C61" s="32">
        <f t="shared" si="21"/>
        <v>0.23831417624521073</v>
      </c>
      <c r="D61" s="34">
        <f t="shared" si="21"/>
        <v>0.27847222222222223</v>
      </c>
      <c r="E61" s="34">
        <f t="shared" si="21"/>
        <v>0.29592621060722524</v>
      </c>
      <c r="F61" s="34">
        <f t="shared" si="21"/>
        <v>0.40568099053168244</v>
      </c>
      <c r="G61" s="34">
        <f t="shared" si="21"/>
        <v>0</v>
      </c>
      <c r="H61" s="68">
        <f t="shared" si="21"/>
        <v>0</v>
      </c>
      <c r="I61" s="32">
        <f t="shared" si="21"/>
        <v>0.30522236575013839</v>
      </c>
      <c r="J61" s="32">
        <f t="shared" si="21"/>
        <v>0.39814814814814814</v>
      </c>
      <c r="K61" s="34">
        <f t="shared" si="21"/>
        <v>0.22413793103448276</v>
      </c>
      <c r="L61" s="34">
        <f t="shared" si="21"/>
        <v>0.18433179723502305</v>
      </c>
      <c r="M61" s="34">
        <f t="shared" si="23"/>
        <v>0.30555555555555558</v>
      </c>
      <c r="N61" s="32">
        <f t="shared" si="22"/>
        <v>0.24700460829493087</v>
      </c>
      <c r="O61" s="32">
        <f t="shared" si="22"/>
        <v>0</v>
      </c>
      <c r="P61" s="34">
        <f t="shared" si="22"/>
        <v>0</v>
      </c>
      <c r="Q61" s="68">
        <f t="shared" si="22"/>
        <v>0</v>
      </c>
      <c r="R61" s="32">
        <f t="shared" si="22"/>
        <v>0</v>
      </c>
      <c r="S61" s="87"/>
      <c r="T61" s="108">
        <f>+GETPIVOTDATA(" Tot # Ast. Prof Old",'OLD Counts Pivot Table'!$A$3,"State","LA","Category",1,"Category2","Four-Year")</f>
        <v>311</v>
      </c>
      <c r="U61" s="109">
        <f>+GETPIVOTDATA(" Tot # Ast. Prof Old",'OLD Counts Pivot Table'!$A$3,"State","LA","Category",2,"Category2","Four-Year")</f>
        <v>401</v>
      </c>
      <c r="V61" s="109">
        <f>+GETPIVOTDATA(" Tot # Ast. Prof Old",'OLD Counts Pivot Table'!$A$3,"State","LA","Category",3,"Category2","Four-Year")</f>
        <v>385</v>
      </c>
      <c r="W61" s="109">
        <f>+GETPIVOTDATA(" Tot # Ast. Prof Old",'OLD Counts Pivot Table'!$A$3,"State","LA","Category",4,"Category2","Four-Year")</f>
        <v>557</v>
      </c>
      <c r="X61" s="109">
        <f>+GETPIVOTDATA(" Tot # Ast. Prof Old",'OLD Counts Pivot Table'!$A$3,"State","LA","Category",5,"Category2","Four-Year")</f>
        <v>0</v>
      </c>
      <c r="Y61" s="109">
        <f>+GETPIVOTDATA(" Tot # Ast. Prof Old",'OLD Counts Pivot Table'!$A$3,"State","LA","Category",6,"Category2","Four-Year")</f>
        <v>0</v>
      </c>
      <c r="Z61" s="111">
        <f>+GETPIVOTDATA(" Tot # Ast. Prof Old",'OLD Counts Pivot Table'!$A$3,"State","LA","Category2","Four-Year")</f>
        <v>1654</v>
      </c>
      <c r="AA61" s="108">
        <f>+GETPIVOTDATA(" Tot # Ast. Prof Old",'OLD Counts Pivot Table'!$A$3,"State","LA","Category",7,"Category2","Group2")</f>
        <v>43</v>
      </c>
      <c r="AB61" s="109">
        <f>+GETPIVOTDATA(" Tot # Ast. Prof Old",'OLD Counts Pivot Table'!$A$3,"State","LA","Category",8,"Category2","Group2")</f>
        <v>130</v>
      </c>
      <c r="AC61" s="109">
        <f>+GETPIVOTDATA(" Tot # Ast. Prof Old",'OLD Counts Pivot Table'!$A$3,"State","LA","Category",9,"Category2","Group2")</f>
        <v>40</v>
      </c>
      <c r="AD61" s="109">
        <f>+GETPIVOTDATA(" Tot # Ast. Prof Old",'OLD Counts Pivot Table'!$A$3,"State","LA","Category",10,"Category2","Group2")</f>
        <v>55</v>
      </c>
      <c r="AE61" s="109">
        <f>+GETPIVOTDATA(" Tot # Ast. Prof Old",'OLD Counts Pivot Table'!$A$3,"State","LA","Category","11","Category2","Group2")</f>
        <v>0</v>
      </c>
      <c r="AF61" s="111">
        <f>+GETPIVOTDATA(" Tot # Ast. Prof Old",'OLD Counts Pivot Table'!$A$3,"State","LA","Category2","Group2")</f>
        <v>268</v>
      </c>
      <c r="AG61" s="108">
        <f>+GETPIVOTDATA(" Tot # Ast. Prof Old",'OLD Counts Pivot Table'!$A$3,"State","LA","Category",12,"Category2","Technical Institutes")</f>
        <v>0</v>
      </c>
      <c r="AH61" s="109">
        <f>+GETPIVOTDATA(" Tot # Ast. Prof Old",'OLD Counts Pivot Table'!$A$3,"State","LA","Category",13,"Category2","Technical Institutes")</f>
        <v>0</v>
      </c>
      <c r="AI61" s="110">
        <f>+GETPIVOTDATA(" Tot # Ast. Prof Old",'OLD Counts Pivot Table'!$A$3,"State","LA","Category",14,"Category2","Technical Institutes")</f>
        <v>0</v>
      </c>
      <c r="AJ61" s="108">
        <f>+GETPIVOTDATA(" Tot # Ast. Prof Old",'OLD Counts Pivot Table'!$A$3,"State","AR","Category2","Technical Institutes")</f>
        <v>0</v>
      </c>
    </row>
    <row r="62" spans="1:38">
      <c r="A62" s="30"/>
      <c r="B62" s="38" t="s">
        <v>335</v>
      </c>
      <c r="C62" s="32">
        <f t="shared" si="21"/>
        <v>0.17777777777777778</v>
      </c>
      <c r="D62" s="34">
        <f t="shared" si="21"/>
        <v>0.22013888888888888</v>
      </c>
      <c r="E62" s="34">
        <f t="shared" si="21"/>
        <v>0.27056110684089163</v>
      </c>
      <c r="F62" s="34">
        <f t="shared" si="21"/>
        <v>0.17625637290604515</v>
      </c>
      <c r="G62" s="34">
        <f t="shared" si="21"/>
        <v>0</v>
      </c>
      <c r="H62" s="68">
        <f t="shared" si="21"/>
        <v>0</v>
      </c>
      <c r="I62" s="32">
        <f t="shared" si="21"/>
        <v>0.21092452482007751</v>
      </c>
      <c r="J62" s="32">
        <f t="shared" si="21"/>
        <v>0.15740740740740741</v>
      </c>
      <c r="K62" s="34">
        <f t="shared" si="21"/>
        <v>0.30689655172413793</v>
      </c>
      <c r="L62" s="34">
        <f t="shared" si="21"/>
        <v>0.49769585253456222</v>
      </c>
      <c r="M62" s="34">
        <f t="shared" si="23"/>
        <v>0.45555555555555555</v>
      </c>
      <c r="N62" s="32">
        <f t="shared" si="22"/>
        <v>0.35483870967741937</v>
      </c>
      <c r="O62" s="32">
        <f t="shared" si="22"/>
        <v>1</v>
      </c>
      <c r="P62" s="34">
        <f t="shared" si="22"/>
        <v>0.97560975609756095</v>
      </c>
      <c r="Q62" s="68">
        <f t="shared" si="22"/>
        <v>0</v>
      </c>
      <c r="R62" s="32">
        <f t="shared" si="22"/>
        <v>0</v>
      </c>
      <c r="S62" s="87"/>
      <c r="T62" s="108">
        <f>+GETPIVOTDATA(" Tot # Instr. Old",'OLD Counts Pivot Table'!$A$3,"State","LA","Category",1,"Category2","Four-Year")</f>
        <v>232</v>
      </c>
      <c r="U62" s="109">
        <f>+GETPIVOTDATA(" Tot # Instr. Old",'OLD Counts Pivot Table'!$A$3,"State","LA","Category",2,"Category2","Four-Year")</f>
        <v>317</v>
      </c>
      <c r="V62" s="109">
        <f>+GETPIVOTDATA(" Tot # Instr. Old",'OLD Counts Pivot Table'!$A$3,"State","LA","Category",3,"Category2","Four-Year")</f>
        <v>352</v>
      </c>
      <c r="W62" s="109">
        <f>+GETPIVOTDATA(" Tot # Instr. Old",'OLD Counts Pivot Table'!$A$3,"State","LA","Category",4,"Category2","Four-Year")</f>
        <v>242</v>
      </c>
      <c r="X62" s="109">
        <f>+GETPIVOTDATA(" Tot # Instr. Old",'OLD Counts Pivot Table'!$A$3,"State","LA","Category",5,"Category2","Four-Year")</f>
        <v>0</v>
      </c>
      <c r="Y62" s="109">
        <f>+GETPIVOTDATA(" Tot # Instr. Old",'OLD Counts Pivot Table'!$A$3,"State","LA","Category",6,"Category2","Four-Year")</f>
        <v>0</v>
      </c>
      <c r="Z62" s="111">
        <f>+GETPIVOTDATA(" Tot # Instr. Old",'OLD Counts Pivot Table'!$A$3,"State","LA","Category2","Four-Year")</f>
        <v>1143</v>
      </c>
      <c r="AA62" s="108">
        <f>+GETPIVOTDATA(" Tot # Instr. Old",'OLD Counts Pivot Table'!$A$3,"State","LA","Category",7,"Category2","Group2")</f>
        <v>17</v>
      </c>
      <c r="AB62" s="109">
        <f>+GETPIVOTDATA(" Tot # Instr. Old",'OLD Counts Pivot Table'!$A$3,"State","LA","Category",8,"Category2","Group2")</f>
        <v>178</v>
      </c>
      <c r="AC62" s="109">
        <f>+GETPIVOTDATA(" Tot # Instr. Old",'OLD Counts Pivot Table'!$A$3,"State","LA","Category",9,"Category2","Group2")</f>
        <v>108</v>
      </c>
      <c r="AD62" s="109">
        <f>+GETPIVOTDATA(" Tot # Instr. Old",'OLD Counts Pivot Table'!$A$3,"State","LA","Category",10,"Category2","Group2")</f>
        <v>82</v>
      </c>
      <c r="AE62" s="109">
        <f>+GETPIVOTDATA(" Tot # Instr. Old",'OLD Counts Pivot Table'!$A$3,"State","LA","Category","11","Category2","Group2")</f>
        <v>0</v>
      </c>
      <c r="AF62" s="111">
        <f>+GETPIVOTDATA(" Tot # Instr. Old",'OLD Counts Pivot Table'!$A$3,"State","LA","Category2","Group2")</f>
        <v>385</v>
      </c>
      <c r="AG62" s="108">
        <f>+GETPIVOTDATA(" Tot # Instr. Old",'OLD Counts Pivot Table'!$A$3,"State","LA","Category",12,"Category2","Technical Institutes")</f>
        <v>68</v>
      </c>
      <c r="AH62" s="109">
        <f>+GETPIVOTDATA(" Tot # Instr. Old",'OLD Counts Pivot Table'!$A$3,"State","LA","Category",13,"Category2","Technical Institutes")</f>
        <v>40</v>
      </c>
      <c r="AI62" s="110">
        <f>+GETPIVOTDATA(" Tot # Instr. Old",'OLD Counts Pivot Table'!$A$3,"State","LA","Category",14,"Category2","Technical Institutes")</f>
        <v>0</v>
      </c>
      <c r="AJ62" s="108">
        <f>+GETPIVOTDATA(" Tot # Instr. Old",'OLD Counts Pivot Table'!$A$3,"State","AR","Category2","Technical Institutes")</f>
        <v>0</v>
      </c>
    </row>
    <row r="63" spans="1:38">
      <c r="A63" s="30"/>
      <c r="B63" s="38" t="s">
        <v>315</v>
      </c>
      <c r="C63" s="32">
        <f t="shared" si="21"/>
        <v>1.6091954022988506E-2</v>
      </c>
      <c r="D63" s="34">
        <f t="shared" si="21"/>
        <v>2.4305555555555556E-2</v>
      </c>
      <c r="E63" s="34">
        <f t="shared" si="21"/>
        <v>6.9177555726364333E-3</v>
      </c>
      <c r="F63" s="236">
        <f t="shared" si="21"/>
        <v>8.0116533139111441E-3</v>
      </c>
      <c r="G63" s="34">
        <f t="shared" si="21"/>
        <v>0</v>
      </c>
      <c r="H63" s="68">
        <f t="shared" si="21"/>
        <v>0</v>
      </c>
      <c r="I63" s="32">
        <f t="shared" si="21"/>
        <v>1.4024727809558959E-2</v>
      </c>
      <c r="J63" s="32">
        <f t="shared" si="21"/>
        <v>0</v>
      </c>
      <c r="K63" s="34">
        <f t="shared" si="21"/>
        <v>0.16034482758620688</v>
      </c>
      <c r="L63" s="34">
        <f t="shared" si="21"/>
        <v>0</v>
      </c>
      <c r="M63" s="34">
        <f t="shared" si="23"/>
        <v>1.6666666666666666E-2</v>
      </c>
      <c r="N63" s="32">
        <f t="shared" si="22"/>
        <v>8.847926267281106E-2</v>
      </c>
      <c r="O63" s="32">
        <f t="shared" si="22"/>
        <v>0</v>
      </c>
      <c r="P63" s="34">
        <f t="shared" si="22"/>
        <v>2.4390243902439025E-2</v>
      </c>
      <c r="Q63" s="68">
        <f t="shared" si="22"/>
        <v>0</v>
      </c>
      <c r="R63" s="237">
        <f t="shared" si="22"/>
        <v>0</v>
      </c>
      <c r="S63" s="87"/>
      <c r="T63" s="108">
        <f>++GETPIVOTDATA(" Tot # Undes. Old",'OLD Counts Pivot Table'!$A$3,"State","LA","Category",1,"Category2","Four-Year")</f>
        <v>21</v>
      </c>
      <c r="U63" s="109">
        <f>+GETPIVOTDATA(" Tot # Undes. Old",'OLD Counts Pivot Table'!$A$3,"State","LA","Category",2,"Category2","Four-Year")</f>
        <v>35</v>
      </c>
      <c r="V63" s="109">
        <f>+GETPIVOTDATA(" Tot # Undes. Old",'OLD Counts Pivot Table'!$A$3,"State","LA","Category",3,"Category2","Four-Year")</f>
        <v>9</v>
      </c>
      <c r="W63" s="109">
        <f>+GETPIVOTDATA(" Tot # Undes. Old",'OLD Counts Pivot Table'!$A$3,"State","LA","Category",4,"Category2","Four-Year")</f>
        <v>11</v>
      </c>
      <c r="X63" s="109">
        <f>+GETPIVOTDATA(" Tot # Undes. Old",'OLD Counts Pivot Table'!$A$3,"State","LA","Category",5,"Category2","Four-Year")</f>
        <v>0</v>
      </c>
      <c r="Y63" s="109">
        <f>+GETPIVOTDATA(" Tot # Undes. Old",'OLD Counts Pivot Table'!$A$3,"State","LA","Category",6,"Category2","Four-Year")</f>
        <v>0</v>
      </c>
      <c r="Z63" s="111">
        <f>+GETPIVOTDATA(" Tot # Undes. Old",'OLD Counts Pivot Table'!$A$3,"State","LA","Category2","Four-Year")</f>
        <v>76</v>
      </c>
      <c r="AA63" s="108">
        <f>+GETPIVOTDATA(" Tot # Undes. Old",'OLD Counts Pivot Table'!$A$3,"State","LA","Category",7,"Category2","Group2")</f>
        <v>0</v>
      </c>
      <c r="AB63" s="109">
        <f>+GETPIVOTDATA(" Tot # Undes. Old",'OLD Counts Pivot Table'!$A$3,"State","LA","Category",8,"Category2","Group2")</f>
        <v>93</v>
      </c>
      <c r="AC63" s="109">
        <f>+GETPIVOTDATA(" Tot # Undes. Old",'OLD Counts Pivot Table'!$A$3,"State","LA","Category",9,"Category2","Group2")</f>
        <v>0</v>
      </c>
      <c r="AD63" s="109">
        <f>+GETPIVOTDATA(" Tot # Undes. Old",'OLD Counts Pivot Table'!$A$3,"State","LA","Category",10,"Category2","Group2")</f>
        <v>3</v>
      </c>
      <c r="AE63" s="109">
        <f>+GETPIVOTDATA(" Tot # Undes. Old",'OLD Counts Pivot Table'!$A$3,"State","LA","Category","11","Category2","Group2")</f>
        <v>0</v>
      </c>
      <c r="AF63" s="111">
        <f>+GETPIVOTDATA(" Tot # Undes. Old",'OLD Counts Pivot Table'!$A$3,"State","LA","Category2","Group2")</f>
        <v>96</v>
      </c>
      <c r="AG63" s="108">
        <f>+GETPIVOTDATA(" Tot # Undes. Old",'OLD Counts Pivot Table'!$A$3,"State","LA","Category",12,"Category2","Technical Institutes")</f>
        <v>0</v>
      </c>
      <c r="AH63" s="109">
        <f>+GETPIVOTDATA(" Tot # Undes. Old",'OLD Counts Pivot Table'!$A$3,"State","LA","Category",13,"Category2","Technical Institutes")</f>
        <v>1</v>
      </c>
      <c r="AI63" s="110">
        <f>+GETPIVOTDATA(" Tot # Undes. Old",'OLD Counts Pivot Table'!$A$3,"State","LA","Category",14,"Category2","Technical Institutes")</f>
        <v>0</v>
      </c>
      <c r="AJ63" s="108">
        <f>+GETPIVOTDATA(" Tot # Undes. Old",'OLD Counts Pivot Table'!$A$3,"State","AR","Category2","Technical Institutes")</f>
        <v>0</v>
      </c>
    </row>
    <row r="64" spans="1:38">
      <c r="A64" s="30"/>
      <c r="B64" s="38" t="s">
        <v>314</v>
      </c>
      <c r="C64" s="32">
        <f t="shared" si="21"/>
        <v>0</v>
      </c>
      <c r="D64" s="34">
        <f t="shared" si="21"/>
        <v>0</v>
      </c>
      <c r="E64" s="34">
        <f t="shared" si="21"/>
        <v>0</v>
      </c>
      <c r="F64" s="236">
        <f t="shared" si="21"/>
        <v>0</v>
      </c>
      <c r="G64" s="185">
        <f t="shared" si="21"/>
        <v>0</v>
      </c>
      <c r="H64" s="68">
        <f t="shared" si="21"/>
        <v>0</v>
      </c>
      <c r="I64" s="32">
        <f t="shared" si="21"/>
        <v>0</v>
      </c>
      <c r="J64" s="32">
        <f t="shared" si="21"/>
        <v>0</v>
      </c>
      <c r="K64" s="34">
        <f t="shared" si="21"/>
        <v>0</v>
      </c>
      <c r="L64" s="34">
        <f t="shared" si="21"/>
        <v>0</v>
      </c>
      <c r="M64" s="34">
        <f t="shared" si="23"/>
        <v>0</v>
      </c>
      <c r="N64" s="32">
        <f t="shared" si="22"/>
        <v>0</v>
      </c>
      <c r="O64" s="32">
        <f t="shared" si="22"/>
        <v>0</v>
      </c>
      <c r="P64" s="34">
        <f t="shared" si="22"/>
        <v>0</v>
      </c>
      <c r="Q64" s="68">
        <f t="shared" si="22"/>
        <v>1</v>
      </c>
      <c r="R64" s="32">
        <f t="shared" si="22"/>
        <v>0</v>
      </c>
      <c r="S64" s="87"/>
      <c r="T64" s="108">
        <f>+GETPIVOTDATA(" Tot # Single Rnk Old",'OLD Counts Pivot Table'!$A$3,"State","LA","Category",1,"Category2","Four-Year")</f>
        <v>0</v>
      </c>
      <c r="U64" s="109">
        <f>+GETPIVOTDATA(" Tot # Single Rnk Old",'OLD Counts Pivot Table'!$A$3,"State","LA","Category",2,"Category2","Four-Year")</f>
        <v>0</v>
      </c>
      <c r="V64" s="109">
        <f>+GETPIVOTDATA(" Tot # Single Rnk Old",'OLD Counts Pivot Table'!$A$3,"State","LA","Category",3,"Category2","Four-Year")</f>
        <v>0</v>
      </c>
      <c r="W64" s="109">
        <f>+GETPIVOTDATA(" Tot # Single Rnk Old",'OLD Counts Pivot Table'!$A$3,"State","LA","Category",4,"Category2","Four-Year")</f>
        <v>0</v>
      </c>
      <c r="X64" s="109">
        <f>+GETPIVOTDATA(" Tot # Single Rnk Old",'OLD Counts Pivot Table'!$A$3,"State","LA","Category",5,"Category2","Four-Year")</f>
        <v>0</v>
      </c>
      <c r="Y64" s="109">
        <f>+GETPIVOTDATA(" Tot # Single Rnk Old",'OLD Counts Pivot Table'!$A$3,"State","LA","Category",6,"Category2","Four-Year")</f>
        <v>0</v>
      </c>
      <c r="Z64" s="111">
        <f>+GETPIVOTDATA(" Tot # Single Rnk Old",'OLD Counts Pivot Table'!$A$3,"State","LA","Category2","Four-Year")</f>
        <v>0</v>
      </c>
      <c r="AA64" s="108">
        <f>+GETPIVOTDATA(" Tot # Single Rnk Old",'OLD Counts Pivot Table'!$A$3,"State","LA","Category",7,"Category2","Group2")</f>
        <v>0</v>
      </c>
      <c r="AB64" s="109">
        <f>+GETPIVOTDATA(" Tot # Single Rnk Old",'OLD Counts Pivot Table'!$A$3,"State","LA","Category",8,"Category2","Group2")</f>
        <v>0</v>
      </c>
      <c r="AC64" s="109">
        <f>+GETPIVOTDATA(" Tot # Single Rnk Old",'OLD Counts Pivot Table'!$A$3,"State","LA","Category",9,"Category2","Group2")</f>
        <v>0</v>
      </c>
      <c r="AD64" s="109">
        <f>+GETPIVOTDATA(" Tot # Single Rnk Old",'OLD Counts Pivot Table'!$A$3,"State","LA","Category",10,"Category2","Group2")</f>
        <v>0</v>
      </c>
      <c r="AE64" s="109">
        <f>+GETPIVOTDATA(" Tot # Single Rnk Old",'OLD Counts Pivot Table'!$A$3,"State","LA","Category","11","Category2","Group2")</f>
        <v>0</v>
      </c>
      <c r="AF64" s="111">
        <f>+GETPIVOTDATA(" Tot # Single Rnk Old",'OLD Counts Pivot Table'!$A$3,"State","LA","Category2","Group2")</f>
        <v>0</v>
      </c>
      <c r="AG64" s="108">
        <f>+GETPIVOTDATA(" Tot # Single Rnk Old",'OLD Counts Pivot Table'!$A$3,"State","LA","Category",12,"Category2","Technical Institutes")</f>
        <v>0</v>
      </c>
      <c r="AH64" s="109">
        <f>+GETPIVOTDATA(" Tot # Single Rnk Old",'OLD Counts Pivot Table'!$A$3,"State","LA","Category",13,"Category2","Technical Institutes")</f>
        <v>0</v>
      </c>
      <c r="AI64" s="110">
        <f>+GETPIVOTDATA(" Tot # Single Rnk Old",'OLD Counts Pivot Table'!$A$3,"State","LA","Category",14,"Category2","Technical Institutes")</f>
        <v>500</v>
      </c>
      <c r="AJ64" s="108">
        <f>+GETPIVOTDATA(" Tot # Single Rnk Old",'OLD Counts Pivot Table'!$A$3,"State","AR","Category2","Technical Institutes")</f>
        <v>0</v>
      </c>
    </row>
    <row r="65" spans="1:38" s="54" customFormat="1">
      <c r="A65" s="191"/>
      <c r="B65" s="192" t="s">
        <v>316</v>
      </c>
      <c r="C65" s="33">
        <f t="shared" si="21"/>
        <v>1</v>
      </c>
      <c r="D65" s="31">
        <f t="shared" si="21"/>
        <v>1</v>
      </c>
      <c r="E65" s="31">
        <f t="shared" si="21"/>
        <v>1</v>
      </c>
      <c r="F65" s="31">
        <f t="shared" si="21"/>
        <v>1</v>
      </c>
      <c r="G65" s="31">
        <f t="shared" si="21"/>
        <v>0</v>
      </c>
      <c r="H65" s="69">
        <f t="shared" si="21"/>
        <v>0</v>
      </c>
      <c r="I65" s="33">
        <f t="shared" si="21"/>
        <v>1</v>
      </c>
      <c r="J65" s="33">
        <f t="shared" si="21"/>
        <v>1</v>
      </c>
      <c r="K65" s="31">
        <f t="shared" si="21"/>
        <v>1</v>
      </c>
      <c r="L65" s="31">
        <f t="shared" si="21"/>
        <v>1</v>
      </c>
      <c r="M65" s="31">
        <f t="shared" si="23"/>
        <v>1</v>
      </c>
      <c r="N65" s="33">
        <f t="shared" si="22"/>
        <v>1</v>
      </c>
      <c r="O65" s="33">
        <f t="shared" si="22"/>
        <v>1</v>
      </c>
      <c r="P65" s="31">
        <f t="shared" si="22"/>
        <v>1</v>
      </c>
      <c r="Q65" s="69">
        <f t="shared" si="22"/>
        <v>1</v>
      </c>
      <c r="R65" s="33">
        <f t="shared" si="22"/>
        <v>0</v>
      </c>
      <c r="S65" s="88"/>
      <c r="T65" s="112">
        <f>+GETPIVOTDATA(" All Ranks # Old",'OLD Counts Pivot Table'!$A$3,"State","LA","Category",1,"Category2","Four-Year")</f>
        <v>1305</v>
      </c>
      <c r="U65" s="113">
        <f>+GETPIVOTDATA(" All Ranks # Old",'OLD Counts Pivot Table'!$A$3,"State","LA","Category",2,"Category2","Four-Year")</f>
        <v>1440</v>
      </c>
      <c r="V65" s="113">
        <f>+GETPIVOTDATA(" All Ranks # Old",'OLD Counts Pivot Table'!$A$3,"State","LA","Category",3,"Category2","Four-Year")</f>
        <v>1301</v>
      </c>
      <c r="W65" s="113">
        <f>+GETPIVOTDATA(" All Ranks # Old",'OLD Counts Pivot Table'!$A$3,"State","LA","Category",4,"Category2","Four-Year")</f>
        <v>1373</v>
      </c>
      <c r="X65" s="113">
        <f>+GETPIVOTDATA(" All Ranks # Old",'OLD Counts Pivot Table'!$A$3,"State","LA","Category",5,"Category2","Four-Year")</f>
        <v>0</v>
      </c>
      <c r="Y65" s="113">
        <f>+GETPIVOTDATA(" All Ranks # Old",'OLD Counts Pivot Table'!$A$3,"State","LA","Category",6,"Category2","Four-Year")</f>
        <v>0</v>
      </c>
      <c r="Z65" s="115">
        <f>+GETPIVOTDATA(" All Ranks # Old",'OLD Counts Pivot Table'!$A$3,"State","LA","Category2","Four-Year")</f>
        <v>5419</v>
      </c>
      <c r="AA65" s="112">
        <f>+GETPIVOTDATA(" All Ranks # Old",'OLD Counts Pivot Table'!$A$3,"State","LA","Category",7,"Category2","Group2")</f>
        <v>108</v>
      </c>
      <c r="AB65" s="113">
        <f>+GETPIVOTDATA(" All Ranks # Old",'OLD Counts Pivot Table'!$A$3,"State","LA","Category",8,"Category2","Group2")</f>
        <v>580</v>
      </c>
      <c r="AC65" s="113">
        <f>+GETPIVOTDATA(" All Ranks # Old",'OLD Counts Pivot Table'!$A$3,"State","LA","Category",9,"Category2","Group2")</f>
        <v>217</v>
      </c>
      <c r="AD65" s="113">
        <f>+GETPIVOTDATA(" All Ranks # Old",'OLD Counts Pivot Table'!$A$3,"State","LA","Category",10,"Category2","Group2")</f>
        <v>180</v>
      </c>
      <c r="AE65" s="113">
        <f>+GETPIVOTDATA(" All Ranks # Old",'OLD Counts Pivot Table'!$A$3,"State","LA","Category","11","Category2","Group2")</f>
        <v>0</v>
      </c>
      <c r="AF65" s="115">
        <f>+GETPIVOTDATA(" All Ranks # Old",'OLD Counts Pivot Table'!$A$3,"State","LA","Category2","Group2")</f>
        <v>1085</v>
      </c>
      <c r="AG65" s="112">
        <f>+GETPIVOTDATA(" All Ranks # Old",'OLD Counts Pivot Table'!$A$3,"State","LA","Category",12,"Category2","Technical Institutes")</f>
        <v>68</v>
      </c>
      <c r="AH65" s="113">
        <f>+GETPIVOTDATA(" All Ranks # Old",'OLD Counts Pivot Table'!$A$3,"State","LA","Category",13,"Category2","Technical Institutes")</f>
        <v>41</v>
      </c>
      <c r="AI65" s="114">
        <f>+GETPIVOTDATA(" All Ranks # Old",'OLD Counts Pivot Table'!$A$3,"State","LA","Category",14,"Category2","Technical Institutes")</f>
        <v>500</v>
      </c>
      <c r="AJ65" s="112">
        <f>+GETPIVOTDATA(" All Ranks # Old",'OLD Counts Pivot Table'!$A$3,"State","AR","Category2","Technical Institutes")</f>
        <v>0</v>
      </c>
      <c r="AK65" s="116"/>
      <c r="AL65" s="116"/>
    </row>
    <row r="66" spans="1:38">
      <c r="A66" s="38" t="s">
        <v>340</v>
      </c>
      <c r="B66" s="35" t="s">
        <v>332</v>
      </c>
      <c r="C66" s="36">
        <f t="shared" ref="C66:M72" si="24">IF(T$72&gt;0,(T66/T$72),0)</f>
        <v>0.40605686032138444</v>
      </c>
      <c r="D66" s="37">
        <f t="shared" si="24"/>
        <v>0.30625000000000002</v>
      </c>
      <c r="E66" s="37">
        <f t="shared" si="24"/>
        <v>0.17848605577689244</v>
      </c>
      <c r="F66" s="37">
        <f t="shared" si="24"/>
        <v>0.22846441947565543</v>
      </c>
      <c r="G66" s="37">
        <f t="shared" si="24"/>
        <v>0</v>
      </c>
      <c r="H66" s="67">
        <f t="shared" si="24"/>
        <v>0.30769230769230771</v>
      </c>
      <c r="I66" s="36">
        <f t="shared" si="24"/>
        <v>0.28503415441937485</v>
      </c>
      <c r="J66" s="36">
        <f t="shared" si="24"/>
        <v>0</v>
      </c>
      <c r="K66" s="37">
        <f t="shared" si="24"/>
        <v>0.34982332155477031</v>
      </c>
      <c r="L66" s="37">
        <f t="shared" si="24"/>
        <v>0.31179138321995464</v>
      </c>
      <c r="M66" s="37">
        <f t="shared" si="24"/>
        <v>0.33333333333333331</v>
      </c>
      <c r="N66" s="36">
        <f t="shared" ref="N66:R72" si="25">IF(AF$72&gt;0,(AF66/AF$72),0)</f>
        <v>0.33512396694214874</v>
      </c>
      <c r="O66" s="152">
        <f t="shared" si="25"/>
        <v>0</v>
      </c>
      <c r="P66" s="37">
        <f t="shared" si="25"/>
        <v>0</v>
      </c>
      <c r="Q66" s="67">
        <f t="shared" si="25"/>
        <v>0</v>
      </c>
      <c r="R66" s="152">
        <f t="shared" si="25"/>
        <v>0</v>
      </c>
      <c r="S66" s="117"/>
      <c r="T66" s="104">
        <f>+GETPIVOTDATA(" Total # Prof Old",'OLD Counts Pivot Table'!$A$3,"State","MD","Category",1,"Category2","Four-Year")</f>
        <v>657</v>
      </c>
      <c r="U66" s="105">
        <f>+GETPIVOTDATA(" Total # Prof Old",'OLD Counts Pivot Table'!$A$3,"State","MD","Category",2,"Category2","Four-Year")</f>
        <v>147</v>
      </c>
      <c r="V66" s="105">
        <f>+GETPIVOTDATA(" Total # Prof Old",'OLD Counts Pivot Table'!$A$3,"State","MD","Category",3,"Category2","Four-Year")</f>
        <v>224</v>
      </c>
      <c r="W66" s="105">
        <f>+GETPIVOTDATA(" Total # Prof Old",'OLD Counts Pivot Table'!$A$3,"State","MD","Category",4,"Category2","Four-Year")</f>
        <v>305</v>
      </c>
      <c r="X66" s="105">
        <f>+GETPIVOTDATA(" Total # Prof Old",'OLD Counts Pivot Table'!$A$3,"State","MD","Category",5,"Category2","Four-Year")</f>
        <v>0</v>
      </c>
      <c r="Y66" s="105">
        <f>+GETPIVOTDATA(" Total # Prof Old",'OLD Counts Pivot Table'!$A$3,"State","MD","Category",6,"Category2","Four-Year")</f>
        <v>44</v>
      </c>
      <c r="Z66" s="107">
        <f>+GETPIVOTDATA(" Total # Prof Old",'OLD Counts Pivot Table'!$A$3,"State","MD","Category2","Four-Year")</f>
        <v>1377</v>
      </c>
      <c r="AA66" s="104">
        <f>+GETPIVOTDATA(" Total # Prof Old",'OLD Counts Pivot Table'!$A$3,"State","MD","Category",7,"Category2","Group2")</f>
        <v>0</v>
      </c>
      <c r="AB66" s="105">
        <f>+GETPIVOTDATA(" Total # Prof Old",'OLD Counts Pivot Table'!$A$3,"State","MD","Category",8,"Category2","Group2")</f>
        <v>495</v>
      </c>
      <c r="AC66" s="105">
        <f>+GETPIVOTDATA(" Total # Prof Old",'OLD Counts Pivot Table'!$A$3,"State","MD","Category",9,"Category2","Group2")</f>
        <v>275</v>
      </c>
      <c r="AD66" s="105">
        <f>+GETPIVOTDATA(" Total # Prof Old",'OLD Counts Pivot Table'!$A$3,"State","MD","Category",10,"Category2","Group2")</f>
        <v>41</v>
      </c>
      <c r="AE66" s="105">
        <f>+GETPIVOTDATA(" Total # Prof Old",'OLD Counts Pivot Table'!$A$3,"State","MD","Category","11","Category2","Group2")</f>
        <v>0</v>
      </c>
      <c r="AF66" s="107">
        <f>+GETPIVOTDATA(" Total # Prof Old",'OLD Counts Pivot Table'!$A$3,"State","MD","Category2","Group2")</f>
        <v>811</v>
      </c>
      <c r="AG66" s="104">
        <f>+GETPIVOTDATA(" Total # Prof Old",'OLD Counts Pivot Table'!$A$3,"State","MD","Category",12,"Category2","Technical Institutes")</f>
        <v>0</v>
      </c>
      <c r="AH66" s="105">
        <f>+GETPIVOTDATA(" Total # Prof Old",'OLD Counts Pivot Table'!$A$3,"State","MD","Category",13,"Category2","Technical Institutes")</f>
        <v>0</v>
      </c>
      <c r="AI66" s="106">
        <f>+GETPIVOTDATA(" Total # Prof Old",'OLD Counts Pivot Table'!$A$3,"State","MD","Category",14,"Category2","Technical Institutes")</f>
        <v>0</v>
      </c>
      <c r="AJ66" s="104">
        <f>+GETPIVOTDATA(" Total # Prof Old",'OLD Counts Pivot Table'!$A$3,"State","AR","Category2","Technical Institutes")</f>
        <v>0</v>
      </c>
    </row>
    <row r="67" spans="1:38">
      <c r="A67" s="30"/>
      <c r="B67" s="38" t="s">
        <v>333</v>
      </c>
      <c r="C67" s="32">
        <f t="shared" si="24"/>
        <v>0.25525339925834362</v>
      </c>
      <c r="D67" s="34">
        <f t="shared" si="24"/>
        <v>0.30833333333333335</v>
      </c>
      <c r="E67" s="34">
        <f t="shared" si="24"/>
        <v>0.22071713147410357</v>
      </c>
      <c r="F67" s="34">
        <f t="shared" si="24"/>
        <v>0.23370786516853934</v>
      </c>
      <c r="G67" s="34">
        <f t="shared" si="24"/>
        <v>0</v>
      </c>
      <c r="H67" s="68">
        <f t="shared" si="24"/>
        <v>0.31468531468531469</v>
      </c>
      <c r="I67" s="32">
        <f t="shared" si="24"/>
        <v>0.24736079486648727</v>
      </c>
      <c r="J67" s="32">
        <f t="shared" si="24"/>
        <v>0</v>
      </c>
      <c r="K67" s="34">
        <f t="shared" si="24"/>
        <v>0.30318021201413425</v>
      </c>
      <c r="L67" s="34">
        <f t="shared" si="24"/>
        <v>0.20975056689342403</v>
      </c>
      <c r="M67" s="34">
        <f t="shared" ref="M67:M72" si="26">IF(AD$72&gt;0,(AD67/AD$72),0)</f>
        <v>0.29268292682926828</v>
      </c>
      <c r="N67" s="32">
        <f t="shared" si="25"/>
        <v>0.26859504132231404</v>
      </c>
      <c r="O67" s="32">
        <f t="shared" si="25"/>
        <v>0</v>
      </c>
      <c r="P67" s="34">
        <f t="shared" si="25"/>
        <v>0</v>
      </c>
      <c r="Q67" s="68">
        <f t="shared" si="25"/>
        <v>0</v>
      </c>
      <c r="R67" s="32">
        <f t="shared" si="25"/>
        <v>0</v>
      </c>
      <c r="S67" s="87"/>
      <c r="T67" s="108">
        <f>+GETPIVOTDATA(" Tot # Asc. Prof Old",'OLD Counts Pivot Table'!$A$3,"State","MD","Category",1,"Category2","Four-Year")</f>
        <v>413</v>
      </c>
      <c r="U67" s="109">
        <f>+GETPIVOTDATA(" Tot # Asc. Prof Old",'OLD Counts Pivot Table'!$A$3,"State","MD","Category",2,"Category2","Four-Year")</f>
        <v>148</v>
      </c>
      <c r="V67" s="109">
        <f>+GETPIVOTDATA(" Tot # Asc. Prof Old",'OLD Counts Pivot Table'!$A$3,"State","MD","Category",3,"Category2","Four-Year")</f>
        <v>277</v>
      </c>
      <c r="W67" s="109">
        <f>+GETPIVOTDATA(" Tot # Asc. Prof Old",'OLD Counts Pivot Table'!$A$3,"State","MD","Category",4,"Category2","Four-Year")</f>
        <v>312</v>
      </c>
      <c r="X67" s="109">
        <f>+GETPIVOTDATA(" Tot # Asc. Prof Old",'OLD Counts Pivot Table'!$A$3,"State","MD","Category",5,"Category2","Four-Year")</f>
        <v>0</v>
      </c>
      <c r="Y67" s="109">
        <f>+GETPIVOTDATA(" Tot # Asc. Prof Old",'OLD Counts Pivot Table'!$A$3,"State","MD","Category",6,"Category2","Four-Year")</f>
        <v>45</v>
      </c>
      <c r="Z67" s="111">
        <f>+GETPIVOTDATA(" Tot # Asc. Prof Old",'OLD Counts Pivot Table'!$A$3,"State","MD","Category2","Four-Year")</f>
        <v>1195</v>
      </c>
      <c r="AA67" s="108">
        <f>+GETPIVOTDATA(" Tot # Asc. Prof Old",'OLD Counts Pivot Table'!$A$3,"State","MD","Category",7,"Category2","Group2")</f>
        <v>0</v>
      </c>
      <c r="AB67" s="109">
        <f>+GETPIVOTDATA(" Tot # Asc. Prof Old",'OLD Counts Pivot Table'!$A$3,"State","MD","Category",8,"Category2","Group2")</f>
        <v>429</v>
      </c>
      <c r="AC67" s="109">
        <f>+GETPIVOTDATA(" Tot # Asc. Prof Old",'OLD Counts Pivot Table'!$A$3,"State","MD","Category",9,"Category2","Group2")</f>
        <v>185</v>
      </c>
      <c r="AD67" s="109">
        <f>+GETPIVOTDATA(" Tot # Asc. Prof Old",'OLD Counts Pivot Table'!$A$3,"State","MD","Category",10,"Category2","Group2")</f>
        <v>36</v>
      </c>
      <c r="AE67" s="109">
        <f>+GETPIVOTDATA(" Tot # Asc. Prof Old",'OLD Counts Pivot Table'!$A$3,"State","MD","Category","11","Category2","Group2")</f>
        <v>0</v>
      </c>
      <c r="AF67" s="111">
        <f>+GETPIVOTDATA(" Tot # Asc. Prof Old",'OLD Counts Pivot Table'!$A$3,"State","MD","Category2","Group2")</f>
        <v>650</v>
      </c>
      <c r="AG67" s="108">
        <f>+GETPIVOTDATA(" Tot # Asc. Prof Old",'OLD Counts Pivot Table'!$A$3,"State","MD","Category",12,"Category2","Technical Institutes")</f>
        <v>0</v>
      </c>
      <c r="AH67" s="109">
        <f>+GETPIVOTDATA(" Tot # Asc. Prof Old",'OLD Counts Pivot Table'!$A$3,"State","MD","Category",13,"Category2","Technical Institutes")</f>
        <v>0</v>
      </c>
      <c r="AI67" s="110">
        <f>+GETPIVOTDATA(" Tot # Asc. Prof Old",'OLD Counts Pivot Table'!$A$3,"State","MD","Category",14,"Category2","Technical Institutes")</f>
        <v>0</v>
      </c>
      <c r="AJ67" s="108">
        <f>+GETPIVOTDATA(" Tot # Asc. Prof Old",'OLD Counts Pivot Table'!$A$3,"State","AR","Category2","Technical Institutes")</f>
        <v>0</v>
      </c>
    </row>
    <row r="68" spans="1:38">
      <c r="A68" s="30"/>
      <c r="B68" s="38" t="s">
        <v>334</v>
      </c>
      <c r="C68" s="32">
        <f t="shared" si="24"/>
        <v>0.19221260815822003</v>
      </c>
      <c r="D68" s="34">
        <f t="shared" si="24"/>
        <v>0.21458333333333332</v>
      </c>
      <c r="E68" s="34">
        <f t="shared" si="24"/>
        <v>0.30836653386454183</v>
      </c>
      <c r="F68" s="34">
        <f t="shared" si="24"/>
        <v>0.33857677902621724</v>
      </c>
      <c r="G68" s="34">
        <f t="shared" si="24"/>
        <v>0</v>
      </c>
      <c r="H68" s="68">
        <f t="shared" si="24"/>
        <v>0.34265734265734266</v>
      </c>
      <c r="I68" s="32">
        <f t="shared" si="24"/>
        <v>0.26950941833988823</v>
      </c>
      <c r="J68" s="32">
        <f t="shared" si="24"/>
        <v>0</v>
      </c>
      <c r="K68" s="34">
        <f t="shared" si="24"/>
        <v>0.28692579505300353</v>
      </c>
      <c r="L68" s="34">
        <f t="shared" si="24"/>
        <v>0.36507936507936506</v>
      </c>
      <c r="M68" s="34">
        <f t="shared" si="26"/>
        <v>0.27642276422764228</v>
      </c>
      <c r="N68" s="32">
        <f t="shared" si="25"/>
        <v>0.31487603305785122</v>
      </c>
      <c r="O68" s="32">
        <f t="shared" si="25"/>
        <v>0</v>
      </c>
      <c r="P68" s="34">
        <f t="shared" si="25"/>
        <v>0</v>
      </c>
      <c r="Q68" s="68">
        <f t="shared" si="25"/>
        <v>0</v>
      </c>
      <c r="R68" s="32">
        <f t="shared" si="25"/>
        <v>0</v>
      </c>
      <c r="S68" s="87"/>
      <c r="T68" s="108">
        <f>+GETPIVOTDATA(" Tot # Ast. Prof Old",'OLD Counts Pivot Table'!$A$3,"State","MD","Category",1,"Category2","Four-Year")</f>
        <v>311</v>
      </c>
      <c r="U68" s="109">
        <f>+GETPIVOTDATA(" Tot # Ast. Prof Old",'OLD Counts Pivot Table'!$A$3,"State","MD","Category",2,"Category2","Four-Year")</f>
        <v>103</v>
      </c>
      <c r="V68" s="109">
        <f>+GETPIVOTDATA(" Tot # Ast. Prof Old",'OLD Counts Pivot Table'!$A$3,"State","MD","Category",3,"Category2","Four-Year")</f>
        <v>387</v>
      </c>
      <c r="W68" s="109">
        <f>+GETPIVOTDATA(" Tot # Ast. Prof Old",'OLD Counts Pivot Table'!$A$3,"State","MD","Category",4,"Category2","Four-Year")</f>
        <v>452</v>
      </c>
      <c r="X68" s="109">
        <f>+GETPIVOTDATA(" Tot # Ast. Prof Old",'OLD Counts Pivot Table'!$A$3,"State","MD","Category",5,"Category2","Four-Year")</f>
        <v>0</v>
      </c>
      <c r="Y68" s="109">
        <f>+GETPIVOTDATA(" Tot # Ast. Prof Old",'OLD Counts Pivot Table'!$A$3,"State","MD","Category",6,"Category2","Four-Year")</f>
        <v>49</v>
      </c>
      <c r="Z68" s="111">
        <f>+GETPIVOTDATA(" Tot # Ast. Prof Old",'OLD Counts Pivot Table'!$A$3,"State","MD","Category2","Four-Year")</f>
        <v>1302</v>
      </c>
      <c r="AA68" s="108">
        <f>+GETPIVOTDATA(" Tot # Ast. Prof Old",'OLD Counts Pivot Table'!$A$3,"State","MD","Category",7,"Category2","Group2")</f>
        <v>0</v>
      </c>
      <c r="AB68" s="109">
        <f>+GETPIVOTDATA(" Tot # Ast. Prof Old",'OLD Counts Pivot Table'!$A$3,"State","MD","Category",8,"Category2","Group2")</f>
        <v>406</v>
      </c>
      <c r="AC68" s="109">
        <f>+GETPIVOTDATA(" Tot # Ast. Prof Old",'OLD Counts Pivot Table'!$A$3,"State","MD","Category",9,"Category2","Group2")</f>
        <v>322</v>
      </c>
      <c r="AD68" s="109">
        <f>+GETPIVOTDATA(" Tot # Ast. Prof Old",'OLD Counts Pivot Table'!$A$3,"State","MD","Category",10,"Category2","Group2")</f>
        <v>34</v>
      </c>
      <c r="AE68" s="109">
        <f>+GETPIVOTDATA(" Tot # Ast. Prof Old",'OLD Counts Pivot Table'!$A$3,"State","MD","Category","11","Category2","Group2")</f>
        <v>0</v>
      </c>
      <c r="AF68" s="111">
        <f>+GETPIVOTDATA(" Tot # Ast. Prof Old",'OLD Counts Pivot Table'!$A$3,"State","MD","Category2","Group2")</f>
        <v>762</v>
      </c>
      <c r="AG68" s="108">
        <f>+GETPIVOTDATA(" Tot # Ast. Prof Old",'OLD Counts Pivot Table'!$A$3,"State","MD","Category",12,"Category2","Technical Institutes")</f>
        <v>0</v>
      </c>
      <c r="AH68" s="109">
        <f>+GETPIVOTDATA(" Tot # Ast. Prof Old",'OLD Counts Pivot Table'!$A$3,"State","MD","Category",13,"Category2","Technical Institutes")</f>
        <v>0</v>
      </c>
      <c r="AI68" s="110">
        <f>+GETPIVOTDATA(" Tot # Ast. Prof Old",'OLD Counts Pivot Table'!$A$3,"State","MD","Category",14,"Category2","Technical Institutes")</f>
        <v>0</v>
      </c>
      <c r="AJ68" s="108">
        <f>+GETPIVOTDATA(" Tot # Ast. Prof Old",'OLD Counts Pivot Table'!$A$3,"State","AR","Category2","Technical Institutes")</f>
        <v>0</v>
      </c>
    </row>
    <row r="69" spans="1:38">
      <c r="A69" s="30"/>
      <c r="B69" s="38" t="s">
        <v>335</v>
      </c>
      <c r="C69" s="32">
        <f t="shared" si="24"/>
        <v>1.2978986402966625E-2</v>
      </c>
      <c r="D69" s="34">
        <f t="shared" si="24"/>
        <v>2.7083333333333334E-2</v>
      </c>
      <c r="E69" s="34">
        <f t="shared" si="24"/>
        <v>2.9482071713147411E-2</v>
      </c>
      <c r="F69" s="34">
        <f t="shared" si="24"/>
        <v>2.9213483146067417E-2</v>
      </c>
      <c r="G69" s="34">
        <f t="shared" si="24"/>
        <v>0</v>
      </c>
      <c r="H69" s="68">
        <f t="shared" si="24"/>
        <v>3.4965034965034968E-2</v>
      </c>
      <c r="I69" s="32">
        <f t="shared" si="24"/>
        <v>2.3804595321879528E-2</v>
      </c>
      <c r="J69" s="32">
        <f t="shared" si="24"/>
        <v>0</v>
      </c>
      <c r="K69" s="34">
        <f t="shared" si="24"/>
        <v>6.0070671378091869E-2</v>
      </c>
      <c r="L69" s="34">
        <f t="shared" si="24"/>
        <v>0.1111111111111111</v>
      </c>
      <c r="M69" s="34">
        <f t="shared" si="26"/>
        <v>9.7560975609756101E-2</v>
      </c>
      <c r="N69" s="32">
        <f t="shared" si="25"/>
        <v>8.057851239669421E-2</v>
      </c>
      <c r="O69" s="32">
        <f t="shared" si="25"/>
        <v>0</v>
      </c>
      <c r="P69" s="34">
        <f t="shared" si="25"/>
        <v>0</v>
      </c>
      <c r="Q69" s="68">
        <f t="shared" si="25"/>
        <v>0</v>
      </c>
      <c r="R69" s="32">
        <f t="shared" si="25"/>
        <v>0</v>
      </c>
      <c r="S69" s="87"/>
      <c r="T69" s="108">
        <f>+GETPIVOTDATA(" Tot # Instr. Old",'OLD Counts Pivot Table'!$A$3,"State","MD","Category",1,"Category2","Four-Year")</f>
        <v>21</v>
      </c>
      <c r="U69" s="109">
        <f>+GETPIVOTDATA(" Tot # Instr. Old",'OLD Counts Pivot Table'!$A$3,"State","MD","Category",2,"Category2","Four-Year")</f>
        <v>13</v>
      </c>
      <c r="V69" s="109">
        <f>+GETPIVOTDATA(" Tot # Instr. Old",'OLD Counts Pivot Table'!$A$3,"State","MD","Category",3,"Category2","Four-Year")</f>
        <v>37</v>
      </c>
      <c r="W69" s="109">
        <f>+GETPIVOTDATA(" Tot # Instr. Old",'OLD Counts Pivot Table'!$A$3,"State","MD","Category",4,"Category2","Four-Year")</f>
        <v>39</v>
      </c>
      <c r="X69" s="109">
        <f>+GETPIVOTDATA(" Tot # Instr. Old",'OLD Counts Pivot Table'!$A$3,"State","MD","Category",5,"Category2","Four-Year")</f>
        <v>0</v>
      </c>
      <c r="Y69" s="109">
        <f>+GETPIVOTDATA(" Tot # Instr. Old",'OLD Counts Pivot Table'!$A$3,"State","MD","Category",6,"Category2","Four-Year")</f>
        <v>5</v>
      </c>
      <c r="Z69" s="111">
        <f>+GETPIVOTDATA(" Tot # Instr. Old",'OLD Counts Pivot Table'!$A$3,"State","MD","Category2","Four-Year")</f>
        <v>115</v>
      </c>
      <c r="AA69" s="108">
        <f>+GETPIVOTDATA(" Tot # Instr. Old",'OLD Counts Pivot Table'!$A$3,"State","MD","Category",7,"Category2","Group2")</f>
        <v>0</v>
      </c>
      <c r="AB69" s="109">
        <f>+GETPIVOTDATA(" Tot # Instr. Old",'OLD Counts Pivot Table'!$A$3,"State","MD","Category",8,"Category2","Group2")</f>
        <v>85</v>
      </c>
      <c r="AC69" s="109">
        <f>+GETPIVOTDATA(" Tot # Instr. Old",'OLD Counts Pivot Table'!$A$3,"State","MD","Category",9,"Category2","Group2")</f>
        <v>98</v>
      </c>
      <c r="AD69" s="109">
        <f>+GETPIVOTDATA(" Tot # Instr. Old",'OLD Counts Pivot Table'!$A$3,"State","MD","Category",10,"Category2","Group2")</f>
        <v>12</v>
      </c>
      <c r="AE69" s="109">
        <f>+GETPIVOTDATA(" Tot # Instr. Old",'OLD Counts Pivot Table'!$A$3,"State","MD","Category","11","Category2","Group2")</f>
        <v>0</v>
      </c>
      <c r="AF69" s="111">
        <f>+GETPIVOTDATA(" Tot # Instr. Old",'OLD Counts Pivot Table'!$A$3,"State","MD","Category2","Group2")</f>
        <v>195</v>
      </c>
      <c r="AG69" s="108">
        <f>+GETPIVOTDATA(" Tot # Instr. Old",'OLD Counts Pivot Table'!$A$3,"State","MD","Category",12,"Category2","Technical Institutes")</f>
        <v>0</v>
      </c>
      <c r="AH69" s="109">
        <f>+GETPIVOTDATA(" Tot # Instr. Old",'OLD Counts Pivot Table'!$A$3,"State","MD","Category",13,"Category2","Technical Institutes")</f>
        <v>0</v>
      </c>
      <c r="AI69" s="110">
        <f>+GETPIVOTDATA(" Tot # Instr. Old",'OLD Counts Pivot Table'!$A$3,"State","MD","Category",14,"Category2","Technical Institutes")</f>
        <v>0</v>
      </c>
      <c r="AJ69" s="108">
        <f>+GETPIVOTDATA(" Tot # Instr. Old",'OLD Counts Pivot Table'!$A$3,"State","AR","Category2","Technical Institutes")</f>
        <v>0</v>
      </c>
    </row>
    <row r="70" spans="1:38">
      <c r="A70" s="30"/>
      <c r="B70" s="38" t="s">
        <v>315</v>
      </c>
      <c r="C70" s="32">
        <f t="shared" si="24"/>
        <v>0.13349814585908529</v>
      </c>
      <c r="D70" s="34">
        <f t="shared" si="24"/>
        <v>0.14374999999999999</v>
      </c>
      <c r="E70" s="34">
        <f t="shared" si="24"/>
        <v>0.26294820717131473</v>
      </c>
      <c r="F70" s="34">
        <f t="shared" si="24"/>
        <v>0.17003745318352059</v>
      </c>
      <c r="G70" s="34">
        <f t="shared" si="24"/>
        <v>0</v>
      </c>
      <c r="H70" s="68">
        <f t="shared" si="24"/>
        <v>0</v>
      </c>
      <c r="I70" s="32">
        <f t="shared" si="24"/>
        <v>0.17429103705237012</v>
      </c>
      <c r="J70" s="32">
        <f t="shared" si="24"/>
        <v>0</v>
      </c>
      <c r="K70" s="34">
        <f t="shared" si="24"/>
        <v>0</v>
      </c>
      <c r="L70" s="34">
        <f t="shared" si="24"/>
        <v>2.2675736961451248E-3</v>
      </c>
      <c r="M70" s="236">
        <f t="shared" si="26"/>
        <v>0</v>
      </c>
      <c r="N70" s="237">
        <f t="shared" si="25"/>
        <v>8.2644628099173552E-4</v>
      </c>
      <c r="O70" s="32">
        <f t="shared" si="25"/>
        <v>0</v>
      </c>
      <c r="P70" s="34">
        <f t="shared" si="25"/>
        <v>0</v>
      </c>
      <c r="Q70" s="68">
        <f t="shared" si="25"/>
        <v>0</v>
      </c>
      <c r="R70" s="32">
        <f t="shared" si="25"/>
        <v>0</v>
      </c>
      <c r="S70" s="87"/>
      <c r="T70" s="108">
        <f>++GETPIVOTDATA(" Tot # Undes. Old",'OLD Counts Pivot Table'!$A$3,"State","MD","Category",1,"Category2","Four-Year")</f>
        <v>216</v>
      </c>
      <c r="U70" s="109">
        <f>+GETPIVOTDATA(" Tot # Undes. Old",'OLD Counts Pivot Table'!$A$3,"State","MD","Category",2,"Category2","Four-Year")</f>
        <v>69</v>
      </c>
      <c r="V70" s="109">
        <f>+GETPIVOTDATA(" Tot # Undes. Old",'OLD Counts Pivot Table'!$A$3,"State","MD","Category",3,"Category2","Four-Year")</f>
        <v>330</v>
      </c>
      <c r="W70" s="109">
        <f>+GETPIVOTDATA(" Tot # Undes. Old",'OLD Counts Pivot Table'!$A$3,"State","MD","Category",4,"Category2","Four-Year")</f>
        <v>227</v>
      </c>
      <c r="X70" s="109">
        <f>+GETPIVOTDATA(" Tot # Undes. Old",'OLD Counts Pivot Table'!$A$3,"State","MD","Category",5,"Category2","Four-Year")</f>
        <v>0</v>
      </c>
      <c r="Y70" s="109">
        <f>+GETPIVOTDATA(" Tot # Undes. Old",'OLD Counts Pivot Table'!$A$3,"State","MD","Category",6,"Category2","Four-Year")</f>
        <v>0</v>
      </c>
      <c r="Z70" s="111">
        <f>+GETPIVOTDATA(" Tot # Undes. Old",'OLD Counts Pivot Table'!$A$3,"State","MD","Category2","Four-Year")</f>
        <v>842</v>
      </c>
      <c r="AA70" s="108">
        <f>+GETPIVOTDATA(" Tot # Undes. Old",'OLD Counts Pivot Table'!$A$3,"State","MD","Category",7,"Category2","Group2")</f>
        <v>0</v>
      </c>
      <c r="AB70" s="109">
        <f>+GETPIVOTDATA(" Tot # Undes. Old",'OLD Counts Pivot Table'!$A$3,"State","MD","Category",8,"Category2","Group2")</f>
        <v>0</v>
      </c>
      <c r="AC70" s="109">
        <f>+GETPIVOTDATA(" Tot # Undes. Old",'OLD Counts Pivot Table'!$A$3,"State","MD","Category",9,"Category2","Group2")</f>
        <v>2</v>
      </c>
      <c r="AD70" s="109">
        <f>+GETPIVOTDATA(" Tot # Undes. Old",'OLD Counts Pivot Table'!$A$3,"State","MD","Category",10,"Category2","Group2")</f>
        <v>0</v>
      </c>
      <c r="AE70" s="109">
        <f>+GETPIVOTDATA(" Tot # Undes. Old",'OLD Counts Pivot Table'!$A$3,"State","MD","Category","11","Category2","Group2")</f>
        <v>0</v>
      </c>
      <c r="AF70" s="111">
        <f>+GETPIVOTDATA(" Tot # Undes. Old",'OLD Counts Pivot Table'!$A$3,"State","MD","Category2","Group2")</f>
        <v>2</v>
      </c>
      <c r="AG70" s="108">
        <f>+GETPIVOTDATA(" Tot # Undes. Old",'OLD Counts Pivot Table'!$A$3,"State","MD","Category",12,"Category2","Technical Institutes")</f>
        <v>0</v>
      </c>
      <c r="AH70" s="109">
        <f>+GETPIVOTDATA(" Tot # Undes. Old",'OLD Counts Pivot Table'!$A$3,"State","MD","Category",13,"Category2","Technical Institutes")</f>
        <v>0</v>
      </c>
      <c r="AI70" s="110">
        <f>+GETPIVOTDATA(" Tot # Undes. Old",'OLD Counts Pivot Table'!$A$3,"State","MD","Category",14,"Category2","Technical Institutes")</f>
        <v>0</v>
      </c>
      <c r="AJ70" s="108">
        <f>+GETPIVOTDATA(" Tot # Undes. Old",'OLD Counts Pivot Table'!$A$3,"State","AR","Category2","Technical Institutes")</f>
        <v>0</v>
      </c>
    </row>
    <row r="71" spans="1:38">
      <c r="A71" s="30"/>
      <c r="B71" s="38" t="s">
        <v>314</v>
      </c>
      <c r="C71" s="32">
        <f t="shared" si="24"/>
        <v>0</v>
      </c>
      <c r="D71" s="34">
        <f t="shared" si="24"/>
        <v>0</v>
      </c>
      <c r="E71" s="185">
        <f t="shared" si="24"/>
        <v>0</v>
      </c>
      <c r="F71" s="34">
        <f t="shared" si="24"/>
        <v>0</v>
      </c>
      <c r="G71" s="185">
        <f t="shared" si="24"/>
        <v>0</v>
      </c>
      <c r="H71" s="68">
        <f t="shared" si="24"/>
        <v>0</v>
      </c>
      <c r="I71" s="184">
        <f t="shared" si="24"/>
        <v>0</v>
      </c>
      <c r="J71" s="32">
        <f t="shared" si="24"/>
        <v>0</v>
      </c>
      <c r="K71" s="34">
        <f t="shared" si="24"/>
        <v>0</v>
      </c>
      <c r="L71" s="34">
        <f t="shared" si="24"/>
        <v>0</v>
      </c>
      <c r="M71" s="34">
        <f t="shared" si="26"/>
        <v>0</v>
      </c>
      <c r="N71" s="32">
        <f t="shared" si="25"/>
        <v>0</v>
      </c>
      <c r="O71" s="32">
        <f t="shared" si="25"/>
        <v>0</v>
      </c>
      <c r="P71" s="34">
        <f t="shared" si="25"/>
        <v>0</v>
      </c>
      <c r="Q71" s="68">
        <f t="shared" si="25"/>
        <v>0</v>
      </c>
      <c r="R71" s="32">
        <f t="shared" si="25"/>
        <v>0</v>
      </c>
      <c r="S71" s="87"/>
      <c r="T71" s="108">
        <f>+GETPIVOTDATA(" Tot # Single Rnk Old",'OLD Counts Pivot Table'!$A$3,"State","MD","Category",1,"Category2","Four-Year")</f>
        <v>0</v>
      </c>
      <c r="U71" s="109">
        <f>+GETPIVOTDATA(" Tot # Single Rnk Old",'OLD Counts Pivot Table'!$A$3,"State","MD","Category",2,"Category2","Four-Year")</f>
        <v>0</v>
      </c>
      <c r="V71" s="109">
        <f>+GETPIVOTDATA(" Tot # Single Rnk Old",'OLD Counts Pivot Table'!$A$3,"State","MD","Category",3,"Category2","Four-Year")</f>
        <v>0</v>
      </c>
      <c r="W71" s="109">
        <f>+GETPIVOTDATA(" Tot # Single Rnk Old",'OLD Counts Pivot Table'!$A$3,"State","MD","Category",4,"Category2","Four-Year")</f>
        <v>0</v>
      </c>
      <c r="X71" s="109">
        <f>+GETPIVOTDATA(" Tot # Single Rnk Old",'OLD Counts Pivot Table'!$A$3,"State","MD","Category",5,"Category2","Four-Year")</f>
        <v>0</v>
      </c>
      <c r="Y71" s="109">
        <f>+GETPIVOTDATA(" Tot # Single Rnk Old",'OLD Counts Pivot Table'!$A$3,"State","MD","Category",6,"Category2","Four-Year")</f>
        <v>0</v>
      </c>
      <c r="Z71" s="111">
        <f>+GETPIVOTDATA(" Tot # Single Rnk Old",'OLD Counts Pivot Table'!$A$3,"State","MD","Category2","Four-Year")</f>
        <v>0</v>
      </c>
      <c r="AA71" s="108">
        <f>+GETPIVOTDATA(" Tot # Single Rnk Old",'OLD Counts Pivot Table'!$A$3,"State","MD","Category",7,"Category2","Group2")</f>
        <v>0</v>
      </c>
      <c r="AB71" s="109">
        <f>+GETPIVOTDATA(" Tot # Single Rnk Old",'OLD Counts Pivot Table'!$A$3,"State","MD","Category",8,"Category2","Group2")</f>
        <v>0</v>
      </c>
      <c r="AC71" s="109">
        <f>+GETPIVOTDATA(" Tot # Single Rnk Old",'OLD Counts Pivot Table'!$A$3,"State","MD","Category",9,"Category2","Group2")</f>
        <v>0</v>
      </c>
      <c r="AD71" s="109">
        <f>+GETPIVOTDATA(" Tot # Single Rnk Old",'OLD Counts Pivot Table'!$A$3,"State","MD","Category",10,"Category2","Group2")</f>
        <v>0</v>
      </c>
      <c r="AE71" s="109">
        <f>+GETPIVOTDATA(" Tot # Single Rnk Old",'OLD Counts Pivot Table'!$A$3,"State","MD","Category","11","Category2","Group2")</f>
        <v>0</v>
      </c>
      <c r="AF71" s="111">
        <f>+GETPIVOTDATA(" Tot # Single Rnk Old",'OLD Counts Pivot Table'!$A$3,"State","MD","Category2","Group2")</f>
        <v>0</v>
      </c>
      <c r="AG71" s="108">
        <f>+GETPIVOTDATA(" Tot # Single Rnk Old",'OLD Counts Pivot Table'!$A$3,"State","MD","Category",12,"Category2","Technical Institutes")</f>
        <v>0</v>
      </c>
      <c r="AH71" s="109">
        <f>+GETPIVOTDATA(" Tot # Single Rnk Old",'OLD Counts Pivot Table'!$A$3,"State","MD","Category",13,"Category2","Technical Institutes")</f>
        <v>0</v>
      </c>
      <c r="AI71" s="110">
        <f>+GETPIVOTDATA(" Tot # Single Rnk Old",'OLD Counts Pivot Table'!$A$3,"State","MD","Category",14,"Category2","Technical Institutes")</f>
        <v>0</v>
      </c>
      <c r="AJ71" s="108">
        <f>+GETPIVOTDATA(" Tot # Single Rnk Old",'OLD Counts Pivot Table'!$A$3,"State","AR","Category2","Technical Institutes")</f>
        <v>0</v>
      </c>
    </row>
    <row r="72" spans="1:38" s="54" customFormat="1">
      <c r="A72" s="191"/>
      <c r="B72" s="192" t="s">
        <v>316</v>
      </c>
      <c r="C72" s="33">
        <f t="shared" si="24"/>
        <v>1</v>
      </c>
      <c r="D72" s="31">
        <f t="shared" si="24"/>
        <v>1</v>
      </c>
      <c r="E72" s="31">
        <f t="shared" si="24"/>
        <v>1</v>
      </c>
      <c r="F72" s="31">
        <f t="shared" si="24"/>
        <v>1</v>
      </c>
      <c r="G72" s="31">
        <f t="shared" si="24"/>
        <v>0</v>
      </c>
      <c r="H72" s="69">
        <f t="shared" si="24"/>
        <v>1</v>
      </c>
      <c r="I72" s="33">
        <f t="shared" si="24"/>
        <v>1</v>
      </c>
      <c r="J72" s="33">
        <f t="shared" si="24"/>
        <v>0</v>
      </c>
      <c r="K72" s="31">
        <f t="shared" si="24"/>
        <v>1</v>
      </c>
      <c r="L72" s="31">
        <f t="shared" si="24"/>
        <v>1</v>
      </c>
      <c r="M72" s="31">
        <f t="shared" si="26"/>
        <v>1</v>
      </c>
      <c r="N72" s="33">
        <f t="shared" si="25"/>
        <v>1</v>
      </c>
      <c r="O72" s="33">
        <f t="shared" si="25"/>
        <v>0</v>
      </c>
      <c r="P72" s="31">
        <f t="shared" si="25"/>
        <v>0</v>
      </c>
      <c r="Q72" s="69">
        <f t="shared" si="25"/>
        <v>0</v>
      </c>
      <c r="R72" s="33">
        <f t="shared" si="25"/>
        <v>0</v>
      </c>
      <c r="S72" s="88"/>
      <c r="T72" s="112">
        <f>+GETPIVOTDATA(" All Ranks # Old",'OLD Counts Pivot Table'!$A$3,"State","MD","Category",1,"Category2","Four-Year")</f>
        <v>1618</v>
      </c>
      <c r="U72" s="113">
        <f>+GETPIVOTDATA(" All Ranks # Old",'OLD Counts Pivot Table'!$A$3,"State","MD","Category",2,"Category2","Four-Year")</f>
        <v>480</v>
      </c>
      <c r="V72" s="113">
        <f>+GETPIVOTDATA(" All Ranks # Old",'OLD Counts Pivot Table'!$A$3,"State","MD","Category",3,"Category2","Four-Year")</f>
        <v>1255</v>
      </c>
      <c r="W72" s="113">
        <f>+GETPIVOTDATA(" All Ranks # Old",'OLD Counts Pivot Table'!$A$3,"State","MD","Category",4,"Category2","Four-Year")</f>
        <v>1335</v>
      </c>
      <c r="X72" s="113">
        <f>+GETPIVOTDATA(" All Ranks # Old",'OLD Counts Pivot Table'!$A$3,"State","MD","Category",5,"Category2","Four-Year")</f>
        <v>0</v>
      </c>
      <c r="Y72" s="113">
        <f>+GETPIVOTDATA(" All Ranks # Old",'OLD Counts Pivot Table'!$A$3,"State","MD","Category",6,"Category2","Four-Year")</f>
        <v>143</v>
      </c>
      <c r="Z72" s="115">
        <f>+GETPIVOTDATA(" All Ranks # Old",'OLD Counts Pivot Table'!$A$3,"State","MD","Category2","Four-Year")</f>
        <v>4831</v>
      </c>
      <c r="AA72" s="112">
        <f>+GETPIVOTDATA(" All Ranks # Old",'OLD Counts Pivot Table'!$A$3,"State","MD","Category",7,"Category2","Group2")</f>
        <v>0</v>
      </c>
      <c r="AB72" s="113">
        <f>+GETPIVOTDATA(" All Ranks # Old",'OLD Counts Pivot Table'!$A$3,"State","MD","Category",8,"Category2","Group2")</f>
        <v>1415</v>
      </c>
      <c r="AC72" s="113">
        <f>+GETPIVOTDATA(" All Ranks # Old",'OLD Counts Pivot Table'!$A$3,"State","MD","Category",9,"Category2","Group2")</f>
        <v>882</v>
      </c>
      <c r="AD72" s="113">
        <f>+GETPIVOTDATA(" All Ranks # Old",'OLD Counts Pivot Table'!$A$3,"State","MD","Category",10,"Category2","Group2")</f>
        <v>123</v>
      </c>
      <c r="AE72" s="113">
        <f>+GETPIVOTDATA(" All Ranks # Old",'OLD Counts Pivot Table'!$A$3,"State","MD","Category","11","Category2","Group2")</f>
        <v>0</v>
      </c>
      <c r="AF72" s="115">
        <f>+GETPIVOTDATA(" All Ranks # Old",'OLD Counts Pivot Table'!$A$3,"State","MD","Category2","Group2")</f>
        <v>2420</v>
      </c>
      <c r="AG72" s="112">
        <f>+GETPIVOTDATA(" All Ranks # Old",'OLD Counts Pivot Table'!$A$3,"State","MD","Category",12,"Category2","Technical Institutes")</f>
        <v>0</v>
      </c>
      <c r="AH72" s="113">
        <f>+GETPIVOTDATA(" All Ranks # Old",'OLD Counts Pivot Table'!$A$3,"State","MD","Category",13,"Category2","Technical Institutes")</f>
        <v>0</v>
      </c>
      <c r="AI72" s="114">
        <f>+GETPIVOTDATA(" All Ranks # Old",'OLD Counts Pivot Table'!$A$3,"State","MD","Category",14,"Category2","Technical Institutes")</f>
        <v>0</v>
      </c>
      <c r="AJ72" s="112">
        <f>+GETPIVOTDATA(" All Ranks # Old",'OLD Counts Pivot Table'!$A$3,"State","AR","Category2","Technical Institutes")</f>
        <v>0</v>
      </c>
      <c r="AK72" s="116"/>
      <c r="AL72" s="116"/>
    </row>
    <row r="73" spans="1:38">
      <c r="A73" s="38" t="s">
        <v>341</v>
      </c>
      <c r="B73" s="35" t="s">
        <v>332</v>
      </c>
      <c r="C73" s="36">
        <f t="shared" ref="C73:M79" si="27">IF(T$79&gt;0,(T73/T$79),0)</f>
        <v>0.2362537764350453</v>
      </c>
      <c r="D73" s="37">
        <f t="shared" si="27"/>
        <v>0.20944741532976827</v>
      </c>
      <c r="E73" s="37">
        <f t="shared" si="27"/>
        <v>0</v>
      </c>
      <c r="F73" s="37">
        <f t="shared" si="27"/>
        <v>0.16535433070866143</v>
      </c>
      <c r="G73" s="37">
        <f t="shared" si="27"/>
        <v>0.19402985074626866</v>
      </c>
      <c r="H73" s="67">
        <f t="shared" si="27"/>
        <v>0</v>
      </c>
      <c r="I73" s="36">
        <f t="shared" si="27"/>
        <v>0.21526762211172856</v>
      </c>
      <c r="J73" s="36">
        <f t="shared" si="27"/>
        <v>0</v>
      </c>
      <c r="K73" s="37">
        <f t="shared" si="27"/>
        <v>0</v>
      </c>
      <c r="L73" s="37">
        <f t="shared" si="27"/>
        <v>0</v>
      </c>
      <c r="M73" s="37">
        <f t="shared" si="27"/>
        <v>0</v>
      </c>
      <c r="N73" s="36">
        <f t="shared" ref="N73:R79" si="28">IF(AF$79&gt;0,(AF73/AF$79),0)</f>
        <v>0</v>
      </c>
      <c r="O73" s="152">
        <f t="shared" si="28"/>
        <v>0</v>
      </c>
      <c r="P73" s="37">
        <f t="shared" si="28"/>
        <v>0</v>
      </c>
      <c r="Q73" s="67">
        <f t="shared" si="28"/>
        <v>0</v>
      </c>
      <c r="R73" s="152">
        <f t="shared" si="28"/>
        <v>0</v>
      </c>
      <c r="S73" s="117"/>
      <c r="T73" s="104">
        <f>+GETPIVOTDATA(" Total # Prof Old",'OLD Counts Pivot Table'!$A$3,"State","MS","Category",1,"Category2","Four-Year")</f>
        <v>391</v>
      </c>
      <c r="U73" s="105">
        <f>+GETPIVOTDATA(" Total # Prof Old",'OLD Counts Pivot Table'!$A$3,"State","MS","Category",2,"Category2","Four-Year")</f>
        <v>235</v>
      </c>
      <c r="V73" s="105">
        <f>+GETPIVOTDATA(" Total # Prof Old",'OLD Counts Pivot Table'!$A$3,"State","MS","Category",3,"Category2","Four-Year")</f>
        <v>0</v>
      </c>
      <c r="W73" s="105">
        <f>+GETPIVOTDATA(" Total # Prof Old",'OLD Counts Pivot Table'!$A$3,"State","MS","Category",4,"Category2","Four-Year")</f>
        <v>84</v>
      </c>
      <c r="X73" s="105">
        <f>+GETPIVOTDATA(" Total # Prof Old",'OLD Counts Pivot Table'!$A$3,"State","MS","Category",5,"Category2","Four-Year")</f>
        <v>26</v>
      </c>
      <c r="Y73" s="105">
        <f>+GETPIVOTDATA(" Total # Prof Old",'OLD Counts Pivot Table'!$A$3,"State","MS","Category",6,"Category2","Four-Year")</f>
        <v>0</v>
      </c>
      <c r="Z73" s="107">
        <f>+GETPIVOTDATA(" Total # Prof Old",'OLD Counts Pivot Table'!$A$3,"State","MS","Category2","Four-Year")</f>
        <v>736</v>
      </c>
      <c r="AA73" s="104">
        <f>+GETPIVOTDATA(" Total # Prof Old",'OLD Counts Pivot Table'!$A$3,"State","MS","Category",7,"Category2","Group2")</f>
        <v>0</v>
      </c>
      <c r="AB73" s="105">
        <f>+GETPIVOTDATA(" Total # Prof Old",'OLD Counts Pivot Table'!$A$3,"State","MS","Category",8,"Category2","Group2")</f>
        <v>0</v>
      </c>
      <c r="AC73" s="105">
        <f>+GETPIVOTDATA(" Total # Prof Old",'OLD Counts Pivot Table'!$A$3,"State","MS","Category",9,"Category2","Group2")</f>
        <v>0</v>
      </c>
      <c r="AD73" s="105">
        <f>+GETPIVOTDATA(" Total # Prof Old",'OLD Counts Pivot Table'!$A$3,"State","MS","Category",10,"Category2","Group2")</f>
        <v>0</v>
      </c>
      <c r="AE73" s="105">
        <f>+GETPIVOTDATA(" Total # Prof Old",'OLD Counts Pivot Table'!$A$3,"State","MS","Category","11","Category2","Group2")</f>
        <v>0</v>
      </c>
      <c r="AF73" s="107">
        <f>+GETPIVOTDATA(" Total # Prof Old",'OLD Counts Pivot Table'!$A$3,"State","MS","Category2","Group2")</f>
        <v>0</v>
      </c>
      <c r="AG73" s="104">
        <f>+GETPIVOTDATA(" Total # Prof Old",'OLD Counts Pivot Table'!$A$3,"State","MS","Category",12,"Category2","Technical Institutes")</f>
        <v>0</v>
      </c>
      <c r="AH73" s="105">
        <f>+GETPIVOTDATA(" Total # Prof Old",'OLD Counts Pivot Table'!$A$3,"State","MS","Category",13,"Category2","Technical Institutes")</f>
        <v>0</v>
      </c>
      <c r="AI73" s="106">
        <f>+GETPIVOTDATA(" Total # Prof Old",'OLD Counts Pivot Table'!$A$3,"State","MS","Category",14,"Category2","Technical Institutes")</f>
        <v>0</v>
      </c>
      <c r="AJ73" s="104">
        <f>+GETPIVOTDATA(" Total # Prof Old",'OLD Counts Pivot Table'!$A$3,"State","AR","Category2","Technical Institutes")</f>
        <v>0</v>
      </c>
    </row>
    <row r="74" spans="1:38">
      <c r="A74" s="30"/>
      <c r="B74" s="38" t="s">
        <v>333</v>
      </c>
      <c r="C74" s="32">
        <f t="shared" si="27"/>
        <v>0.23262839879154079</v>
      </c>
      <c r="D74" s="34">
        <f t="shared" si="27"/>
        <v>0.2700534759358289</v>
      </c>
      <c r="E74" s="34">
        <f t="shared" si="27"/>
        <v>0</v>
      </c>
      <c r="F74" s="34">
        <f t="shared" si="27"/>
        <v>0.19881889763779528</v>
      </c>
      <c r="G74" s="34">
        <f t="shared" si="27"/>
        <v>0.15671641791044777</v>
      </c>
      <c r="H74" s="68">
        <f t="shared" si="27"/>
        <v>0</v>
      </c>
      <c r="I74" s="32">
        <f t="shared" si="27"/>
        <v>0.23691137759578823</v>
      </c>
      <c r="J74" s="32">
        <f t="shared" si="27"/>
        <v>0</v>
      </c>
      <c r="K74" s="34">
        <f t="shared" si="27"/>
        <v>0</v>
      </c>
      <c r="L74" s="34">
        <f t="shared" si="27"/>
        <v>0</v>
      </c>
      <c r="M74" s="34">
        <f t="shared" ref="M74:M79" si="29">IF(AD$79&gt;0,(AD74/AD$79),0)</f>
        <v>0</v>
      </c>
      <c r="N74" s="32">
        <f t="shared" si="28"/>
        <v>0</v>
      </c>
      <c r="O74" s="32">
        <f t="shared" si="28"/>
        <v>0</v>
      </c>
      <c r="P74" s="34">
        <f t="shared" si="28"/>
        <v>0</v>
      </c>
      <c r="Q74" s="68">
        <f t="shared" si="28"/>
        <v>0</v>
      </c>
      <c r="R74" s="32">
        <f t="shared" si="28"/>
        <v>0</v>
      </c>
      <c r="S74" s="87"/>
      <c r="T74" s="108">
        <f>+GETPIVOTDATA(" Tot # Asc. Prof Old",'OLD Counts Pivot Table'!$A$3,"State","MS","Category",1,"Category2","Four-Year")</f>
        <v>385</v>
      </c>
      <c r="U74" s="109">
        <f>+GETPIVOTDATA(" Tot # Asc. Prof Old",'OLD Counts Pivot Table'!$A$3,"State","MS","Category",2,"Category2","Four-Year")</f>
        <v>303</v>
      </c>
      <c r="V74" s="109">
        <f>+GETPIVOTDATA(" Tot # Asc. Prof Old",'OLD Counts Pivot Table'!$A$3,"State","MS","Category",3,"Category2","Four-Year")</f>
        <v>0</v>
      </c>
      <c r="W74" s="109">
        <f>+GETPIVOTDATA(" Tot # Asc. Prof Old",'OLD Counts Pivot Table'!$A$3,"State","MS","Category",4,"Category2","Four-Year")</f>
        <v>101</v>
      </c>
      <c r="X74" s="109">
        <f>+GETPIVOTDATA(" Tot # Asc. Prof Old",'OLD Counts Pivot Table'!$A$3,"State","MS","Category",5,"Category2","Four-Year")</f>
        <v>21</v>
      </c>
      <c r="Y74" s="109">
        <f>+GETPIVOTDATA(" Tot # Asc. Prof Old",'OLD Counts Pivot Table'!$A$3,"State","MS","Category",6,"Category2","Four-Year")</f>
        <v>0</v>
      </c>
      <c r="Z74" s="111">
        <f>+GETPIVOTDATA(" Tot # Asc. Prof Old",'OLD Counts Pivot Table'!$A$3,"State","MS","Category2","Four-Year")</f>
        <v>810</v>
      </c>
      <c r="AA74" s="108">
        <f>+GETPIVOTDATA(" Tot # Asc. Prof Old",'OLD Counts Pivot Table'!$A$3,"State","MS","Category",7,"Category2","Group2")</f>
        <v>0</v>
      </c>
      <c r="AB74" s="109">
        <f>+GETPIVOTDATA(" Tot # Asc. Prof Old",'OLD Counts Pivot Table'!$A$3,"State","MS","Category",8,"Category2","Group2")</f>
        <v>0</v>
      </c>
      <c r="AC74" s="109">
        <f>+GETPIVOTDATA(" Tot # Asc. Prof Old",'OLD Counts Pivot Table'!$A$3,"State","MS","Category",9,"Category2","Group2")</f>
        <v>0</v>
      </c>
      <c r="AD74" s="109">
        <f>+GETPIVOTDATA(" Tot # Asc. Prof Old",'OLD Counts Pivot Table'!$A$3,"State","MS","Category",10,"Category2","Group2")</f>
        <v>0</v>
      </c>
      <c r="AE74" s="109">
        <f>+GETPIVOTDATA(" Tot # Asc. Prof Old",'OLD Counts Pivot Table'!$A$3,"State","MS","Category","11","Category2","Group2")</f>
        <v>0</v>
      </c>
      <c r="AF74" s="111">
        <f>+GETPIVOTDATA(" Tot # Asc. Prof Old",'OLD Counts Pivot Table'!$A$3,"State","MS","Category2","Group2")</f>
        <v>0</v>
      </c>
      <c r="AG74" s="108">
        <f>+GETPIVOTDATA(" Tot # Asc. Prof Old",'OLD Counts Pivot Table'!$A$3,"State","MS","Category",12,"Category2","Technical Institutes")</f>
        <v>0</v>
      </c>
      <c r="AH74" s="109">
        <f>+GETPIVOTDATA(" Tot # Asc. Prof Old",'OLD Counts Pivot Table'!$A$3,"State","MS","Category",13,"Category2","Technical Institutes")</f>
        <v>0</v>
      </c>
      <c r="AI74" s="110">
        <f>+GETPIVOTDATA(" Tot # Asc. Prof Old",'OLD Counts Pivot Table'!$A$3,"State","MS","Category",14,"Category2","Technical Institutes")</f>
        <v>0</v>
      </c>
      <c r="AJ74" s="108">
        <f>+GETPIVOTDATA(" Tot # Asc. Prof Old",'OLD Counts Pivot Table'!$A$3,"State","AR","Category2","Technical Institutes")</f>
        <v>0</v>
      </c>
    </row>
    <row r="75" spans="1:38">
      <c r="A75" s="30"/>
      <c r="B75" s="38" t="s">
        <v>334</v>
      </c>
      <c r="C75" s="32">
        <f t="shared" si="27"/>
        <v>0.33353474320241694</v>
      </c>
      <c r="D75" s="34">
        <f t="shared" si="27"/>
        <v>0.32976827094474154</v>
      </c>
      <c r="E75" s="34">
        <f t="shared" si="27"/>
        <v>0</v>
      </c>
      <c r="F75" s="34">
        <f t="shared" si="27"/>
        <v>0.39173228346456695</v>
      </c>
      <c r="G75" s="34">
        <f t="shared" si="27"/>
        <v>0.26865671641791045</v>
      </c>
      <c r="H75" s="68">
        <f t="shared" si="27"/>
        <v>0</v>
      </c>
      <c r="I75" s="32">
        <f t="shared" si="27"/>
        <v>0.33840304182509506</v>
      </c>
      <c r="J75" s="32">
        <f t="shared" si="27"/>
        <v>0</v>
      </c>
      <c r="K75" s="34">
        <f t="shared" si="27"/>
        <v>0</v>
      </c>
      <c r="L75" s="34">
        <f t="shared" si="27"/>
        <v>0</v>
      </c>
      <c r="M75" s="34">
        <f t="shared" si="29"/>
        <v>0</v>
      </c>
      <c r="N75" s="32">
        <f t="shared" si="28"/>
        <v>0</v>
      </c>
      <c r="O75" s="32">
        <f t="shared" si="28"/>
        <v>0</v>
      </c>
      <c r="P75" s="34">
        <f t="shared" si="28"/>
        <v>0</v>
      </c>
      <c r="Q75" s="68">
        <f t="shared" si="28"/>
        <v>0</v>
      </c>
      <c r="R75" s="32">
        <f t="shared" si="28"/>
        <v>0</v>
      </c>
      <c r="S75" s="87"/>
      <c r="T75" s="108">
        <f>+GETPIVOTDATA(" Tot # Ast. Prof Old",'OLD Counts Pivot Table'!$A$3,"State","MS","Category",1,"Category2","Four-Year")</f>
        <v>552</v>
      </c>
      <c r="U75" s="109">
        <f>+GETPIVOTDATA(" Tot # Ast. Prof Old",'OLD Counts Pivot Table'!$A$3,"State","MS","Category",2,"Category2","Four-Year")</f>
        <v>370</v>
      </c>
      <c r="V75" s="109">
        <f>+GETPIVOTDATA(" Tot # Ast. Prof Old",'OLD Counts Pivot Table'!$A$3,"State","MS","Category",3,"Category2","Four-Year")</f>
        <v>0</v>
      </c>
      <c r="W75" s="109">
        <f>+GETPIVOTDATA(" Tot # Ast. Prof Old",'OLD Counts Pivot Table'!$A$3,"State","MS","Category",4,"Category2","Four-Year")</f>
        <v>199</v>
      </c>
      <c r="X75" s="109">
        <f>+GETPIVOTDATA(" Tot # Ast. Prof Old",'OLD Counts Pivot Table'!$A$3,"State","MS","Category",5,"Category2","Four-Year")</f>
        <v>36</v>
      </c>
      <c r="Y75" s="109">
        <f>+GETPIVOTDATA(" Tot # Ast. Prof Old",'OLD Counts Pivot Table'!$A$3,"State","MS","Category",6,"Category2","Four-Year")</f>
        <v>0</v>
      </c>
      <c r="Z75" s="111">
        <f>+GETPIVOTDATA(" Tot # Ast. Prof Old",'OLD Counts Pivot Table'!$A$3,"State","MS","Category2","Four-Year")</f>
        <v>1157</v>
      </c>
      <c r="AA75" s="108">
        <f>+GETPIVOTDATA(" Tot # Ast. Prof Old",'OLD Counts Pivot Table'!$A$3,"State","MS","Category",7,"Category2","Group2")</f>
        <v>0</v>
      </c>
      <c r="AB75" s="109">
        <f>+GETPIVOTDATA(" Tot # Ast. Prof Old",'OLD Counts Pivot Table'!$A$3,"State","MS","Category",8,"Category2","Group2")</f>
        <v>0</v>
      </c>
      <c r="AC75" s="109">
        <f>+GETPIVOTDATA(" Tot # Ast. Prof Old",'OLD Counts Pivot Table'!$A$3,"State","MS","Category",9,"Category2","Group2")</f>
        <v>0</v>
      </c>
      <c r="AD75" s="109">
        <f>+GETPIVOTDATA(" Tot # Ast. Prof Old",'OLD Counts Pivot Table'!$A$3,"State","MS","Category",10,"Category2","Group2")</f>
        <v>0</v>
      </c>
      <c r="AE75" s="109">
        <f>+GETPIVOTDATA(" Tot # Ast. Prof Old",'OLD Counts Pivot Table'!$A$3,"State","MS","Category","11","Category2","Group2")</f>
        <v>0</v>
      </c>
      <c r="AF75" s="111">
        <f>+GETPIVOTDATA(" Tot # Ast. Prof Old",'OLD Counts Pivot Table'!$A$3,"State","MS","Category2","Group2")</f>
        <v>0</v>
      </c>
      <c r="AG75" s="108">
        <f>+GETPIVOTDATA(" Tot # Ast. Prof Old",'OLD Counts Pivot Table'!$A$3,"State","MS","Category",12,"Category2","Technical Institutes")</f>
        <v>0</v>
      </c>
      <c r="AH75" s="109">
        <f>+GETPIVOTDATA(" Tot # Ast. Prof Old",'OLD Counts Pivot Table'!$A$3,"State","MS","Category",13,"Category2","Technical Institutes")</f>
        <v>0</v>
      </c>
      <c r="AI75" s="110">
        <f>+GETPIVOTDATA(" Tot # Ast. Prof Old",'OLD Counts Pivot Table'!$A$3,"State","MS","Category",14,"Category2","Technical Institutes")</f>
        <v>0</v>
      </c>
      <c r="AJ75" s="108">
        <f>+GETPIVOTDATA(" Tot # Ast. Prof Old",'OLD Counts Pivot Table'!$A$3,"State","AR","Category2","Technical Institutes")</f>
        <v>0</v>
      </c>
    </row>
    <row r="76" spans="1:38">
      <c r="A76" s="30"/>
      <c r="B76" s="38" t="s">
        <v>335</v>
      </c>
      <c r="C76" s="32">
        <f t="shared" si="27"/>
        <v>0.1673716012084592</v>
      </c>
      <c r="D76" s="34">
        <f t="shared" si="27"/>
        <v>0.17201426024955438</v>
      </c>
      <c r="E76" s="34">
        <f t="shared" si="27"/>
        <v>0</v>
      </c>
      <c r="F76" s="34">
        <f t="shared" si="27"/>
        <v>0.24409448818897639</v>
      </c>
      <c r="G76" s="34">
        <f t="shared" si="27"/>
        <v>0.38059701492537312</v>
      </c>
      <c r="H76" s="68">
        <f t="shared" si="27"/>
        <v>0</v>
      </c>
      <c r="I76" s="32">
        <f t="shared" si="27"/>
        <v>0.18865165252997954</v>
      </c>
      <c r="J76" s="32">
        <f t="shared" si="27"/>
        <v>0</v>
      </c>
      <c r="K76" s="34">
        <f t="shared" si="27"/>
        <v>0</v>
      </c>
      <c r="L76" s="34">
        <f t="shared" si="27"/>
        <v>0</v>
      </c>
      <c r="M76" s="34">
        <f t="shared" si="29"/>
        <v>0</v>
      </c>
      <c r="N76" s="32">
        <f t="shared" si="28"/>
        <v>0</v>
      </c>
      <c r="O76" s="32">
        <f t="shared" si="28"/>
        <v>0</v>
      </c>
      <c r="P76" s="34">
        <f t="shared" si="28"/>
        <v>0</v>
      </c>
      <c r="Q76" s="68">
        <f t="shared" si="28"/>
        <v>0</v>
      </c>
      <c r="R76" s="32">
        <f t="shared" si="28"/>
        <v>0</v>
      </c>
      <c r="S76" s="87"/>
      <c r="T76" s="108">
        <f>+GETPIVOTDATA(" Tot # Instr. Old",'OLD Counts Pivot Table'!$A$3,"State","MS","Category",1,"Category2","Four-Year")</f>
        <v>277</v>
      </c>
      <c r="U76" s="109">
        <f>+GETPIVOTDATA(" Tot # Instr. Old",'OLD Counts Pivot Table'!$A$3,"State","MS","Category",2,"Category2","Four-Year")</f>
        <v>193</v>
      </c>
      <c r="V76" s="109">
        <f>+GETPIVOTDATA(" Tot # Instr. Old",'OLD Counts Pivot Table'!$A$3,"State","MS","Category",3,"Category2","Four-Year")</f>
        <v>0</v>
      </c>
      <c r="W76" s="109">
        <f>+GETPIVOTDATA(" Tot # Instr. Old",'OLD Counts Pivot Table'!$A$3,"State","MS","Category",4,"Category2","Four-Year")</f>
        <v>124</v>
      </c>
      <c r="X76" s="109">
        <f>+GETPIVOTDATA(" Tot # Instr. Old",'OLD Counts Pivot Table'!$A$3,"State","MS","Category",5,"Category2","Four-Year")</f>
        <v>51</v>
      </c>
      <c r="Y76" s="109">
        <f>+GETPIVOTDATA(" Tot # Instr. Old",'OLD Counts Pivot Table'!$A$3,"State","MS","Category",6,"Category2","Four-Year")</f>
        <v>0</v>
      </c>
      <c r="Z76" s="111">
        <f>+GETPIVOTDATA(" Tot # Instr. Old",'OLD Counts Pivot Table'!$A$3,"State","MS","Category2","Four-Year")</f>
        <v>645</v>
      </c>
      <c r="AA76" s="108">
        <f>+GETPIVOTDATA(" Tot # Instr. Old",'OLD Counts Pivot Table'!$A$3,"State","MS","Category",7,"Category2","Group2")</f>
        <v>0</v>
      </c>
      <c r="AB76" s="109">
        <f>+GETPIVOTDATA(" Tot # Instr. Old",'OLD Counts Pivot Table'!$A$3,"State","MS","Category",8,"Category2","Group2")</f>
        <v>0</v>
      </c>
      <c r="AC76" s="109">
        <f>+GETPIVOTDATA(" Tot # Instr. Old",'OLD Counts Pivot Table'!$A$3,"State","MS","Category",9,"Category2","Group2")</f>
        <v>0</v>
      </c>
      <c r="AD76" s="109">
        <f>+GETPIVOTDATA(" Tot # Instr. Old",'OLD Counts Pivot Table'!$A$3,"State","MS","Category",10,"Category2","Group2")</f>
        <v>0</v>
      </c>
      <c r="AE76" s="109">
        <f>+GETPIVOTDATA(" Tot # Instr. Old",'OLD Counts Pivot Table'!$A$3,"State","MS","Category","11","Category2","Group2")</f>
        <v>0</v>
      </c>
      <c r="AF76" s="111">
        <f>+GETPIVOTDATA(" Tot # Instr. Old",'OLD Counts Pivot Table'!$A$3,"State","MS","Category2","Group2")</f>
        <v>0</v>
      </c>
      <c r="AG76" s="108">
        <f>+GETPIVOTDATA(" Tot # Instr. Old",'OLD Counts Pivot Table'!$A$3,"State","MS","Category",12,"Category2","Technical Institutes")</f>
        <v>0</v>
      </c>
      <c r="AH76" s="109">
        <f>+GETPIVOTDATA(" Tot # Instr. Old",'OLD Counts Pivot Table'!$A$3,"State","MS","Category",13,"Category2","Technical Institutes")</f>
        <v>0</v>
      </c>
      <c r="AI76" s="110">
        <f>+GETPIVOTDATA(" Tot # Instr. Old",'OLD Counts Pivot Table'!$A$3,"State","MS","Category",14,"Category2","Technical Institutes")</f>
        <v>0</v>
      </c>
      <c r="AJ76" s="108">
        <f>+GETPIVOTDATA(" Tot # Instr. Old",'OLD Counts Pivot Table'!$A$3,"State","AR","Category2","Technical Institutes")</f>
        <v>0</v>
      </c>
    </row>
    <row r="77" spans="1:38">
      <c r="A77" s="30"/>
      <c r="B77" s="38" t="s">
        <v>315</v>
      </c>
      <c r="C77" s="32">
        <f t="shared" si="27"/>
        <v>3.0211480362537766E-2</v>
      </c>
      <c r="D77" s="34">
        <f t="shared" si="27"/>
        <v>1.871657754010695E-2</v>
      </c>
      <c r="E77" s="34">
        <f t="shared" si="27"/>
        <v>0</v>
      </c>
      <c r="F77" s="34">
        <f t="shared" si="27"/>
        <v>0</v>
      </c>
      <c r="G77" s="34">
        <f t="shared" si="27"/>
        <v>0</v>
      </c>
      <c r="H77" s="68">
        <f t="shared" si="27"/>
        <v>0</v>
      </c>
      <c r="I77" s="32">
        <f t="shared" si="27"/>
        <v>2.0766305937408597E-2</v>
      </c>
      <c r="J77" s="32">
        <f t="shared" si="27"/>
        <v>0</v>
      </c>
      <c r="K77" s="34">
        <f t="shared" si="27"/>
        <v>0</v>
      </c>
      <c r="L77" s="34">
        <f t="shared" si="27"/>
        <v>0</v>
      </c>
      <c r="M77" s="34">
        <f t="shared" si="29"/>
        <v>0</v>
      </c>
      <c r="N77" s="32">
        <f t="shared" si="28"/>
        <v>0</v>
      </c>
      <c r="O77" s="32">
        <f t="shared" si="28"/>
        <v>0</v>
      </c>
      <c r="P77" s="34">
        <f t="shared" si="28"/>
        <v>0</v>
      </c>
      <c r="Q77" s="68">
        <f t="shared" si="28"/>
        <v>0</v>
      </c>
      <c r="R77" s="32">
        <f t="shared" si="28"/>
        <v>0</v>
      </c>
      <c r="S77" s="87"/>
      <c r="T77" s="108">
        <f>++GETPIVOTDATA(" Tot # Undes. Old",'OLD Counts Pivot Table'!$A$3,"State","MS","Category",1,"Category2","Four-Year")</f>
        <v>50</v>
      </c>
      <c r="U77" s="109">
        <f>+GETPIVOTDATA(" Tot # Undes. Old",'OLD Counts Pivot Table'!$A$3,"State","MS","Category",2,"Category2","Four-Year")</f>
        <v>21</v>
      </c>
      <c r="V77" s="109">
        <f>+GETPIVOTDATA(" Tot # Undes. Old",'OLD Counts Pivot Table'!$A$3,"State","MS","Category",3,"Category2","Four-Year")</f>
        <v>0</v>
      </c>
      <c r="W77" s="109">
        <f>+GETPIVOTDATA(" Tot # Undes. Old",'OLD Counts Pivot Table'!$A$3,"State","MS","Category",4,"Category2","Four-Year")</f>
        <v>0</v>
      </c>
      <c r="X77" s="109">
        <f>+GETPIVOTDATA(" Tot # Undes. Old",'OLD Counts Pivot Table'!$A$3,"State","MS","Category",5,"Category2","Four-Year")</f>
        <v>0</v>
      </c>
      <c r="Y77" s="109">
        <f>+GETPIVOTDATA(" Tot # Undes. Old",'OLD Counts Pivot Table'!$A$3,"State","MS","Category",6,"Category2","Four-Year")</f>
        <v>0</v>
      </c>
      <c r="Z77" s="111">
        <f>+GETPIVOTDATA(" Tot # Undes. Old",'OLD Counts Pivot Table'!$A$3,"State","MS","Category2","Four-Year")</f>
        <v>71</v>
      </c>
      <c r="AA77" s="108">
        <f>+GETPIVOTDATA(" Tot # Undes. Old",'OLD Counts Pivot Table'!$A$3,"State","MS","Category",7,"Category2","Group2")</f>
        <v>0</v>
      </c>
      <c r="AB77" s="109">
        <f>+GETPIVOTDATA(" Tot # Undes. Old",'OLD Counts Pivot Table'!$A$3,"State","MS","Category",8,"Category2","Group2")</f>
        <v>0</v>
      </c>
      <c r="AC77" s="109">
        <f>+GETPIVOTDATA(" Tot # Undes. Old",'OLD Counts Pivot Table'!$A$3,"State","MS","Category",9,"Category2","Group2")</f>
        <v>0</v>
      </c>
      <c r="AD77" s="109">
        <f>+GETPIVOTDATA(" Tot # Undes. Old",'OLD Counts Pivot Table'!$A$3,"State","MS","Category",10,"Category2","Group2")</f>
        <v>0</v>
      </c>
      <c r="AE77" s="109">
        <f>+GETPIVOTDATA(" Tot # Undes. Old",'OLD Counts Pivot Table'!$A$3,"State","MS","Category","11","Category2","Group2")</f>
        <v>0</v>
      </c>
      <c r="AF77" s="111">
        <f>+GETPIVOTDATA(" Tot # Undes. Old",'OLD Counts Pivot Table'!$A$3,"State","MS","Category2","Group2")</f>
        <v>0</v>
      </c>
      <c r="AG77" s="108">
        <f>+GETPIVOTDATA(" Tot # Undes. Old",'OLD Counts Pivot Table'!$A$3,"State","MS","Category",12,"Category2","Technical Institutes")</f>
        <v>0</v>
      </c>
      <c r="AH77" s="109">
        <f>+GETPIVOTDATA(" Tot # Undes. Old",'OLD Counts Pivot Table'!$A$3,"State","MS","Category",13,"Category2","Technical Institutes")</f>
        <v>0</v>
      </c>
      <c r="AI77" s="110">
        <f>+GETPIVOTDATA(" Tot # Undes. Old",'OLD Counts Pivot Table'!$A$3,"State","MS","Category",14,"Category2","Technical Institutes")</f>
        <v>0</v>
      </c>
      <c r="AJ77" s="108">
        <f>+GETPIVOTDATA(" Tot # Undes. Old",'OLD Counts Pivot Table'!$A$3,"State","AR","Category2","Technical Institutes")</f>
        <v>0</v>
      </c>
    </row>
    <row r="78" spans="1:38">
      <c r="A78" s="30"/>
      <c r="B78" s="38" t="s">
        <v>314</v>
      </c>
      <c r="C78" s="32">
        <f t="shared" si="27"/>
        <v>0</v>
      </c>
      <c r="D78" s="34">
        <f t="shared" si="27"/>
        <v>0</v>
      </c>
      <c r="E78" s="185">
        <f t="shared" si="27"/>
        <v>0</v>
      </c>
      <c r="F78" s="34">
        <f t="shared" si="27"/>
        <v>0</v>
      </c>
      <c r="G78" s="185">
        <f t="shared" si="27"/>
        <v>0</v>
      </c>
      <c r="H78" s="68">
        <f t="shared" si="27"/>
        <v>0</v>
      </c>
      <c r="I78" s="184">
        <f t="shared" si="27"/>
        <v>0</v>
      </c>
      <c r="J78" s="32">
        <f t="shared" si="27"/>
        <v>0</v>
      </c>
      <c r="K78" s="34">
        <f t="shared" si="27"/>
        <v>1</v>
      </c>
      <c r="L78" s="34">
        <f t="shared" si="27"/>
        <v>1</v>
      </c>
      <c r="M78" s="34">
        <f t="shared" si="29"/>
        <v>1</v>
      </c>
      <c r="N78" s="32">
        <f t="shared" si="28"/>
        <v>1</v>
      </c>
      <c r="O78" s="32">
        <f t="shared" si="28"/>
        <v>0</v>
      </c>
      <c r="P78" s="34">
        <f t="shared" si="28"/>
        <v>0</v>
      </c>
      <c r="Q78" s="68">
        <f t="shared" si="28"/>
        <v>0</v>
      </c>
      <c r="R78" s="32">
        <f t="shared" si="28"/>
        <v>0</v>
      </c>
      <c r="S78" s="87"/>
      <c r="T78" s="108">
        <f>+GETPIVOTDATA(" Tot # Single Rnk Old",'OLD Counts Pivot Table'!$A$3,"State","MS","Category",1,"Category2","Four-Year")</f>
        <v>0</v>
      </c>
      <c r="U78" s="109">
        <f>+GETPIVOTDATA(" Tot # Single Rnk Old",'OLD Counts Pivot Table'!$A$3,"State","MS","Category",2,"Category2","Four-Year")</f>
        <v>0</v>
      </c>
      <c r="V78" s="109">
        <f>+GETPIVOTDATA(" Tot # Single Rnk Old",'OLD Counts Pivot Table'!$A$3,"State","MS","Category",3,"Category2","Four-Year")</f>
        <v>0</v>
      </c>
      <c r="W78" s="109">
        <f>+GETPIVOTDATA(" Tot # Single Rnk Old",'OLD Counts Pivot Table'!$A$3,"State","MS","Category",4,"Category2","Four-Year")</f>
        <v>0</v>
      </c>
      <c r="X78" s="109">
        <f>+GETPIVOTDATA(" Tot # Single Rnk Old",'OLD Counts Pivot Table'!$A$3,"State","MS","Category",5,"Category2","Four-Year")</f>
        <v>0</v>
      </c>
      <c r="Y78" s="109">
        <f>+GETPIVOTDATA(" Tot # Single Rnk Old",'OLD Counts Pivot Table'!$A$3,"State","MS","Category",6,"Category2","Four-Year")</f>
        <v>0</v>
      </c>
      <c r="Z78" s="111">
        <f>+GETPIVOTDATA(" Tot # Single Rnk Old",'OLD Counts Pivot Table'!$A$3,"State","MS","Category2","Four-Year")</f>
        <v>0</v>
      </c>
      <c r="AA78" s="108">
        <f>+GETPIVOTDATA(" Tot # Single Rnk Old",'OLD Counts Pivot Table'!$A$3,"State","MS","Category",7,"Category2","Group2")</f>
        <v>0</v>
      </c>
      <c r="AB78" s="109">
        <f>+GETPIVOTDATA(" Tot # Single Rnk Old",'OLD Counts Pivot Table'!$A$3,"State","MS","Category",8,"Category2","Group2")</f>
        <v>1188</v>
      </c>
      <c r="AC78" s="109">
        <f>+GETPIVOTDATA(" Tot # Single Rnk Old",'OLD Counts Pivot Table'!$A$3,"State","MS","Category",9,"Category2","Group2")</f>
        <v>1225.7</v>
      </c>
      <c r="AD78" s="109">
        <f>+GETPIVOTDATA(" Tot # Single Rnk Old",'OLD Counts Pivot Table'!$A$3,"State","MS","Category",10,"Category2","Group2")</f>
        <v>146</v>
      </c>
      <c r="AE78" s="109">
        <f>+GETPIVOTDATA(" Tot # Single Rnk Old",'OLD Counts Pivot Table'!$A$3,"State","MS","Category","11","Category2","Group2")</f>
        <v>0</v>
      </c>
      <c r="AF78" s="111">
        <f>+GETPIVOTDATA(" Tot # Single Rnk Old",'OLD Counts Pivot Table'!$A$3,"State","MS","Category2","Group2")</f>
        <v>2559.6999999999998</v>
      </c>
      <c r="AG78" s="108">
        <f>+GETPIVOTDATA(" Tot # Single Rnk Old",'OLD Counts Pivot Table'!$A$3,"State","MS","Category",12,"Category2","Technical Institutes")</f>
        <v>0</v>
      </c>
      <c r="AH78" s="109">
        <f>+GETPIVOTDATA(" Tot # Single Rnk Old",'OLD Counts Pivot Table'!$A$3,"State","MS","Category",13,"Category2","Technical Institutes")</f>
        <v>0</v>
      </c>
      <c r="AI78" s="110">
        <f>+GETPIVOTDATA(" Tot # Single Rnk Old",'OLD Counts Pivot Table'!$A$3,"State","MS","Category",14,"Category2","Technical Institutes")</f>
        <v>0</v>
      </c>
      <c r="AJ78" s="108">
        <f>+GETPIVOTDATA(" Tot # Single Rnk Old",'OLD Counts Pivot Table'!$A$3,"State","AR","Category2","Technical Institutes")</f>
        <v>0</v>
      </c>
    </row>
    <row r="79" spans="1:38" s="54" customFormat="1">
      <c r="A79" s="191"/>
      <c r="B79" s="192" t="s">
        <v>316</v>
      </c>
      <c r="C79" s="33">
        <f t="shared" si="27"/>
        <v>1</v>
      </c>
      <c r="D79" s="31">
        <f t="shared" si="27"/>
        <v>1</v>
      </c>
      <c r="E79" s="31">
        <f t="shared" si="27"/>
        <v>0</v>
      </c>
      <c r="F79" s="31">
        <f t="shared" si="27"/>
        <v>1</v>
      </c>
      <c r="G79" s="31">
        <f t="shared" si="27"/>
        <v>1</v>
      </c>
      <c r="H79" s="69">
        <f t="shared" si="27"/>
        <v>0</v>
      </c>
      <c r="I79" s="33">
        <f t="shared" si="27"/>
        <v>1</v>
      </c>
      <c r="J79" s="33">
        <f t="shared" si="27"/>
        <v>0</v>
      </c>
      <c r="K79" s="31">
        <f t="shared" si="27"/>
        <v>1</v>
      </c>
      <c r="L79" s="31">
        <f t="shared" si="27"/>
        <v>1</v>
      </c>
      <c r="M79" s="31">
        <f t="shared" si="29"/>
        <v>1</v>
      </c>
      <c r="N79" s="33">
        <f t="shared" si="28"/>
        <v>1</v>
      </c>
      <c r="O79" s="33">
        <f t="shared" si="28"/>
        <v>0</v>
      </c>
      <c r="P79" s="31">
        <f t="shared" si="28"/>
        <v>0</v>
      </c>
      <c r="Q79" s="69">
        <f t="shared" si="28"/>
        <v>0</v>
      </c>
      <c r="R79" s="33">
        <f t="shared" si="28"/>
        <v>0</v>
      </c>
      <c r="S79" s="88"/>
      <c r="T79" s="112">
        <f>+GETPIVOTDATA(" All Ranks # Old",'OLD Counts Pivot Table'!$A$3,"State","MS","Category",1,"Category2","Four-Year")</f>
        <v>1655</v>
      </c>
      <c r="U79" s="113">
        <f>+GETPIVOTDATA(" All Ranks # Old",'OLD Counts Pivot Table'!$A$3,"State","MS","Category",2,"Category2","Four-Year")</f>
        <v>1122</v>
      </c>
      <c r="V79" s="113">
        <f>+GETPIVOTDATA(" All Ranks # Old",'OLD Counts Pivot Table'!$A$3,"State","MS","Category",3,"Category2","Four-Year")</f>
        <v>0</v>
      </c>
      <c r="W79" s="113">
        <f>+GETPIVOTDATA(" All Ranks # Old",'OLD Counts Pivot Table'!$A$3,"State","MS","Category",4,"Category2","Four-Year")</f>
        <v>508</v>
      </c>
      <c r="X79" s="113">
        <f>+GETPIVOTDATA(" All Ranks # Old",'OLD Counts Pivot Table'!$A$3,"State","MS","Category",5,"Category2","Four-Year")</f>
        <v>134</v>
      </c>
      <c r="Y79" s="113">
        <f>+GETPIVOTDATA(" All Ranks # Old",'OLD Counts Pivot Table'!$A$3,"State","MS","Category",6,"Category2","Four-Year")</f>
        <v>0</v>
      </c>
      <c r="Z79" s="115">
        <f>+GETPIVOTDATA(" All Ranks # Old",'OLD Counts Pivot Table'!$A$3,"State","MS","Category2","Four-Year")</f>
        <v>3419</v>
      </c>
      <c r="AA79" s="112">
        <f>+GETPIVOTDATA(" All Ranks # Old",'OLD Counts Pivot Table'!$A$3,"State","MS","Category",7,"Category2","Group2")</f>
        <v>0</v>
      </c>
      <c r="AB79" s="113">
        <f>+GETPIVOTDATA(" All Ranks # Old",'OLD Counts Pivot Table'!$A$3,"State","MS","Category",8,"Category2","Group2")</f>
        <v>1188</v>
      </c>
      <c r="AC79" s="113">
        <f>+GETPIVOTDATA(" All Ranks # Old",'OLD Counts Pivot Table'!$A$3,"State","MS","Category",9,"Category2","Group2")</f>
        <v>1225.7</v>
      </c>
      <c r="AD79" s="113">
        <f>+GETPIVOTDATA(" All Ranks # Old",'OLD Counts Pivot Table'!$A$3,"State","MS","Category",10,"Category2","Group2")</f>
        <v>146</v>
      </c>
      <c r="AE79" s="113">
        <f>+GETPIVOTDATA(" All Ranks # Old",'OLD Counts Pivot Table'!$A$3,"State","MS","Category","11","Category2","Group2")</f>
        <v>0</v>
      </c>
      <c r="AF79" s="115">
        <f>+GETPIVOTDATA(" All Ranks # Old",'OLD Counts Pivot Table'!$A$3,"State","MS","Category2","Group2")</f>
        <v>2559.6999999999998</v>
      </c>
      <c r="AG79" s="112">
        <f>+GETPIVOTDATA(" All Ranks # Old",'OLD Counts Pivot Table'!$A$3,"State","MS","Category",12,"Category2","Technical Institutes")</f>
        <v>0</v>
      </c>
      <c r="AH79" s="113">
        <f>+GETPIVOTDATA(" All Ranks # Old",'OLD Counts Pivot Table'!$A$3,"State","MS","Category",13,"Category2","Technical Institutes")</f>
        <v>0</v>
      </c>
      <c r="AI79" s="114">
        <f>+GETPIVOTDATA(" All Ranks # Old",'OLD Counts Pivot Table'!$A$3,"State","MS","Category",14,"Category2","Technical Institutes")</f>
        <v>0</v>
      </c>
      <c r="AJ79" s="112">
        <f>+GETPIVOTDATA(" All Ranks # Old",'OLD Counts Pivot Table'!$A$3,"State","AR","Category2","Technical Institutes")</f>
        <v>0</v>
      </c>
      <c r="AK79" s="116"/>
      <c r="AL79" s="116"/>
    </row>
    <row r="80" spans="1:38">
      <c r="A80" s="38" t="s">
        <v>342</v>
      </c>
      <c r="B80" s="35" t="s">
        <v>332</v>
      </c>
      <c r="C80" s="36">
        <f t="shared" ref="C80:M86" si="30">IF(T$86&gt;0,(T80/T$86),0)</f>
        <v>0.37930020582181712</v>
      </c>
      <c r="D80" s="37">
        <f t="shared" si="30"/>
        <v>0.22286042504307868</v>
      </c>
      <c r="E80" s="37">
        <f t="shared" si="30"/>
        <v>0.22305017386984599</v>
      </c>
      <c r="F80" s="37">
        <f t="shared" si="30"/>
        <v>0.14982578397212543</v>
      </c>
      <c r="G80" s="37">
        <f t="shared" si="30"/>
        <v>0.14724919093851133</v>
      </c>
      <c r="H80" s="67">
        <f t="shared" si="30"/>
        <v>0.29222520107238603</v>
      </c>
      <c r="I80" s="36">
        <f t="shared" si="30"/>
        <v>0.26986406279915759</v>
      </c>
      <c r="J80" s="36">
        <f t="shared" si="30"/>
        <v>0</v>
      </c>
      <c r="K80" s="37">
        <f t="shared" si="30"/>
        <v>0</v>
      </c>
      <c r="L80" s="37">
        <f t="shared" si="30"/>
        <v>0</v>
      </c>
      <c r="M80" s="37">
        <f t="shared" si="30"/>
        <v>0</v>
      </c>
      <c r="N80" s="36">
        <f t="shared" ref="N80:R86" si="31">IF(AF$86&gt;0,(AF80/AF$86),0)</f>
        <v>0</v>
      </c>
      <c r="O80" s="152">
        <f t="shared" si="31"/>
        <v>0</v>
      </c>
      <c r="P80" s="37">
        <f t="shared" si="31"/>
        <v>0</v>
      </c>
      <c r="Q80" s="67">
        <f t="shared" si="31"/>
        <v>0</v>
      </c>
      <c r="R80" s="152">
        <f t="shared" si="31"/>
        <v>0</v>
      </c>
      <c r="S80" s="117"/>
      <c r="T80" s="104">
        <f>+GETPIVOTDATA(" Total # Prof Old",'OLD Counts Pivot Table'!$A$3,"State","NC","Category",1,"Category2","Four-Year")</f>
        <v>1290</v>
      </c>
      <c r="U80" s="105">
        <f>+GETPIVOTDATA(" Total # Prof Old",'OLD Counts Pivot Table'!$A$3,"State","NC","Category",2,"Category2","Four-Year")</f>
        <v>388</v>
      </c>
      <c r="V80" s="105">
        <f>+GETPIVOTDATA(" Total # Prof Old",'OLD Counts Pivot Table'!$A$3,"State","NC","Category",3,"Category2","Four-Year")</f>
        <v>898</v>
      </c>
      <c r="W80" s="105">
        <f>+GETPIVOTDATA(" Total # Prof Old",'OLD Counts Pivot Table'!$A$3,"State","NC","Category",4,"Category2","Four-Year")</f>
        <v>43</v>
      </c>
      <c r="X80" s="105">
        <f>+GETPIVOTDATA(" Total # Prof Old",'OLD Counts Pivot Table'!$A$3,"State","NC","Category",5,"Category2","Four-Year")</f>
        <v>91</v>
      </c>
      <c r="Y80" s="105">
        <f>+GETPIVOTDATA(" Total # Prof Old",'OLD Counts Pivot Table'!$A$3,"State","NC","Category",6,"Category2","Four-Year")</f>
        <v>109</v>
      </c>
      <c r="Z80" s="107">
        <f>+GETPIVOTDATA(" Total # Prof Old",'OLD Counts Pivot Table'!$A$3,"State","NC","Category2","Four-Year")</f>
        <v>2819</v>
      </c>
      <c r="AA80" s="104">
        <f>+GETPIVOTDATA(" Total # Prof Old",'OLD Counts Pivot Table'!$A$3,"State","NC","Category",7,"Category2","Group2")</f>
        <v>0</v>
      </c>
      <c r="AB80" s="105">
        <f>+GETPIVOTDATA(" Total # Prof Old",'OLD Counts Pivot Table'!$A$3,"State","NC","Category",8,"Category2","Group2")</f>
        <v>0</v>
      </c>
      <c r="AC80" s="105">
        <f>+GETPIVOTDATA(" Total # Prof Old",'OLD Counts Pivot Table'!$A$3,"State","NC","Category",9,"Category2","Group2")</f>
        <v>0</v>
      </c>
      <c r="AD80" s="105">
        <f>+GETPIVOTDATA(" Total # Prof Old",'OLD Counts Pivot Table'!$A$3,"State","NC","Category",10,"Category2","Group2")</f>
        <v>0</v>
      </c>
      <c r="AE80" s="105">
        <f>+GETPIVOTDATA(" Total # Prof Old",'OLD Counts Pivot Table'!$A$3,"State","NC","Category","11","Category2","Group2")</f>
        <v>0</v>
      </c>
      <c r="AF80" s="107">
        <f>+GETPIVOTDATA(" Total # Prof Old",'OLD Counts Pivot Table'!$A$3,"State","NC","Category2","Group2")</f>
        <v>0</v>
      </c>
      <c r="AG80" s="104">
        <f>+GETPIVOTDATA(" Total # Prof Old",'OLD Counts Pivot Table'!$A$3,"State","NC","Category",12,"Category2","Technical Institutes")</f>
        <v>0</v>
      </c>
      <c r="AH80" s="105">
        <f>+GETPIVOTDATA(" Total # Prof Old",'OLD Counts Pivot Table'!$A$3,"State","NC","Category",13,"Category2","Technical Institutes")</f>
        <v>0</v>
      </c>
      <c r="AI80" s="106">
        <f>+GETPIVOTDATA(" Total # Prof Old",'OLD Counts Pivot Table'!$A$3,"State","NC","Category",14,"Category2","Technical Institutes")</f>
        <v>0</v>
      </c>
      <c r="AJ80" s="104">
        <f>+GETPIVOTDATA(" Total # Prof Old",'OLD Counts Pivot Table'!$A$3,"State","AR","Category2","Technical Institutes")</f>
        <v>0</v>
      </c>
    </row>
    <row r="81" spans="1:38">
      <c r="A81" s="30"/>
      <c r="B81" s="38" t="s">
        <v>333</v>
      </c>
      <c r="C81" s="32">
        <f t="shared" si="30"/>
        <v>0.23404880917377241</v>
      </c>
      <c r="D81" s="34">
        <f t="shared" si="30"/>
        <v>0.29408385985066055</v>
      </c>
      <c r="E81" s="34">
        <f t="shared" si="30"/>
        <v>0.28216592151018383</v>
      </c>
      <c r="F81" s="34">
        <f t="shared" si="30"/>
        <v>0.27177700348432055</v>
      </c>
      <c r="G81" s="34">
        <f t="shared" si="30"/>
        <v>0.27346278317152106</v>
      </c>
      <c r="H81" s="68">
        <f t="shared" si="30"/>
        <v>0.2546916890080429</v>
      </c>
      <c r="I81" s="32">
        <f t="shared" si="30"/>
        <v>0.26670495883591805</v>
      </c>
      <c r="J81" s="32">
        <f t="shared" si="30"/>
        <v>0</v>
      </c>
      <c r="K81" s="34">
        <f t="shared" si="30"/>
        <v>0</v>
      </c>
      <c r="L81" s="34">
        <f t="shared" si="30"/>
        <v>0</v>
      </c>
      <c r="M81" s="34">
        <f t="shared" ref="M81:M86" si="32">IF(AD$86&gt;0,(AD81/AD$86),0)</f>
        <v>0</v>
      </c>
      <c r="N81" s="32">
        <f t="shared" si="31"/>
        <v>0</v>
      </c>
      <c r="O81" s="32">
        <f t="shared" si="31"/>
        <v>0</v>
      </c>
      <c r="P81" s="34">
        <f t="shared" si="31"/>
        <v>0</v>
      </c>
      <c r="Q81" s="68">
        <f t="shared" si="31"/>
        <v>0</v>
      </c>
      <c r="R81" s="32">
        <f t="shared" si="31"/>
        <v>0</v>
      </c>
      <c r="S81" s="87"/>
      <c r="T81" s="108">
        <f>+GETPIVOTDATA(" Tot # Asc. Prof Old",'OLD Counts Pivot Table'!$A$3,"State","NC","Category",1,"Category2","Four-Year")</f>
        <v>796</v>
      </c>
      <c r="U81" s="109">
        <f>+GETPIVOTDATA(" Tot # Asc. Prof Old",'OLD Counts Pivot Table'!$A$3,"State","NC","Category",2,"Category2","Four-Year")</f>
        <v>512</v>
      </c>
      <c r="V81" s="109">
        <f>+GETPIVOTDATA(" Tot # Asc. Prof Old",'OLD Counts Pivot Table'!$A$3,"State","NC","Category",3,"Category2","Four-Year")</f>
        <v>1136</v>
      </c>
      <c r="W81" s="109">
        <f>+GETPIVOTDATA(" Tot # Asc. Prof Old",'OLD Counts Pivot Table'!$A$3,"State","NC","Category",4,"Category2","Four-Year")</f>
        <v>78</v>
      </c>
      <c r="X81" s="109">
        <f>+GETPIVOTDATA(" Tot # Asc. Prof Old",'OLD Counts Pivot Table'!$A$3,"State","NC","Category",5,"Category2","Four-Year")</f>
        <v>169</v>
      </c>
      <c r="Y81" s="109">
        <f>+GETPIVOTDATA(" Tot # Asc. Prof Old",'OLD Counts Pivot Table'!$A$3,"State","NC","Category",6,"Category2","Four-Year")</f>
        <v>95</v>
      </c>
      <c r="Z81" s="111">
        <f>+GETPIVOTDATA(" Tot # Asc. Prof Old",'OLD Counts Pivot Table'!$A$3,"State","NC","Category2","Four-Year")</f>
        <v>2786</v>
      </c>
      <c r="AA81" s="108">
        <f>+GETPIVOTDATA(" Tot # Asc. Prof Old",'OLD Counts Pivot Table'!$A$3,"State","NC","Category",7,"Category2","Group2")</f>
        <v>0</v>
      </c>
      <c r="AB81" s="109">
        <f>+GETPIVOTDATA(" Tot # Asc. Prof Old",'OLD Counts Pivot Table'!$A$3,"State","NC","Category",8,"Category2","Group2")</f>
        <v>0</v>
      </c>
      <c r="AC81" s="109">
        <f>+GETPIVOTDATA(" Tot # Asc. Prof Old",'OLD Counts Pivot Table'!$A$3,"State","NC","Category",9,"Category2","Group2")</f>
        <v>0</v>
      </c>
      <c r="AD81" s="109">
        <f>+GETPIVOTDATA(" Tot # Asc. Prof Old",'OLD Counts Pivot Table'!$A$3,"State","NC","Category",10,"Category2","Group2")</f>
        <v>0</v>
      </c>
      <c r="AE81" s="109">
        <f>+GETPIVOTDATA(" Tot # Asc. Prof Old",'OLD Counts Pivot Table'!$A$3,"State","NC","Category","11","Category2","Group2")</f>
        <v>0</v>
      </c>
      <c r="AF81" s="111">
        <f>+GETPIVOTDATA(" Tot # Asc. Prof Old",'OLD Counts Pivot Table'!$A$3,"State","NC","Category2","Group2")</f>
        <v>0</v>
      </c>
      <c r="AG81" s="108">
        <f>+GETPIVOTDATA(" Tot # Asc. Prof Old",'OLD Counts Pivot Table'!$A$3,"State","NC","Category",12,"Category2","Technical Institutes")</f>
        <v>0</v>
      </c>
      <c r="AH81" s="109">
        <f>+GETPIVOTDATA(" Tot # Asc. Prof Old",'OLD Counts Pivot Table'!$A$3,"State","NC","Category",13,"Category2","Technical Institutes")</f>
        <v>0</v>
      </c>
      <c r="AI81" s="110">
        <f>+GETPIVOTDATA(" Tot # Asc. Prof Old",'OLD Counts Pivot Table'!$A$3,"State","NC","Category",14,"Category2","Technical Institutes")</f>
        <v>0</v>
      </c>
      <c r="AJ81" s="108">
        <f>+GETPIVOTDATA(" Tot # Asc. Prof Old",'OLD Counts Pivot Table'!$A$3,"State","AR","Category2","Technical Institutes")</f>
        <v>0</v>
      </c>
    </row>
    <row r="82" spans="1:38">
      <c r="A82" s="30"/>
      <c r="B82" s="38" t="s">
        <v>334</v>
      </c>
      <c r="C82" s="32">
        <f t="shared" si="30"/>
        <v>0.20141134960305793</v>
      </c>
      <c r="D82" s="34">
        <f t="shared" si="30"/>
        <v>0.23205054566341182</v>
      </c>
      <c r="E82" s="34">
        <f t="shared" si="30"/>
        <v>0.26751117734724295</v>
      </c>
      <c r="F82" s="34">
        <f t="shared" si="30"/>
        <v>0.42160278745644597</v>
      </c>
      <c r="G82" s="34">
        <f t="shared" si="30"/>
        <v>0.3673139158576052</v>
      </c>
      <c r="H82" s="68">
        <f t="shared" si="30"/>
        <v>0.24932975871313673</v>
      </c>
      <c r="I82" s="32">
        <f t="shared" si="30"/>
        <v>0.24956921309592189</v>
      </c>
      <c r="J82" s="32">
        <f t="shared" si="30"/>
        <v>0</v>
      </c>
      <c r="K82" s="34">
        <f t="shared" si="30"/>
        <v>0</v>
      </c>
      <c r="L82" s="34">
        <f t="shared" si="30"/>
        <v>0</v>
      </c>
      <c r="M82" s="34">
        <f t="shared" si="32"/>
        <v>0</v>
      </c>
      <c r="N82" s="32">
        <f t="shared" si="31"/>
        <v>0</v>
      </c>
      <c r="O82" s="32">
        <f t="shared" si="31"/>
        <v>0</v>
      </c>
      <c r="P82" s="34">
        <f t="shared" si="31"/>
        <v>0</v>
      </c>
      <c r="Q82" s="68">
        <f t="shared" si="31"/>
        <v>0</v>
      </c>
      <c r="R82" s="32">
        <f t="shared" si="31"/>
        <v>0</v>
      </c>
      <c r="S82" s="87"/>
      <c r="T82" s="108">
        <f>+GETPIVOTDATA(" Tot # Ast. Prof Old",'OLD Counts Pivot Table'!$A$3,"State","NC","Category",1,"Category2","Four-Year")</f>
        <v>685</v>
      </c>
      <c r="U82" s="109">
        <f>+GETPIVOTDATA(" Tot # Ast. Prof Old",'OLD Counts Pivot Table'!$A$3,"State","NC","Category",2,"Category2","Four-Year")</f>
        <v>404</v>
      </c>
      <c r="V82" s="109">
        <f>+GETPIVOTDATA(" Tot # Ast. Prof Old",'OLD Counts Pivot Table'!$A$3,"State","NC","Category",3,"Category2","Four-Year")</f>
        <v>1077</v>
      </c>
      <c r="W82" s="109">
        <f>+GETPIVOTDATA(" Tot # Ast. Prof Old",'OLD Counts Pivot Table'!$A$3,"State","NC","Category",4,"Category2","Four-Year")</f>
        <v>121</v>
      </c>
      <c r="X82" s="109">
        <f>+GETPIVOTDATA(" Tot # Ast. Prof Old",'OLD Counts Pivot Table'!$A$3,"State","NC","Category",5,"Category2","Four-Year")</f>
        <v>227</v>
      </c>
      <c r="Y82" s="109">
        <f>+GETPIVOTDATA(" Tot # Ast. Prof Old",'OLD Counts Pivot Table'!$A$3,"State","NC","Category",6,"Category2","Four-Year")</f>
        <v>93</v>
      </c>
      <c r="Z82" s="111">
        <f>+GETPIVOTDATA(" Tot # Ast. Prof Old",'OLD Counts Pivot Table'!$A$3,"State","NC","Category2","Four-Year")</f>
        <v>2607</v>
      </c>
      <c r="AA82" s="108">
        <f>+GETPIVOTDATA(" Tot # Ast. Prof Old",'OLD Counts Pivot Table'!$A$3,"State","NC","Category",7,"Category2","Group2")</f>
        <v>0</v>
      </c>
      <c r="AB82" s="109">
        <f>+GETPIVOTDATA(" Tot # Ast. Prof Old",'OLD Counts Pivot Table'!$A$3,"State","NC","Category",8,"Category2","Group2")</f>
        <v>0</v>
      </c>
      <c r="AC82" s="109">
        <f>+GETPIVOTDATA(" Tot # Ast. Prof Old",'OLD Counts Pivot Table'!$A$3,"State","NC","Category",9,"Category2","Group2")</f>
        <v>0</v>
      </c>
      <c r="AD82" s="109">
        <f>+GETPIVOTDATA(" Tot # Ast. Prof Old",'OLD Counts Pivot Table'!$A$3,"State","NC","Category",10,"Category2","Group2")</f>
        <v>0</v>
      </c>
      <c r="AE82" s="109">
        <f>+GETPIVOTDATA(" Tot # Ast. Prof Old",'OLD Counts Pivot Table'!$A$3,"State","NC","Category","11","Category2","Group2")</f>
        <v>0</v>
      </c>
      <c r="AF82" s="111">
        <f>+GETPIVOTDATA(" Tot # Ast. Prof Old",'OLD Counts Pivot Table'!$A$3,"State","NC","Category2","Group2")</f>
        <v>0</v>
      </c>
      <c r="AG82" s="108">
        <f>+GETPIVOTDATA(" Tot # Ast. Prof Old",'OLD Counts Pivot Table'!$A$3,"State","NC","Category",12,"Category2","Technical Institutes")</f>
        <v>0</v>
      </c>
      <c r="AH82" s="109">
        <f>+GETPIVOTDATA(" Tot # Ast. Prof Old",'OLD Counts Pivot Table'!$A$3,"State","NC","Category",13,"Category2","Technical Institutes")</f>
        <v>0</v>
      </c>
      <c r="AI82" s="110">
        <f>+GETPIVOTDATA(" Tot # Ast. Prof Old",'OLD Counts Pivot Table'!$A$3,"State","NC","Category",14,"Category2","Technical Institutes")</f>
        <v>0</v>
      </c>
      <c r="AJ82" s="108">
        <f>+GETPIVOTDATA(" Tot # Ast. Prof Old",'OLD Counts Pivot Table'!$A$3,"State","AR","Category2","Technical Institutes")</f>
        <v>0</v>
      </c>
    </row>
    <row r="83" spans="1:38">
      <c r="A83" s="30"/>
      <c r="B83" s="38" t="s">
        <v>335</v>
      </c>
      <c r="C83" s="32">
        <f t="shared" si="30"/>
        <v>5.5865921787709499E-3</v>
      </c>
      <c r="D83" s="236">
        <f t="shared" si="30"/>
        <v>3.3888569787478458E-2</v>
      </c>
      <c r="E83" s="34">
        <f t="shared" si="30"/>
        <v>1.3661202185792349E-2</v>
      </c>
      <c r="F83" s="34">
        <f t="shared" si="30"/>
        <v>2.7874564459930314E-2</v>
      </c>
      <c r="G83" s="34">
        <f t="shared" si="30"/>
        <v>7.4433656957928807E-2</v>
      </c>
      <c r="H83" s="68">
        <f t="shared" si="30"/>
        <v>1.0723860589812333E-2</v>
      </c>
      <c r="I83" s="32">
        <f t="shared" si="30"/>
        <v>1.8284510817537812E-2</v>
      </c>
      <c r="J83" s="32">
        <f t="shared" si="30"/>
        <v>0</v>
      </c>
      <c r="K83" s="34">
        <f t="shared" si="30"/>
        <v>0</v>
      </c>
      <c r="L83" s="34">
        <f t="shared" si="30"/>
        <v>0</v>
      </c>
      <c r="M83" s="34">
        <f t="shared" si="32"/>
        <v>0</v>
      </c>
      <c r="N83" s="32">
        <f t="shared" si="31"/>
        <v>0</v>
      </c>
      <c r="O83" s="32">
        <f t="shared" si="31"/>
        <v>0</v>
      </c>
      <c r="P83" s="34">
        <f t="shared" si="31"/>
        <v>0</v>
      </c>
      <c r="Q83" s="68">
        <f t="shared" si="31"/>
        <v>0</v>
      </c>
      <c r="R83" s="32">
        <f t="shared" si="31"/>
        <v>0</v>
      </c>
      <c r="S83" s="87"/>
      <c r="T83" s="108">
        <f>+GETPIVOTDATA(" Tot # Instr. Old",'OLD Counts Pivot Table'!$A$3,"State","NC","Category",1,"Category2","Four-Year")</f>
        <v>19</v>
      </c>
      <c r="U83" s="109">
        <f>+GETPIVOTDATA(" Tot # Instr. Old",'OLD Counts Pivot Table'!$A$3,"State","NC","Category",2,"Category2","Four-Year")</f>
        <v>59</v>
      </c>
      <c r="V83" s="109">
        <f>+GETPIVOTDATA(" Tot # Instr. Old",'OLD Counts Pivot Table'!$A$3,"State","NC","Category",3,"Category2","Four-Year")</f>
        <v>55</v>
      </c>
      <c r="W83" s="109">
        <f>+GETPIVOTDATA(" Tot # Instr. Old",'OLD Counts Pivot Table'!$A$3,"State","NC","Category",4,"Category2","Four-Year")</f>
        <v>8</v>
      </c>
      <c r="X83" s="109">
        <f>+GETPIVOTDATA(" Tot # Instr. Old",'OLD Counts Pivot Table'!$A$3,"State","NC","Category",5,"Category2","Four-Year")</f>
        <v>46</v>
      </c>
      <c r="Y83" s="109">
        <f>+GETPIVOTDATA(" Tot # Instr. Old",'OLD Counts Pivot Table'!$A$3,"State","NC","Category",6,"Category2","Four-Year")</f>
        <v>4</v>
      </c>
      <c r="Z83" s="111">
        <f>+GETPIVOTDATA(" Tot # Instr. Old",'OLD Counts Pivot Table'!$A$3,"State","NC","Category2","Four-Year")</f>
        <v>191</v>
      </c>
      <c r="AA83" s="108">
        <f>+GETPIVOTDATA(" Tot # Instr. Old",'OLD Counts Pivot Table'!$A$3,"State","NC","Category",7,"Category2","Group2")</f>
        <v>0</v>
      </c>
      <c r="AB83" s="109">
        <f>+GETPIVOTDATA(" Tot # Instr. Old",'OLD Counts Pivot Table'!$A$3,"State","NC","Category",8,"Category2","Group2")</f>
        <v>0</v>
      </c>
      <c r="AC83" s="109">
        <f>+GETPIVOTDATA(" Tot # Instr. Old",'OLD Counts Pivot Table'!$A$3,"State","NC","Category",9,"Category2","Group2")</f>
        <v>0</v>
      </c>
      <c r="AD83" s="109">
        <f>+GETPIVOTDATA(" Tot # Instr. Old",'OLD Counts Pivot Table'!$A$3,"State","NC","Category",10,"Category2","Group2")</f>
        <v>0</v>
      </c>
      <c r="AE83" s="109">
        <f>+GETPIVOTDATA(" Tot # Instr. Old",'OLD Counts Pivot Table'!$A$3,"State","NC","Category","11","Category2","Group2")</f>
        <v>0</v>
      </c>
      <c r="AF83" s="111">
        <f>+GETPIVOTDATA(" Tot # Instr. Old",'OLD Counts Pivot Table'!$A$3,"State","NC","Category2","Group2")</f>
        <v>0</v>
      </c>
      <c r="AG83" s="108">
        <f>+GETPIVOTDATA(" Tot # Instr. Old",'OLD Counts Pivot Table'!$A$3,"State","NC","Category",12,"Category2","Technical Institutes")</f>
        <v>0</v>
      </c>
      <c r="AH83" s="109">
        <f>+GETPIVOTDATA(" Tot # Instr. Old",'OLD Counts Pivot Table'!$A$3,"State","NC","Category",13,"Category2","Technical Institutes")</f>
        <v>0</v>
      </c>
      <c r="AI83" s="110">
        <f>+GETPIVOTDATA(" Tot # Instr. Old",'OLD Counts Pivot Table'!$A$3,"State","NC","Category",14,"Category2","Technical Institutes")</f>
        <v>0</v>
      </c>
      <c r="AJ83" s="108">
        <f>+GETPIVOTDATA(" Tot # Instr. Old",'OLD Counts Pivot Table'!$A$3,"State","AR","Category2","Technical Institutes")</f>
        <v>0</v>
      </c>
    </row>
    <row r="84" spans="1:38">
      <c r="A84" s="30"/>
      <c r="B84" s="38" t="s">
        <v>315</v>
      </c>
      <c r="C84" s="32">
        <f t="shared" si="30"/>
        <v>0.1796530432225816</v>
      </c>
      <c r="D84" s="34">
        <f t="shared" si="30"/>
        <v>0.21711659965537047</v>
      </c>
      <c r="E84" s="34">
        <f t="shared" si="30"/>
        <v>0.21361152508693493</v>
      </c>
      <c r="F84" s="34">
        <f t="shared" si="30"/>
        <v>0.1289198606271777</v>
      </c>
      <c r="G84" s="34">
        <f t="shared" si="30"/>
        <v>0.13754045307443366</v>
      </c>
      <c r="H84" s="68">
        <f t="shared" si="30"/>
        <v>0.19302949061662197</v>
      </c>
      <c r="I84" s="32">
        <f t="shared" si="30"/>
        <v>0.19557725445146468</v>
      </c>
      <c r="J84" s="32">
        <f t="shared" si="30"/>
        <v>0</v>
      </c>
      <c r="K84" s="34">
        <f t="shared" si="30"/>
        <v>0</v>
      </c>
      <c r="L84" s="34">
        <f t="shared" si="30"/>
        <v>0</v>
      </c>
      <c r="M84" s="34">
        <f t="shared" si="32"/>
        <v>0</v>
      </c>
      <c r="N84" s="32">
        <f t="shared" si="31"/>
        <v>0</v>
      </c>
      <c r="O84" s="32">
        <f t="shared" si="31"/>
        <v>0</v>
      </c>
      <c r="P84" s="34">
        <f t="shared" si="31"/>
        <v>0</v>
      </c>
      <c r="Q84" s="68">
        <f t="shared" si="31"/>
        <v>0</v>
      </c>
      <c r="R84" s="32">
        <f t="shared" si="31"/>
        <v>0</v>
      </c>
      <c r="S84" s="87"/>
      <c r="T84" s="108">
        <f>++GETPIVOTDATA(" Tot # Undes. Old",'OLD Counts Pivot Table'!$A$3,"State","NC","Category",1,"Category2","Four-Year")</f>
        <v>611</v>
      </c>
      <c r="U84" s="109">
        <f>+GETPIVOTDATA(" Tot # Undes. Old",'OLD Counts Pivot Table'!$A$3,"State","NC","Category",2,"Category2","Four-Year")</f>
        <v>378</v>
      </c>
      <c r="V84" s="109">
        <f>+GETPIVOTDATA(" Tot # Undes. Old",'OLD Counts Pivot Table'!$A$3,"State","NC","Category",3,"Category2","Four-Year")</f>
        <v>860</v>
      </c>
      <c r="W84" s="109">
        <f>+GETPIVOTDATA(" Tot # Undes. Old",'OLD Counts Pivot Table'!$A$3,"State","NC","Category",4,"Category2","Four-Year")</f>
        <v>37</v>
      </c>
      <c r="X84" s="109">
        <f>+GETPIVOTDATA(" Tot # Undes. Old",'OLD Counts Pivot Table'!$A$3,"State","NC","Category",5,"Category2","Four-Year")</f>
        <v>85</v>
      </c>
      <c r="Y84" s="109">
        <f>+GETPIVOTDATA(" Tot # Undes. Old",'OLD Counts Pivot Table'!$A$3,"State","NC","Category",6,"Category2","Four-Year")</f>
        <v>72</v>
      </c>
      <c r="Z84" s="111">
        <f>+GETPIVOTDATA(" Tot # Undes. Old",'OLD Counts Pivot Table'!$A$3,"State","NC","Category2","Four-Year")</f>
        <v>2043</v>
      </c>
      <c r="AA84" s="108">
        <f>+GETPIVOTDATA(" Tot # Undes. Old",'OLD Counts Pivot Table'!$A$3,"State","NC","Category",7,"Category2","Group2")</f>
        <v>0</v>
      </c>
      <c r="AB84" s="109">
        <f>+GETPIVOTDATA(" Tot # Undes. Old",'OLD Counts Pivot Table'!$A$3,"State","NC","Category",8,"Category2","Group2")</f>
        <v>0</v>
      </c>
      <c r="AC84" s="109">
        <f>+GETPIVOTDATA(" Tot # Undes. Old",'OLD Counts Pivot Table'!$A$3,"State","NC","Category",9,"Category2","Group2")</f>
        <v>0</v>
      </c>
      <c r="AD84" s="109">
        <f>+GETPIVOTDATA(" Tot # Undes. Old",'OLD Counts Pivot Table'!$A$3,"State","NC","Category",10,"Category2","Group2")</f>
        <v>0</v>
      </c>
      <c r="AE84" s="109">
        <f>+GETPIVOTDATA(" Tot # Undes. Old",'OLD Counts Pivot Table'!$A$3,"State","NC","Category","11","Category2","Group2")</f>
        <v>0</v>
      </c>
      <c r="AF84" s="111">
        <f>+GETPIVOTDATA(" Tot # Undes. Old",'OLD Counts Pivot Table'!$A$3,"State","NC","Category2","Group2")</f>
        <v>0</v>
      </c>
      <c r="AG84" s="108">
        <f>+GETPIVOTDATA(" Tot # Undes. Old",'OLD Counts Pivot Table'!$A$3,"State","NC","Category",12,"Category2","Technical Institutes")</f>
        <v>0</v>
      </c>
      <c r="AH84" s="109">
        <f>+GETPIVOTDATA(" Tot # Undes. Old",'OLD Counts Pivot Table'!$A$3,"State","NC","Category",13,"Category2","Technical Institutes")</f>
        <v>0</v>
      </c>
      <c r="AI84" s="110">
        <f>+GETPIVOTDATA(" Tot # Undes. Old",'OLD Counts Pivot Table'!$A$3,"State","NC","Category",14,"Category2","Technical Institutes")</f>
        <v>0</v>
      </c>
      <c r="AJ84" s="108">
        <f>+GETPIVOTDATA(" Tot # Undes. Old",'OLD Counts Pivot Table'!$A$3,"State","AR","Category2","Technical Institutes")</f>
        <v>0</v>
      </c>
    </row>
    <row r="85" spans="1:38">
      <c r="A85" s="30"/>
      <c r="B85" s="38" t="s">
        <v>314</v>
      </c>
      <c r="C85" s="32">
        <f t="shared" si="30"/>
        <v>0</v>
      </c>
      <c r="D85" s="34">
        <f t="shared" si="30"/>
        <v>0</v>
      </c>
      <c r="E85" s="185">
        <f t="shared" si="30"/>
        <v>0</v>
      </c>
      <c r="F85" s="34">
        <f t="shared" si="30"/>
        <v>0</v>
      </c>
      <c r="G85" s="185">
        <f t="shared" si="30"/>
        <v>0</v>
      </c>
      <c r="H85" s="68">
        <f t="shared" si="30"/>
        <v>0</v>
      </c>
      <c r="I85" s="184">
        <f t="shared" si="30"/>
        <v>0</v>
      </c>
      <c r="J85" s="32">
        <f t="shared" si="30"/>
        <v>0</v>
      </c>
      <c r="K85" s="34">
        <f t="shared" si="30"/>
        <v>1</v>
      </c>
      <c r="L85" s="34">
        <f t="shared" si="30"/>
        <v>1</v>
      </c>
      <c r="M85" s="34">
        <f t="shared" si="32"/>
        <v>1</v>
      </c>
      <c r="N85" s="32">
        <f t="shared" si="31"/>
        <v>1</v>
      </c>
      <c r="O85" s="32">
        <f t="shared" si="31"/>
        <v>0</v>
      </c>
      <c r="P85" s="34">
        <f t="shared" si="31"/>
        <v>0</v>
      </c>
      <c r="Q85" s="68">
        <f t="shared" si="31"/>
        <v>0</v>
      </c>
      <c r="R85" s="32">
        <f t="shared" si="31"/>
        <v>0</v>
      </c>
      <c r="S85" s="87"/>
      <c r="T85" s="108">
        <f>+GETPIVOTDATA(" Tot # Single Rnk Old",'OLD Counts Pivot Table'!$A$3,"State","NC","Category",1,"Category2","Four-Year")</f>
        <v>0</v>
      </c>
      <c r="U85" s="109">
        <f>+GETPIVOTDATA(" Tot # Single Rnk Old",'OLD Counts Pivot Table'!$A$3,"State","NC","Category",2,"Category2","Four-Year")</f>
        <v>0</v>
      </c>
      <c r="V85" s="109">
        <f>+GETPIVOTDATA(" Tot # Single Rnk Old",'OLD Counts Pivot Table'!$A$3,"State","NC","Category",3,"Category2","Four-Year")</f>
        <v>0</v>
      </c>
      <c r="W85" s="109">
        <f>+GETPIVOTDATA(" Tot # Single Rnk Old",'OLD Counts Pivot Table'!$A$3,"State","NC","Category",4,"Category2","Four-Year")</f>
        <v>0</v>
      </c>
      <c r="X85" s="109">
        <f>+GETPIVOTDATA(" Tot # Single Rnk Old",'OLD Counts Pivot Table'!$A$3,"State","NC","Category",5,"Category2","Four-Year")</f>
        <v>0</v>
      </c>
      <c r="Y85" s="109">
        <f>+GETPIVOTDATA(" Tot # Single Rnk Old",'OLD Counts Pivot Table'!$A$3,"State","NC","Category",6,"Category2","Four-Year")</f>
        <v>0</v>
      </c>
      <c r="Z85" s="111">
        <f>+GETPIVOTDATA(" Tot # Single Rnk Old",'OLD Counts Pivot Table'!$A$3,"State","NC","Category2","Four-Year")</f>
        <v>0</v>
      </c>
      <c r="AA85" s="108">
        <f>+GETPIVOTDATA(" Tot # Single Rnk Old",'OLD Counts Pivot Table'!$A$3,"State","NC","Category",7,"Category2","Group2")</f>
        <v>0</v>
      </c>
      <c r="AB85" s="109">
        <f>+GETPIVOTDATA(" Tot # Single Rnk Old",'OLD Counts Pivot Table'!$A$3,"State","NC","Category",8,"Category2","Group2")</f>
        <v>2481</v>
      </c>
      <c r="AC85" s="109">
        <f>+GETPIVOTDATA(" Tot # Single Rnk Old",'OLD Counts Pivot Table'!$A$3,"State","NC","Category",9,"Category2","Group2")</f>
        <v>2618</v>
      </c>
      <c r="AD85" s="109">
        <f>+GETPIVOTDATA(" Tot # Single Rnk Old",'OLD Counts Pivot Table'!$A$3,"State","NC","Category",10,"Category2","Group2")</f>
        <v>1332</v>
      </c>
      <c r="AE85" s="109">
        <f>+GETPIVOTDATA(" Tot # Single Rnk Old",'OLD Counts Pivot Table'!$A$3,"State","NC","Category","11","Category2","Group2")</f>
        <v>0</v>
      </c>
      <c r="AF85" s="111">
        <f>+GETPIVOTDATA(" Tot # Single Rnk Old",'OLD Counts Pivot Table'!$A$3,"State","NC","Category2","Group2")</f>
        <v>6431</v>
      </c>
      <c r="AG85" s="108">
        <f>+GETPIVOTDATA(" Tot # Single Rnk Old",'OLD Counts Pivot Table'!$A$3,"State","NC","Category",12,"Category2","Technical Institutes")</f>
        <v>0</v>
      </c>
      <c r="AH85" s="109">
        <f>+GETPIVOTDATA(" Tot # Single Rnk Old",'OLD Counts Pivot Table'!$A$3,"State","NC","Category",13,"Category2","Technical Institutes")</f>
        <v>0</v>
      </c>
      <c r="AI85" s="110">
        <f>+GETPIVOTDATA(" Tot # Single Rnk Old",'OLD Counts Pivot Table'!$A$3,"State","NC","Category",14,"Category2","Technical Institutes")</f>
        <v>0</v>
      </c>
      <c r="AJ85" s="108">
        <f>+GETPIVOTDATA(" Tot # Single Rnk Old",'OLD Counts Pivot Table'!$A$3,"State","AR","Category2","Technical Institutes")</f>
        <v>0</v>
      </c>
    </row>
    <row r="86" spans="1:38" s="54" customFormat="1">
      <c r="A86" s="191"/>
      <c r="B86" s="192" t="s">
        <v>316</v>
      </c>
      <c r="C86" s="33">
        <f t="shared" si="30"/>
        <v>1</v>
      </c>
      <c r="D86" s="31">
        <f t="shared" si="30"/>
        <v>1</v>
      </c>
      <c r="E86" s="31">
        <f t="shared" si="30"/>
        <v>1</v>
      </c>
      <c r="F86" s="31">
        <f t="shared" si="30"/>
        <v>1</v>
      </c>
      <c r="G86" s="31">
        <f t="shared" si="30"/>
        <v>1</v>
      </c>
      <c r="H86" s="69">
        <f t="shared" si="30"/>
        <v>1</v>
      </c>
      <c r="I86" s="33">
        <f t="shared" si="30"/>
        <v>1</v>
      </c>
      <c r="J86" s="33">
        <f t="shared" si="30"/>
        <v>0</v>
      </c>
      <c r="K86" s="31">
        <f t="shared" si="30"/>
        <v>1</v>
      </c>
      <c r="L86" s="31">
        <f t="shared" si="30"/>
        <v>1</v>
      </c>
      <c r="M86" s="31">
        <f t="shared" si="32"/>
        <v>1</v>
      </c>
      <c r="N86" s="33">
        <f t="shared" si="31"/>
        <v>1</v>
      </c>
      <c r="O86" s="33">
        <f t="shared" si="31"/>
        <v>0</v>
      </c>
      <c r="P86" s="31">
        <f t="shared" si="31"/>
        <v>0</v>
      </c>
      <c r="Q86" s="69">
        <f t="shared" si="31"/>
        <v>0</v>
      </c>
      <c r="R86" s="33">
        <f t="shared" si="31"/>
        <v>0</v>
      </c>
      <c r="S86" s="88"/>
      <c r="T86" s="112">
        <f>+GETPIVOTDATA(" All Ranks # Old",'OLD Counts Pivot Table'!$A$3,"State","NC","Category",1,"Category2","Four-Year")</f>
        <v>3401</v>
      </c>
      <c r="U86" s="113">
        <f>+GETPIVOTDATA(" All Ranks # Old",'OLD Counts Pivot Table'!$A$3,"State","NC","Category",2,"Category2","Four-Year")</f>
        <v>1741</v>
      </c>
      <c r="V86" s="113">
        <f>+GETPIVOTDATA(" All Ranks # Old",'OLD Counts Pivot Table'!$A$3,"State","NC","Category",3,"Category2","Four-Year")</f>
        <v>4026</v>
      </c>
      <c r="W86" s="113">
        <f>+GETPIVOTDATA(" All Ranks # Old",'OLD Counts Pivot Table'!$A$3,"State","NC","Category",4,"Category2","Four-Year")</f>
        <v>287</v>
      </c>
      <c r="X86" s="113">
        <f>+GETPIVOTDATA(" All Ranks # Old",'OLD Counts Pivot Table'!$A$3,"State","NC","Category",5,"Category2","Four-Year")</f>
        <v>618</v>
      </c>
      <c r="Y86" s="113">
        <f>+GETPIVOTDATA(" All Ranks # Old",'OLD Counts Pivot Table'!$A$3,"State","NC","Category",6,"Category2","Four-Year")</f>
        <v>373</v>
      </c>
      <c r="Z86" s="115">
        <f>+GETPIVOTDATA(" All Ranks # Old",'OLD Counts Pivot Table'!$A$3,"State","NC","Category2","Four-Year")</f>
        <v>10446</v>
      </c>
      <c r="AA86" s="112">
        <f>+GETPIVOTDATA(" All Ranks # Old",'OLD Counts Pivot Table'!$A$3,"State","NC","Category",7,"Category2","Group2")</f>
        <v>0</v>
      </c>
      <c r="AB86" s="113">
        <f>+GETPIVOTDATA(" All Ranks # Old",'OLD Counts Pivot Table'!$A$3,"State","NC","Category",8,"Category2","Group2")</f>
        <v>2481</v>
      </c>
      <c r="AC86" s="113">
        <f>+GETPIVOTDATA(" All Ranks # Old",'OLD Counts Pivot Table'!$A$3,"State","NC","Category",9,"Category2","Group2")</f>
        <v>2618</v>
      </c>
      <c r="AD86" s="113">
        <f>+GETPIVOTDATA(" All Ranks # Old",'OLD Counts Pivot Table'!$A$3,"State","NC","Category",10,"Category2","Group2")</f>
        <v>1332</v>
      </c>
      <c r="AE86" s="113">
        <f>+GETPIVOTDATA(" All Ranks # Old",'OLD Counts Pivot Table'!$A$3,"State","NC","Category","11","Category2","Group2")</f>
        <v>0</v>
      </c>
      <c r="AF86" s="115">
        <f>+GETPIVOTDATA(" All Ranks # Old",'OLD Counts Pivot Table'!$A$3,"State","NC","Category2","Group2")</f>
        <v>6431</v>
      </c>
      <c r="AG86" s="112">
        <f>+GETPIVOTDATA(" All Ranks # Old",'OLD Counts Pivot Table'!$A$3,"State","NC","Category",12,"Category2","Technical Institutes")</f>
        <v>0</v>
      </c>
      <c r="AH86" s="113">
        <f>+GETPIVOTDATA(" All Ranks # Old",'OLD Counts Pivot Table'!$A$3,"State","NC","Category",13,"Category2","Technical Institutes")</f>
        <v>0</v>
      </c>
      <c r="AI86" s="114">
        <f>+GETPIVOTDATA(" All Ranks # Old",'OLD Counts Pivot Table'!$A$3,"State","NC","Category",14,"Category2","Technical Institutes")</f>
        <v>0</v>
      </c>
      <c r="AJ86" s="112">
        <f>+GETPIVOTDATA(" All Ranks # Old",'OLD Counts Pivot Table'!$A$3,"State","AR","Category2","Technical Institutes")</f>
        <v>0</v>
      </c>
      <c r="AK86" s="116"/>
      <c r="AL86" s="116"/>
    </row>
    <row r="87" spans="1:38">
      <c r="A87" s="38" t="s">
        <v>311</v>
      </c>
      <c r="B87" s="35" t="s">
        <v>332</v>
      </c>
      <c r="C87" s="36">
        <f t="shared" ref="C87:M93" si="33">IF(T$93&gt;0,(T87/T$93),0)</f>
        <v>0.34064327485380119</v>
      </c>
      <c r="D87" s="37">
        <f t="shared" si="33"/>
        <v>0</v>
      </c>
      <c r="E87" s="37">
        <f t="shared" si="33"/>
        <v>0.30117340286831812</v>
      </c>
      <c r="F87" s="37">
        <f t="shared" si="33"/>
        <v>0</v>
      </c>
      <c r="G87" s="37">
        <f t="shared" si="33"/>
        <v>0.21350762527233116</v>
      </c>
      <c r="H87" s="67">
        <f t="shared" si="33"/>
        <v>0.1553398058252427</v>
      </c>
      <c r="I87" s="36">
        <f t="shared" si="33"/>
        <v>0.29368501141262998</v>
      </c>
      <c r="J87" s="36">
        <f t="shared" si="33"/>
        <v>0</v>
      </c>
      <c r="K87" s="37">
        <f t="shared" si="33"/>
        <v>0</v>
      </c>
      <c r="L87" s="37">
        <f t="shared" si="33"/>
        <v>0</v>
      </c>
      <c r="M87" s="37">
        <f t="shared" si="33"/>
        <v>0</v>
      </c>
      <c r="N87" s="36">
        <f t="shared" ref="N87:R93" si="34">IF(AF$93&gt;0,(AF87/AF$93),0)</f>
        <v>0</v>
      </c>
      <c r="O87" s="152">
        <f t="shared" si="34"/>
        <v>0</v>
      </c>
      <c r="P87" s="37">
        <f t="shared" si="34"/>
        <v>0</v>
      </c>
      <c r="Q87" s="67">
        <f t="shared" si="34"/>
        <v>0</v>
      </c>
      <c r="R87" s="152">
        <f t="shared" si="34"/>
        <v>0</v>
      </c>
      <c r="S87" s="117"/>
      <c r="T87" s="104">
        <f>+GETPIVOTDATA(" Total # Prof Old",'OLD Counts Pivot Table'!$A$3,"State","OK","Category",1,"Category2","Four-Year")</f>
        <v>699</v>
      </c>
      <c r="U87" s="105">
        <f>+GETPIVOTDATA(" Total # Prof Old",'OLD Counts Pivot Table'!$A$3,"State","OK","Category",2,"Category2","Four-Year")</f>
        <v>0</v>
      </c>
      <c r="V87" s="105">
        <f>+GETPIVOTDATA(" Total # Prof Old",'OLD Counts Pivot Table'!$A$3,"State","OK","Category",3,"Category2","Four-Year")</f>
        <v>231</v>
      </c>
      <c r="W87" s="105">
        <f>+GETPIVOTDATA(" Total # Prof Old",'OLD Counts Pivot Table'!$A$3,"State","OK","Category",4,"Category2","Four-Year")</f>
        <v>0</v>
      </c>
      <c r="X87" s="105">
        <f>+GETPIVOTDATA(" Total # Prof Old",'OLD Counts Pivot Table'!$A$3,"State","OK","Category",5,"Category2","Four-Year")</f>
        <v>196</v>
      </c>
      <c r="Y87" s="105">
        <f>+GETPIVOTDATA(" Total # Prof Old",'OLD Counts Pivot Table'!$A$3,"State","OK","Category",6,"Category2","Four-Year")</f>
        <v>32</v>
      </c>
      <c r="Z87" s="107">
        <f>+GETPIVOTDATA(" Total # Prof Old",'OLD Counts Pivot Table'!$A$3,"State","OK","Category2","Four-Year")</f>
        <v>1158</v>
      </c>
      <c r="AA87" s="104">
        <f>+GETPIVOTDATA(" Total # Prof Old",'OLD Counts Pivot Table'!$A$3,"State","OK","Category",7,"Category2","Group2")</f>
        <v>0</v>
      </c>
      <c r="AB87" s="105">
        <f>+GETPIVOTDATA(" Total # Prof Old",'OLD Counts Pivot Table'!$A$3,"State","OK","Category",8,"Category2","Group2")</f>
        <v>0</v>
      </c>
      <c r="AC87" s="105">
        <f>+GETPIVOTDATA(" Total # Prof Old",'OLD Counts Pivot Table'!$A$3,"State","OK","Category",9,"Category2","Group2")</f>
        <v>0</v>
      </c>
      <c r="AD87" s="105">
        <f>+GETPIVOTDATA(" Total # Prof Old",'OLD Counts Pivot Table'!$A$3,"State","OK","Category",10,"Category2","Group2")</f>
        <v>0</v>
      </c>
      <c r="AE87" s="105">
        <f>+GETPIVOTDATA(" Total # Prof Old",'OLD Counts Pivot Table'!$A$3,"State","OK","Category","11","Category2","Group2")</f>
        <v>0</v>
      </c>
      <c r="AF87" s="107">
        <f>+GETPIVOTDATA(" Total # Prof Old",'OLD Counts Pivot Table'!$A$3,"State","OK","Category2","Group2")</f>
        <v>0</v>
      </c>
      <c r="AG87" s="104">
        <f>+GETPIVOTDATA(" Total # Prof Old",'OLD Counts Pivot Table'!$A$3,"State","OK","Category",12,"Category2","Technical Institutes")</f>
        <v>0</v>
      </c>
      <c r="AH87" s="105">
        <f>+GETPIVOTDATA(" Total # Prof Old",'OLD Counts Pivot Table'!$A$3,"State","OK","Category",13,"Category2","Technical Institutes")</f>
        <v>0</v>
      </c>
      <c r="AI87" s="106">
        <f>+GETPIVOTDATA(" Total # Prof Old",'OLD Counts Pivot Table'!$A$3,"State","OK","Category",14,"Category2","Technical Institutes")</f>
        <v>0</v>
      </c>
      <c r="AJ87" s="104">
        <f>+GETPIVOTDATA(" Total # Prof Old",'OLD Counts Pivot Table'!$A$3,"State","AR","Category2","Technical Institutes")</f>
        <v>0</v>
      </c>
    </row>
    <row r="88" spans="1:38">
      <c r="A88" s="30"/>
      <c r="B88" s="38" t="s">
        <v>333</v>
      </c>
      <c r="C88" s="32">
        <f t="shared" si="33"/>
        <v>0.26851851851851855</v>
      </c>
      <c r="D88" s="34">
        <f t="shared" si="33"/>
        <v>0</v>
      </c>
      <c r="E88" s="34">
        <f t="shared" si="33"/>
        <v>0.17992177314211213</v>
      </c>
      <c r="F88" s="34">
        <f t="shared" si="33"/>
        <v>0</v>
      </c>
      <c r="G88" s="34">
        <f t="shared" si="33"/>
        <v>0.20697167755991286</v>
      </c>
      <c r="H88" s="68">
        <f t="shared" si="33"/>
        <v>0.25728155339805825</v>
      </c>
      <c r="I88" s="32">
        <f t="shared" si="33"/>
        <v>0.23636824752726351</v>
      </c>
      <c r="J88" s="32">
        <f t="shared" si="33"/>
        <v>0</v>
      </c>
      <c r="K88" s="34">
        <f t="shared" si="33"/>
        <v>0</v>
      </c>
      <c r="L88" s="34">
        <f t="shared" si="33"/>
        <v>0</v>
      </c>
      <c r="M88" s="34">
        <f t="shared" ref="M88:M93" si="35">IF(AD$93&gt;0,(AD88/AD$93),0)</f>
        <v>0</v>
      </c>
      <c r="N88" s="237">
        <f t="shared" si="34"/>
        <v>0</v>
      </c>
      <c r="O88" s="32">
        <f t="shared" si="34"/>
        <v>0</v>
      </c>
      <c r="P88" s="34">
        <f t="shared" si="34"/>
        <v>0</v>
      </c>
      <c r="Q88" s="68">
        <f t="shared" si="34"/>
        <v>0</v>
      </c>
      <c r="R88" s="32">
        <f t="shared" si="34"/>
        <v>0</v>
      </c>
      <c r="S88" s="87"/>
      <c r="T88" s="108">
        <f>+GETPIVOTDATA(" Tot # Asc. Prof Old",'OLD Counts Pivot Table'!$A$3,"State","OK","Category",1,"Category2","Four-Year")</f>
        <v>551</v>
      </c>
      <c r="U88" s="109">
        <f>+GETPIVOTDATA(" Tot # Asc. Prof Old",'OLD Counts Pivot Table'!$A$3,"State","OK","Category",2,"Category2","Four-Year")</f>
        <v>0</v>
      </c>
      <c r="V88" s="109">
        <f>+GETPIVOTDATA(" Tot # Asc. Prof Old",'OLD Counts Pivot Table'!$A$3,"State","OK","Category",3,"Category2","Four-Year")</f>
        <v>138</v>
      </c>
      <c r="W88" s="109">
        <f>+GETPIVOTDATA(" Tot # Asc. Prof Old",'OLD Counts Pivot Table'!$A$3,"State","OK","Category",4,"Category2","Four-Year")</f>
        <v>0</v>
      </c>
      <c r="X88" s="109">
        <f>+GETPIVOTDATA(" Tot # Asc. Prof Old",'OLD Counts Pivot Table'!$A$3,"State","OK","Category",5,"Category2","Four-Year")</f>
        <v>190</v>
      </c>
      <c r="Y88" s="109">
        <f>+GETPIVOTDATA(" Tot # Asc. Prof Old",'OLD Counts Pivot Table'!$A$3,"State","OK","Category",6,"Category2","Four-Year")</f>
        <v>53</v>
      </c>
      <c r="Z88" s="111">
        <f>+GETPIVOTDATA(" Tot # Asc. Prof Old",'OLD Counts Pivot Table'!$A$3,"State","OK","Category2","Four-Year")</f>
        <v>932</v>
      </c>
      <c r="AA88" s="108">
        <f>+GETPIVOTDATA(" Tot # Asc. Prof Old",'OLD Counts Pivot Table'!$A$3,"State","OK","Category",7,"Category2","Group2")</f>
        <v>0</v>
      </c>
      <c r="AB88" s="109">
        <f>+GETPIVOTDATA(" Tot # Asc. Prof Old",'OLD Counts Pivot Table'!$A$3,"State","OK","Category",8,"Category2","Group2")</f>
        <v>0</v>
      </c>
      <c r="AC88" s="109">
        <f>+GETPIVOTDATA(" Tot # Asc. Prof Old",'OLD Counts Pivot Table'!$A$3,"State","OK","Category",9,"Category2","Group2")</f>
        <v>0</v>
      </c>
      <c r="AD88" s="109">
        <f>+GETPIVOTDATA(" Tot # Asc. Prof Old",'OLD Counts Pivot Table'!$A$3,"State","OK","Category",10,"Category2","Group2")</f>
        <v>0</v>
      </c>
      <c r="AE88" s="109">
        <f>+GETPIVOTDATA(" Tot # Asc. Prof Old",'OLD Counts Pivot Table'!$A$3,"State","OK","Category","11","Category2","Group2")</f>
        <v>0</v>
      </c>
      <c r="AF88" s="111">
        <f>+GETPIVOTDATA(" Tot # Asc. Prof Old",'OLD Counts Pivot Table'!$A$3,"State","OK","Category2","Group2")</f>
        <v>0</v>
      </c>
      <c r="AG88" s="108">
        <f>+GETPIVOTDATA(" Tot # Asc. Prof Old",'OLD Counts Pivot Table'!$A$3,"State","OK","Category",12,"Category2","Technical Institutes")</f>
        <v>0</v>
      </c>
      <c r="AH88" s="109">
        <f>+GETPIVOTDATA(" Tot # Asc. Prof Old",'OLD Counts Pivot Table'!$A$3,"State","OK","Category",13,"Category2","Technical Institutes")</f>
        <v>0</v>
      </c>
      <c r="AI88" s="110">
        <f>+GETPIVOTDATA(" Tot # Asc. Prof Old",'OLD Counts Pivot Table'!$A$3,"State","OK","Category",14,"Category2","Technical Institutes")</f>
        <v>0</v>
      </c>
      <c r="AJ88" s="108">
        <f>+GETPIVOTDATA(" Tot # Asc. Prof Old",'OLD Counts Pivot Table'!$A$3,"State","AR","Category2","Technical Institutes")</f>
        <v>0</v>
      </c>
    </row>
    <row r="89" spans="1:38">
      <c r="A89" s="30"/>
      <c r="B89" s="38" t="s">
        <v>334</v>
      </c>
      <c r="C89" s="32">
        <f t="shared" si="33"/>
        <v>0.25682261208577001</v>
      </c>
      <c r="D89" s="34">
        <f t="shared" si="33"/>
        <v>0</v>
      </c>
      <c r="E89" s="34">
        <f t="shared" si="33"/>
        <v>0.28813559322033899</v>
      </c>
      <c r="F89" s="34">
        <f t="shared" si="33"/>
        <v>0</v>
      </c>
      <c r="G89" s="34">
        <f t="shared" si="33"/>
        <v>0.29302832244008714</v>
      </c>
      <c r="H89" s="68">
        <f t="shared" si="33"/>
        <v>0.3155339805825243</v>
      </c>
      <c r="I89" s="32">
        <f t="shared" si="33"/>
        <v>0.27441034745117932</v>
      </c>
      <c r="J89" s="32">
        <f t="shared" si="33"/>
        <v>0</v>
      </c>
      <c r="K89" s="34">
        <f t="shared" si="33"/>
        <v>0</v>
      </c>
      <c r="L89" s="34">
        <f t="shared" si="33"/>
        <v>0</v>
      </c>
      <c r="M89" s="34">
        <f t="shared" si="35"/>
        <v>0</v>
      </c>
      <c r="N89" s="32">
        <f t="shared" si="34"/>
        <v>0</v>
      </c>
      <c r="O89" s="32">
        <f t="shared" si="34"/>
        <v>0</v>
      </c>
      <c r="P89" s="34">
        <f t="shared" si="34"/>
        <v>0</v>
      </c>
      <c r="Q89" s="68">
        <f t="shared" si="34"/>
        <v>0</v>
      </c>
      <c r="R89" s="32">
        <f t="shared" si="34"/>
        <v>0</v>
      </c>
      <c r="S89" s="87"/>
      <c r="T89" s="108">
        <f>+GETPIVOTDATA(" Tot # Ast. Prof Old",'OLD Counts Pivot Table'!$A$3,"State","OK","Category",1,"Category2","Four-Year")</f>
        <v>527</v>
      </c>
      <c r="U89" s="109">
        <f>+GETPIVOTDATA(" Tot # Ast. Prof Old",'OLD Counts Pivot Table'!$A$3,"State","OK","Category",2,"Category2","Four-Year")</f>
        <v>0</v>
      </c>
      <c r="V89" s="109">
        <f>+GETPIVOTDATA(" Tot # Ast. Prof Old",'OLD Counts Pivot Table'!$A$3,"State","OK","Category",3,"Category2","Four-Year")</f>
        <v>221</v>
      </c>
      <c r="W89" s="109">
        <f>+GETPIVOTDATA(" Tot # Ast. Prof Old",'OLD Counts Pivot Table'!$A$3,"State","OK","Category",4,"Category2","Four-Year")</f>
        <v>0</v>
      </c>
      <c r="X89" s="109">
        <f>+GETPIVOTDATA(" Tot # Ast. Prof Old",'OLD Counts Pivot Table'!$A$3,"State","OK","Category",5,"Category2","Four-Year")</f>
        <v>269</v>
      </c>
      <c r="Y89" s="109">
        <f>+GETPIVOTDATA(" Tot # Ast. Prof Old",'OLD Counts Pivot Table'!$A$3,"State","OK","Category",6,"Category2","Four-Year")</f>
        <v>65</v>
      </c>
      <c r="Z89" s="111">
        <f>+GETPIVOTDATA(" Tot # Ast. Prof Old",'OLD Counts Pivot Table'!$A$3,"State","OK","Category2","Four-Year")</f>
        <v>1082</v>
      </c>
      <c r="AA89" s="108">
        <f>+GETPIVOTDATA(" Tot # Ast. Prof Old",'OLD Counts Pivot Table'!$A$3,"State","OK","Category",7,"Category2","Group2")</f>
        <v>0</v>
      </c>
      <c r="AB89" s="109">
        <f>+GETPIVOTDATA(" Tot # Ast. Prof Old",'OLD Counts Pivot Table'!$A$3,"State","OK","Category",8,"Category2","Group2")</f>
        <v>0</v>
      </c>
      <c r="AC89" s="109">
        <f>+GETPIVOTDATA(" Tot # Ast. Prof Old",'OLD Counts Pivot Table'!$A$3,"State","OK","Category",9,"Category2","Group2")</f>
        <v>0</v>
      </c>
      <c r="AD89" s="109">
        <f>+GETPIVOTDATA(" Tot # Ast. Prof Old",'OLD Counts Pivot Table'!$A$3,"State","OK","Category",10,"Category2","Group2")</f>
        <v>0</v>
      </c>
      <c r="AE89" s="109">
        <f>+GETPIVOTDATA(" Tot # Ast. Prof Old",'OLD Counts Pivot Table'!$A$3,"State","OK","Category","11","Category2","Group2")</f>
        <v>0</v>
      </c>
      <c r="AF89" s="111">
        <f>+GETPIVOTDATA(" Tot # Ast. Prof Old",'OLD Counts Pivot Table'!$A$3,"State","OK","Category2","Group2")</f>
        <v>0</v>
      </c>
      <c r="AG89" s="108">
        <f>+GETPIVOTDATA(" Tot # Ast. Prof Old",'OLD Counts Pivot Table'!$A$3,"State","OK","Category",12,"Category2","Technical Institutes")</f>
        <v>0</v>
      </c>
      <c r="AH89" s="109">
        <f>+GETPIVOTDATA(" Tot # Ast. Prof Old",'OLD Counts Pivot Table'!$A$3,"State","OK","Category",13,"Category2","Technical Institutes")</f>
        <v>0</v>
      </c>
      <c r="AI89" s="110">
        <f>+GETPIVOTDATA(" Tot # Ast. Prof Old",'OLD Counts Pivot Table'!$A$3,"State","OK","Category",14,"Category2","Technical Institutes")</f>
        <v>0</v>
      </c>
      <c r="AJ89" s="108">
        <f>+GETPIVOTDATA(" Tot # Ast. Prof Old",'OLD Counts Pivot Table'!$A$3,"State","AR","Category2","Technical Institutes")</f>
        <v>0</v>
      </c>
    </row>
    <row r="90" spans="1:38">
      <c r="A90" s="30"/>
      <c r="B90" s="38" t="s">
        <v>335</v>
      </c>
      <c r="C90" s="32">
        <f t="shared" si="33"/>
        <v>0.13401559454191034</v>
      </c>
      <c r="D90" s="34">
        <f t="shared" si="33"/>
        <v>0</v>
      </c>
      <c r="E90" s="34">
        <f t="shared" si="33"/>
        <v>0.23076923076923078</v>
      </c>
      <c r="F90" s="34">
        <f t="shared" si="33"/>
        <v>0</v>
      </c>
      <c r="G90" s="34">
        <f t="shared" si="33"/>
        <v>0.28649237472766886</v>
      </c>
      <c r="H90" s="68">
        <f t="shared" si="33"/>
        <v>0.27184466019417475</v>
      </c>
      <c r="I90" s="32">
        <f t="shared" si="33"/>
        <v>0.19553639360892722</v>
      </c>
      <c r="J90" s="32">
        <f t="shared" si="33"/>
        <v>0</v>
      </c>
      <c r="K90" s="34">
        <f t="shared" si="33"/>
        <v>0</v>
      </c>
      <c r="L90" s="34">
        <f t="shared" si="33"/>
        <v>0</v>
      </c>
      <c r="M90" s="34">
        <f t="shared" si="35"/>
        <v>0</v>
      </c>
      <c r="N90" s="32">
        <f t="shared" si="34"/>
        <v>0</v>
      </c>
      <c r="O90" s="32">
        <f t="shared" si="34"/>
        <v>0</v>
      </c>
      <c r="P90" s="34">
        <f t="shared" si="34"/>
        <v>0</v>
      </c>
      <c r="Q90" s="68">
        <f t="shared" si="34"/>
        <v>0</v>
      </c>
      <c r="R90" s="32">
        <f t="shared" si="34"/>
        <v>0</v>
      </c>
      <c r="S90" s="87"/>
      <c r="T90" s="108">
        <f>+GETPIVOTDATA(" Tot # Instr. Old",'OLD Counts Pivot Table'!$A$3,"State","OK","Category",1,"Category2","Four-Year")</f>
        <v>275</v>
      </c>
      <c r="U90" s="109">
        <f>+GETPIVOTDATA(" Tot # Instr. Old",'OLD Counts Pivot Table'!$A$3,"State","OK","Category",2,"Category2","Four-Year")</f>
        <v>0</v>
      </c>
      <c r="V90" s="109">
        <f>+GETPIVOTDATA(" Tot # Instr. Old",'OLD Counts Pivot Table'!$A$3,"State","OK","Category",3,"Category2","Four-Year")</f>
        <v>177</v>
      </c>
      <c r="W90" s="109">
        <f>+GETPIVOTDATA(" Tot # Instr. Old",'OLD Counts Pivot Table'!$A$3,"State","OK","Category",4,"Category2","Four-Year")</f>
        <v>0</v>
      </c>
      <c r="X90" s="109">
        <f>+GETPIVOTDATA(" Tot # Instr. Old",'OLD Counts Pivot Table'!$A$3,"State","OK","Category",5,"Category2","Four-Year")</f>
        <v>263</v>
      </c>
      <c r="Y90" s="109">
        <f>+GETPIVOTDATA(" Tot # Instr. Old",'OLD Counts Pivot Table'!$A$3,"State","OK","Category",6,"Category2","Four-Year")</f>
        <v>56</v>
      </c>
      <c r="Z90" s="111">
        <f>+GETPIVOTDATA(" Tot # Instr. Old",'OLD Counts Pivot Table'!$A$3,"State","OK","Category2","Four-Year")</f>
        <v>771</v>
      </c>
      <c r="AA90" s="108">
        <f>+GETPIVOTDATA(" Tot # Instr. Old",'OLD Counts Pivot Table'!$A$3,"State","OK","Category",7,"Category2","Group2")</f>
        <v>0</v>
      </c>
      <c r="AB90" s="109">
        <f>+GETPIVOTDATA(" Tot # Instr. Old",'OLD Counts Pivot Table'!$A$3,"State","OK","Category",8,"Category2","Group2")</f>
        <v>0</v>
      </c>
      <c r="AC90" s="109">
        <f>+GETPIVOTDATA(" Tot # Instr. Old",'OLD Counts Pivot Table'!$A$3,"State","OK","Category",9,"Category2","Group2")</f>
        <v>0</v>
      </c>
      <c r="AD90" s="109">
        <f>+GETPIVOTDATA(" Tot # Instr. Old",'OLD Counts Pivot Table'!$A$3,"State","OK","Category",10,"Category2","Group2")</f>
        <v>0</v>
      </c>
      <c r="AE90" s="109">
        <f>+GETPIVOTDATA(" Tot # Instr. Old",'OLD Counts Pivot Table'!$A$3,"State","OK","Category","11","Category2","Group2")</f>
        <v>0</v>
      </c>
      <c r="AF90" s="111">
        <f>+GETPIVOTDATA(" Tot # Instr. Old",'OLD Counts Pivot Table'!$A$3,"State","OK","Category2","Group2")</f>
        <v>0</v>
      </c>
      <c r="AG90" s="108">
        <f>+GETPIVOTDATA(" Tot # Instr. Old",'OLD Counts Pivot Table'!$A$3,"State","OK","Category",12,"Category2","Technical Institutes")</f>
        <v>0</v>
      </c>
      <c r="AH90" s="109">
        <f>+GETPIVOTDATA(" Tot # Instr. Old",'OLD Counts Pivot Table'!$A$3,"State","OK","Category",13,"Category2","Technical Institutes")</f>
        <v>0</v>
      </c>
      <c r="AI90" s="110">
        <f>+GETPIVOTDATA(" Tot # Instr. Old",'OLD Counts Pivot Table'!$A$3,"State","OK","Category",14,"Category2","Technical Institutes")</f>
        <v>0</v>
      </c>
      <c r="AJ90" s="108">
        <f>+GETPIVOTDATA(" Tot # Instr. Old",'OLD Counts Pivot Table'!$A$3,"State","AR","Category2","Technical Institutes")</f>
        <v>0</v>
      </c>
    </row>
    <row r="91" spans="1:38">
      <c r="A91" s="30"/>
      <c r="B91" s="38" t="s">
        <v>315</v>
      </c>
      <c r="C91" s="32">
        <f t="shared" si="33"/>
        <v>0</v>
      </c>
      <c r="D91" s="34">
        <f t="shared" si="33"/>
        <v>0</v>
      </c>
      <c r="E91" s="34">
        <f t="shared" si="33"/>
        <v>0</v>
      </c>
      <c r="F91" s="34">
        <f t="shared" si="33"/>
        <v>0</v>
      </c>
      <c r="G91" s="34">
        <f t="shared" si="33"/>
        <v>0</v>
      </c>
      <c r="H91" s="68">
        <f t="shared" si="33"/>
        <v>0</v>
      </c>
      <c r="I91" s="32">
        <f t="shared" si="33"/>
        <v>0</v>
      </c>
      <c r="J91" s="32">
        <f t="shared" si="33"/>
        <v>0</v>
      </c>
      <c r="K91" s="34">
        <f t="shared" si="33"/>
        <v>0</v>
      </c>
      <c r="L91" s="34">
        <f t="shared" si="33"/>
        <v>0</v>
      </c>
      <c r="M91" s="34">
        <f t="shared" si="35"/>
        <v>0</v>
      </c>
      <c r="N91" s="32">
        <f t="shared" si="34"/>
        <v>0</v>
      </c>
      <c r="O91" s="32">
        <f t="shared" si="34"/>
        <v>0</v>
      </c>
      <c r="P91" s="34">
        <f t="shared" si="34"/>
        <v>0</v>
      </c>
      <c r="Q91" s="68">
        <f t="shared" si="34"/>
        <v>0</v>
      </c>
      <c r="R91" s="32">
        <f t="shared" si="34"/>
        <v>0</v>
      </c>
      <c r="S91" s="87"/>
      <c r="T91" s="108">
        <f>++GETPIVOTDATA(" Tot # Undes. Old",'OLD Counts Pivot Table'!$A$3,"State","OK","Category",1,"Category2","Four-Year")</f>
        <v>0</v>
      </c>
      <c r="U91" s="109">
        <f>+GETPIVOTDATA(" Tot # Undes. Old",'OLD Counts Pivot Table'!$A$3,"State","OK","Category",2,"Category2","Four-Year")</f>
        <v>0</v>
      </c>
      <c r="V91" s="109">
        <f>+GETPIVOTDATA(" Tot # Undes. Old",'OLD Counts Pivot Table'!$A$3,"State","OK","Category",3,"Category2","Four-Year")</f>
        <v>0</v>
      </c>
      <c r="W91" s="109">
        <f>+GETPIVOTDATA(" Tot # Undes. Old",'OLD Counts Pivot Table'!$A$3,"State","OK","Category",4,"Category2","Four-Year")</f>
        <v>0</v>
      </c>
      <c r="X91" s="109">
        <f>+GETPIVOTDATA(" Tot # Undes. Old",'OLD Counts Pivot Table'!$A$3,"State","OK","Category",5,"Category2","Four-Year")</f>
        <v>0</v>
      </c>
      <c r="Y91" s="109">
        <f>+GETPIVOTDATA(" Tot # Undes. Old",'OLD Counts Pivot Table'!$A$3,"State","OK","Category",6,"Category2","Four-Year")</f>
        <v>0</v>
      </c>
      <c r="Z91" s="111">
        <f>+GETPIVOTDATA(" Tot # Undes. Old",'OLD Counts Pivot Table'!$A$3,"State","OK","Category2","Four-Year")</f>
        <v>0</v>
      </c>
      <c r="AA91" s="108">
        <f>+GETPIVOTDATA(" Tot # Undes. Old",'OLD Counts Pivot Table'!$A$3,"State","OK","Category",7,"Category2","Group2")</f>
        <v>0</v>
      </c>
      <c r="AB91" s="109">
        <f>+GETPIVOTDATA(" Tot # Undes. Old",'OLD Counts Pivot Table'!$A$3,"State","OK","Category",8,"Category2","Group2")</f>
        <v>0</v>
      </c>
      <c r="AC91" s="109">
        <f>+GETPIVOTDATA(" Tot # Undes. Old",'OLD Counts Pivot Table'!$A$3,"State","OK","Category",9,"Category2","Group2")</f>
        <v>0</v>
      </c>
      <c r="AD91" s="109">
        <f>+GETPIVOTDATA(" Tot # Undes. Old",'OLD Counts Pivot Table'!$A$3,"State","OK","Category",10,"Category2","Group2")</f>
        <v>0</v>
      </c>
      <c r="AE91" s="109">
        <f>+GETPIVOTDATA(" Tot # Undes. Old",'OLD Counts Pivot Table'!$A$3,"State","OK","Category","11","Category2","Group2")</f>
        <v>0</v>
      </c>
      <c r="AF91" s="111">
        <f>+GETPIVOTDATA(" Tot # Undes. Old",'OLD Counts Pivot Table'!$A$3,"State","OK","Category2","Group2")</f>
        <v>0</v>
      </c>
      <c r="AG91" s="108">
        <f>+GETPIVOTDATA(" Tot # Undes. Old",'OLD Counts Pivot Table'!$A$3,"State","OK","Category",12,"Category2","Technical Institutes")</f>
        <v>0</v>
      </c>
      <c r="AH91" s="109">
        <f>+GETPIVOTDATA(" Tot # Undes. Old",'OLD Counts Pivot Table'!$A$3,"State","OK","Category",13,"Category2","Technical Institutes")</f>
        <v>0</v>
      </c>
      <c r="AI91" s="110">
        <f>+GETPIVOTDATA(" Tot # Undes. Old",'OLD Counts Pivot Table'!$A$3,"State","OK","Category",14,"Category2","Technical Institutes")</f>
        <v>0</v>
      </c>
      <c r="AJ91" s="108">
        <f>+GETPIVOTDATA(" Tot # Undes. Old",'OLD Counts Pivot Table'!$A$3,"State","AR","Category2","Technical Institutes")</f>
        <v>0</v>
      </c>
    </row>
    <row r="92" spans="1:38">
      <c r="A92" s="30"/>
      <c r="B92" s="38" t="s">
        <v>314</v>
      </c>
      <c r="C92" s="32">
        <f t="shared" si="33"/>
        <v>0</v>
      </c>
      <c r="D92" s="34">
        <f t="shared" si="33"/>
        <v>0</v>
      </c>
      <c r="E92" s="185">
        <f t="shared" si="33"/>
        <v>0</v>
      </c>
      <c r="F92" s="34">
        <f t="shared" si="33"/>
        <v>0</v>
      </c>
      <c r="G92" s="185">
        <f t="shared" si="33"/>
        <v>0</v>
      </c>
      <c r="H92" s="68">
        <f t="shared" si="33"/>
        <v>0</v>
      </c>
      <c r="I92" s="184">
        <f t="shared" si="33"/>
        <v>0</v>
      </c>
      <c r="J92" s="32">
        <f t="shared" si="33"/>
        <v>1</v>
      </c>
      <c r="K92" s="34">
        <f t="shared" si="33"/>
        <v>1</v>
      </c>
      <c r="L92" s="34">
        <f t="shared" si="33"/>
        <v>1</v>
      </c>
      <c r="M92" s="34">
        <f t="shared" si="35"/>
        <v>1</v>
      </c>
      <c r="N92" s="32">
        <f t="shared" si="34"/>
        <v>1</v>
      </c>
      <c r="O92" s="32">
        <f t="shared" si="34"/>
        <v>1</v>
      </c>
      <c r="P92" s="34">
        <f t="shared" si="34"/>
        <v>1</v>
      </c>
      <c r="Q92" s="68">
        <f t="shared" si="34"/>
        <v>1</v>
      </c>
      <c r="R92" s="32">
        <f t="shared" si="34"/>
        <v>0</v>
      </c>
      <c r="S92" s="87"/>
      <c r="T92" s="108">
        <f>+GETPIVOTDATA(" Tot # Single Rnk Old",'OLD Counts Pivot Table'!$A$3,"State","OK","Category",1,"Category2","Four-Year")</f>
        <v>0</v>
      </c>
      <c r="U92" s="109">
        <f>+GETPIVOTDATA(" Tot # Single Rnk Old",'OLD Counts Pivot Table'!$A$3,"State","OK","Category",2,"Category2","Four-Year")</f>
        <v>0</v>
      </c>
      <c r="V92" s="109">
        <f>+GETPIVOTDATA(" Tot # Single Rnk Old",'OLD Counts Pivot Table'!$A$3,"State","OK","Category",3,"Category2","Four-Year")</f>
        <v>0</v>
      </c>
      <c r="W92" s="109">
        <f>+GETPIVOTDATA(" Tot # Single Rnk Old",'OLD Counts Pivot Table'!$A$3,"State","OK","Category",4,"Category2","Four-Year")</f>
        <v>0</v>
      </c>
      <c r="X92" s="109">
        <f>+GETPIVOTDATA(" Tot # Single Rnk Old",'OLD Counts Pivot Table'!$A$3,"State","OK","Category",5,"Category2","Four-Year")</f>
        <v>0</v>
      </c>
      <c r="Y92" s="109">
        <f>+GETPIVOTDATA(" Tot # Single Rnk Old",'OLD Counts Pivot Table'!$A$3,"State","OK","Category",6,"Category2","Four-Year")</f>
        <v>0</v>
      </c>
      <c r="Z92" s="111">
        <f>+GETPIVOTDATA(" Tot # Single Rnk Old",'OLD Counts Pivot Table'!$A$3,"State","OK","Category2","Four-Year")</f>
        <v>0</v>
      </c>
      <c r="AA92" s="108">
        <f>+GETPIVOTDATA(" Tot # Single Rnk Old",'OLD Counts Pivot Table'!$A$3,"State","OK","Category",7,"Category2","Group2")</f>
        <v>124</v>
      </c>
      <c r="AB92" s="109">
        <f>+GETPIVOTDATA(" Tot # Single Rnk Old",'OLD Counts Pivot Table'!$A$3,"State","OK","Category",8,"Category2","Group2")</f>
        <v>446</v>
      </c>
      <c r="AC92" s="109">
        <f>+GETPIVOTDATA(" Tot # Single Rnk Old",'OLD Counts Pivot Table'!$A$3,"State","OK","Category",9,"Category2","Group2")</f>
        <v>300</v>
      </c>
      <c r="AD92" s="109">
        <f>+GETPIVOTDATA(" Tot # Single Rnk Old",'OLD Counts Pivot Table'!$A$3,"State","OK","Category",10,"Category2","Group2")</f>
        <v>378</v>
      </c>
      <c r="AE92" s="109">
        <f>+GETPIVOTDATA(" Tot # Single Rnk Old",'OLD Counts Pivot Table'!$A$3,"State","OK","Category","11","Category2","Group2")</f>
        <v>0</v>
      </c>
      <c r="AF92" s="111">
        <f>+GETPIVOTDATA(" Tot # Single Rnk Old",'OLD Counts Pivot Table'!$A$3,"State","OK","Category2","Group2")</f>
        <v>1248</v>
      </c>
      <c r="AG92" s="108">
        <f>+GETPIVOTDATA(" Tot # Single Rnk Old",'OLD Counts Pivot Table'!$A$3,"State","OK","Category",12,"Category2","Technical Institutes")</f>
        <v>302</v>
      </c>
      <c r="AH92" s="109">
        <f>+GETPIVOTDATA(" Tot # Single Rnk Old",'OLD Counts Pivot Table'!$A$3,"State","OK","Category",13,"Category2","Technical Institutes")</f>
        <v>815</v>
      </c>
      <c r="AI92" s="110">
        <f>+GETPIVOTDATA(" Tot # Single Rnk Old",'OLD Counts Pivot Table'!$A$3,"State","OK","Category",14,"Category2","Technical Institutes")</f>
        <v>6</v>
      </c>
      <c r="AJ92" s="108">
        <f>+GETPIVOTDATA(" Tot # Single Rnk Old",'OLD Counts Pivot Table'!$A$3,"State","AR","Category2","Technical Institutes")</f>
        <v>0</v>
      </c>
    </row>
    <row r="93" spans="1:38" s="54" customFormat="1">
      <c r="A93" s="191"/>
      <c r="B93" s="192" t="s">
        <v>316</v>
      </c>
      <c r="C93" s="33">
        <f t="shared" si="33"/>
        <v>1</v>
      </c>
      <c r="D93" s="31">
        <f t="shared" si="33"/>
        <v>0</v>
      </c>
      <c r="E93" s="31">
        <f t="shared" si="33"/>
        <v>1</v>
      </c>
      <c r="F93" s="31">
        <f t="shared" si="33"/>
        <v>0</v>
      </c>
      <c r="G93" s="31">
        <f t="shared" si="33"/>
        <v>1</v>
      </c>
      <c r="H93" s="69">
        <f t="shared" si="33"/>
        <v>1</v>
      </c>
      <c r="I93" s="33">
        <f t="shared" si="33"/>
        <v>1</v>
      </c>
      <c r="J93" s="33">
        <f t="shared" si="33"/>
        <v>1</v>
      </c>
      <c r="K93" s="31">
        <f t="shared" si="33"/>
        <v>1</v>
      </c>
      <c r="L93" s="31">
        <f t="shared" si="33"/>
        <v>1</v>
      </c>
      <c r="M93" s="31">
        <f t="shared" si="35"/>
        <v>1</v>
      </c>
      <c r="N93" s="33">
        <f t="shared" si="34"/>
        <v>1</v>
      </c>
      <c r="O93" s="33">
        <f t="shared" si="34"/>
        <v>1</v>
      </c>
      <c r="P93" s="31">
        <f t="shared" si="34"/>
        <v>1</v>
      </c>
      <c r="Q93" s="69">
        <f t="shared" si="34"/>
        <v>1</v>
      </c>
      <c r="R93" s="33">
        <f t="shared" si="34"/>
        <v>0</v>
      </c>
      <c r="S93" s="88"/>
      <c r="T93" s="112">
        <f>+GETPIVOTDATA(" All Ranks # Old",'OLD Counts Pivot Table'!$A$3,"State","OK","Category",1,"Category2","Four-Year")</f>
        <v>2052</v>
      </c>
      <c r="U93" s="113">
        <f>+GETPIVOTDATA(" All Ranks # Old",'OLD Counts Pivot Table'!$A$3,"State","OK","Category",2,"Category2","Four-Year")</f>
        <v>0</v>
      </c>
      <c r="V93" s="113">
        <f>+GETPIVOTDATA(" All Ranks # Old",'OLD Counts Pivot Table'!$A$3,"State","OK","Category",3,"Category2","Four-Year")</f>
        <v>767</v>
      </c>
      <c r="W93" s="113">
        <f>+GETPIVOTDATA(" All Ranks # Old",'OLD Counts Pivot Table'!$A$3,"State","OK","Category",4,"Category2","Four-Year")</f>
        <v>0</v>
      </c>
      <c r="X93" s="113">
        <f>+GETPIVOTDATA(" All Ranks # Old",'OLD Counts Pivot Table'!$A$3,"State","OK","Category",5,"Category2","Four-Year")</f>
        <v>918</v>
      </c>
      <c r="Y93" s="113">
        <f>+GETPIVOTDATA(" All Ranks # Old",'OLD Counts Pivot Table'!$A$3,"State","OK","Category",6,"Category2","Four-Year")</f>
        <v>206</v>
      </c>
      <c r="Z93" s="115">
        <f>+GETPIVOTDATA(" All Ranks # Old",'OLD Counts Pivot Table'!$A$3,"State","OK","Category2","Four-Year")</f>
        <v>3943</v>
      </c>
      <c r="AA93" s="112">
        <f>+GETPIVOTDATA(" All Ranks # Old",'OLD Counts Pivot Table'!$A$3,"State","OK","Category",7,"Category2","Group2")</f>
        <v>124</v>
      </c>
      <c r="AB93" s="113">
        <f>+GETPIVOTDATA(" All Ranks # Old",'OLD Counts Pivot Table'!$A$3,"State","OK","Category",8,"Category2","Group2")</f>
        <v>446</v>
      </c>
      <c r="AC93" s="113">
        <f>+GETPIVOTDATA(" All Ranks # Old",'OLD Counts Pivot Table'!$A$3,"State","OK","Category",9,"Category2","Group2")</f>
        <v>300</v>
      </c>
      <c r="AD93" s="113">
        <f>+GETPIVOTDATA(" All Ranks # Old",'OLD Counts Pivot Table'!$A$3,"State","OK","Category",10,"Category2","Group2")</f>
        <v>378</v>
      </c>
      <c r="AE93" s="113">
        <f>+GETPIVOTDATA(" All Ranks # Old",'OLD Counts Pivot Table'!$A$3,"State","OK","Category","11","Category2","Group2")</f>
        <v>0</v>
      </c>
      <c r="AF93" s="115">
        <f>+GETPIVOTDATA(" All Ranks # Old",'OLD Counts Pivot Table'!$A$3,"State","OK","Category2","Group2")</f>
        <v>1248</v>
      </c>
      <c r="AG93" s="112">
        <f>+GETPIVOTDATA(" All Ranks # Old",'OLD Counts Pivot Table'!$A$3,"State","OK","Category",12,"Category2","Technical Institutes")</f>
        <v>302</v>
      </c>
      <c r="AH93" s="113">
        <f>+GETPIVOTDATA(" All Ranks # Old",'OLD Counts Pivot Table'!$A$3,"State","OK","Category",13,"Category2","Technical Institutes")</f>
        <v>815</v>
      </c>
      <c r="AI93" s="114">
        <f>+GETPIVOTDATA(" All Ranks # Old",'OLD Counts Pivot Table'!$A$3,"State","OK","Category",14,"Category2","Technical Institutes")</f>
        <v>6</v>
      </c>
      <c r="AJ93" s="112">
        <f>+GETPIVOTDATA(" All Ranks # Old",'OLD Counts Pivot Table'!$A$3,"State","AR","Category2","Technical Institutes")</f>
        <v>0</v>
      </c>
      <c r="AK93" s="116"/>
      <c r="AL93" s="116"/>
    </row>
    <row r="94" spans="1:38">
      <c r="A94" s="38" t="s">
        <v>346</v>
      </c>
      <c r="B94" s="35" t="s">
        <v>332</v>
      </c>
      <c r="C94" s="36">
        <f t="shared" ref="C94:M100" si="36">IF(T$100&gt;0,(T94/T$100),0)</f>
        <v>0.29310344827586204</v>
      </c>
      <c r="D94" s="37">
        <f t="shared" si="36"/>
        <v>0</v>
      </c>
      <c r="E94" s="37">
        <f t="shared" si="36"/>
        <v>0.25031928480204341</v>
      </c>
      <c r="F94" s="37">
        <f t="shared" si="36"/>
        <v>0.31976744186046513</v>
      </c>
      <c r="G94" s="37">
        <f t="shared" si="36"/>
        <v>0.21265141318977121</v>
      </c>
      <c r="H94" s="67">
        <f t="shared" si="36"/>
        <v>0.16348195329087048</v>
      </c>
      <c r="I94" s="36">
        <f t="shared" si="36"/>
        <v>0.25886119368854332</v>
      </c>
      <c r="J94" s="36">
        <f t="shared" si="36"/>
        <v>0.19298245614035087</v>
      </c>
      <c r="K94" s="37">
        <f t="shared" si="36"/>
        <v>0</v>
      </c>
      <c r="L94" s="37">
        <f t="shared" si="36"/>
        <v>0</v>
      </c>
      <c r="M94" s="37">
        <f t="shared" si="36"/>
        <v>6.4000000000000001E-2</v>
      </c>
      <c r="N94" s="36">
        <f t="shared" ref="N94:R100" si="37">IF(AF$100&gt;0,(AF94/AF$100),0)</f>
        <v>1.2987012987012988E-2</v>
      </c>
      <c r="O94" s="152">
        <f t="shared" si="37"/>
        <v>0</v>
      </c>
      <c r="P94" s="37">
        <f t="shared" si="37"/>
        <v>0</v>
      </c>
      <c r="Q94" s="67">
        <f t="shared" si="37"/>
        <v>0</v>
      </c>
      <c r="R94" s="152">
        <f t="shared" si="37"/>
        <v>0</v>
      </c>
      <c r="S94" s="117"/>
      <c r="T94" s="104">
        <f>+GETPIVOTDATA(" Total # Prof Old",'OLD Counts Pivot Table'!$A$3,"State","SC","Category",1,"Category2","Four-Year")</f>
        <v>646</v>
      </c>
      <c r="U94" s="105">
        <f>+GETPIVOTDATA(" Total # Prof Old",'OLD Counts Pivot Table'!$A$3,"State","SC","Category",2,"Category2","Four-Year")</f>
        <v>0</v>
      </c>
      <c r="V94" s="105">
        <f>+GETPIVOTDATA(" Total # Prof Old",'OLD Counts Pivot Table'!$A$3,"State","SC","Category",3,"Category2","Four-Year")</f>
        <v>196</v>
      </c>
      <c r="W94" s="105">
        <f>+GETPIVOTDATA(" Total # Prof Old",'OLD Counts Pivot Table'!$A$3,"State","SC","Category",4,"Category2","Four-Year")</f>
        <v>55</v>
      </c>
      <c r="X94" s="105">
        <f>+GETPIVOTDATA(" Total # Prof Old",'OLD Counts Pivot Table'!$A$3,"State","SC","Category",5,"Category2","Four-Year")</f>
        <v>158</v>
      </c>
      <c r="Y94" s="105">
        <f>+GETPIVOTDATA(" Total # Prof Old",'OLD Counts Pivot Table'!$A$3,"State","SC","Category",6,"Category2","Four-Year")</f>
        <v>77</v>
      </c>
      <c r="Z94" s="107">
        <f>+GETPIVOTDATA(" Total # Prof Old",'OLD Counts Pivot Table'!$A$3,"State","SC","Category2","Four-Year")</f>
        <v>1132</v>
      </c>
      <c r="AA94" s="104">
        <f>+GETPIVOTDATA(" Total # Prof Old",'OLD Counts Pivot Table'!$A$3,"State","SC","Category",7,"Category2","Group2")</f>
        <v>11</v>
      </c>
      <c r="AB94" s="105">
        <f>+GETPIVOTDATA(" Total # Prof Old",'OLD Counts Pivot Table'!$A$3,"State","SC","Category",8,"Category2","Group2")</f>
        <v>0</v>
      </c>
      <c r="AC94" s="105">
        <f>+GETPIVOTDATA(" Total # Prof Old",'OLD Counts Pivot Table'!$A$3,"State","SC","Category",9,"Category2","Group2")</f>
        <v>0</v>
      </c>
      <c r="AD94" s="105">
        <f>+GETPIVOTDATA(" Total # Prof Old",'OLD Counts Pivot Table'!$A$3,"State","SC","Category",10,"Category2","Group2")</f>
        <v>16</v>
      </c>
      <c r="AE94" s="105">
        <f>+GETPIVOTDATA(" Total # Prof Old",'OLD Counts Pivot Table'!$A$3,"State","SC","Category","11","Category2","Group2")</f>
        <v>0</v>
      </c>
      <c r="AF94" s="107">
        <f>+GETPIVOTDATA(" Total # Prof Old",'OLD Counts Pivot Table'!$A$3,"State","SC","Category2","Group2")</f>
        <v>27</v>
      </c>
      <c r="AG94" s="104">
        <f>+GETPIVOTDATA(" Total # Prof Old",'OLD Counts Pivot Table'!$A$3,"State","SC","Category",12,"Category2","Technical Institutes")</f>
        <v>0</v>
      </c>
      <c r="AH94" s="105">
        <f>+GETPIVOTDATA(" Total # Prof Old",'OLD Counts Pivot Table'!$A$3,"State","SC","Category",13,"Category2","Technical Institutes")</f>
        <v>0</v>
      </c>
      <c r="AI94" s="106">
        <f>+GETPIVOTDATA(" Total # Prof Old",'OLD Counts Pivot Table'!$A$3,"State","SC","Category",14,"Category2","Technical Institutes")</f>
        <v>0</v>
      </c>
      <c r="AJ94" s="104">
        <f>+GETPIVOTDATA(" Total # Prof Old",'OLD Counts Pivot Table'!$A$3,"State","AR","Category2","Technical Institutes")</f>
        <v>0</v>
      </c>
    </row>
    <row r="95" spans="1:38">
      <c r="A95" s="30"/>
      <c r="B95" s="38" t="s">
        <v>333</v>
      </c>
      <c r="C95" s="32">
        <f t="shared" si="36"/>
        <v>0.26633393829401086</v>
      </c>
      <c r="D95" s="34">
        <f t="shared" si="36"/>
        <v>0</v>
      </c>
      <c r="E95" s="34">
        <f t="shared" si="36"/>
        <v>0.32311621966794379</v>
      </c>
      <c r="F95" s="34">
        <f t="shared" si="36"/>
        <v>0.30232558139534882</v>
      </c>
      <c r="G95" s="34">
        <f t="shared" si="36"/>
        <v>0.2449528936742934</v>
      </c>
      <c r="H95" s="68">
        <f t="shared" si="36"/>
        <v>0.23354564755838642</v>
      </c>
      <c r="I95" s="32">
        <f t="shared" si="36"/>
        <v>0.27075234392865311</v>
      </c>
      <c r="J95" s="32">
        <f t="shared" si="36"/>
        <v>0.26315789473684209</v>
      </c>
      <c r="K95" s="34">
        <f t="shared" si="36"/>
        <v>0</v>
      </c>
      <c r="L95" s="34">
        <f t="shared" si="36"/>
        <v>0</v>
      </c>
      <c r="M95" s="34">
        <f t="shared" ref="M95:M100" si="38">IF(AD$100&gt;0,(AD95/AD$100),0)</f>
        <v>9.1999999999999998E-2</v>
      </c>
      <c r="N95" s="32">
        <f t="shared" si="37"/>
        <v>1.8278018278018279E-2</v>
      </c>
      <c r="O95" s="32">
        <f t="shared" si="37"/>
        <v>0</v>
      </c>
      <c r="P95" s="34">
        <f t="shared" si="37"/>
        <v>0</v>
      </c>
      <c r="Q95" s="68">
        <f t="shared" si="37"/>
        <v>0</v>
      </c>
      <c r="R95" s="32">
        <f t="shared" si="37"/>
        <v>0</v>
      </c>
      <c r="S95" s="87"/>
      <c r="T95" s="108">
        <f>+GETPIVOTDATA(" Tot # Asc. Prof Old",'OLD Counts Pivot Table'!$A$3,"State","SC","Category",1,"Category2","Four-Year")</f>
        <v>587</v>
      </c>
      <c r="U95" s="109">
        <f>+GETPIVOTDATA(" Tot # Asc. Prof Old",'OLD Counts Pivot Table'!$A$3,"State","SC","Category",2,"Category2","Four-Year")</f>
        <v>0</v>
      </c>
      <c r="V95" s="109">
        <f>+GETPIVOTDATA(" Tot # Asc. Prof Old",'OLD Counts Pivot Table'!$A$3,"State","SC","Category",3,"Category2","Four-Year")</f>
        <v>253</v>
      </c>
      <c r="W95" s="109">
        <f>+GETPIVOTDATA(" Tot # Asc. Prof Old",'OLD Counts Pivot Table'!$A$3,"State","SC","Category",4,"Category2","Four-Year")</f>
        <v>52</v>
      </c>
      <c r="X95" s="109">
        <f>+GETPIVOTDATA(" Tot # Asc. Prof Old",'OLD Counts Pivot Table'!$A$3,"State","SC","Category",5,"Category2","Four-Year")</f>
        <v>182</v>
      </c>
      <c r="Y95" s="109">
        <f>+GETPIVOTDATA(" Tot # Asc. Prof Old",'OLD Counts Pivot Table'!$A$3,"State","SC","Category",6,"Category2","Four-Year")</f>
        <v>110</v>
      </c>
      <c r="Z95" s="111">
        <f>+GETPIVOTDATA(" Tot # Asc. Prof Old",'OLD Counts Pivot Table'!$A$3,"State","SC","Category2","Four-Year")</f>
        <v>1184</v>
      </c>
      <c r="AA95" s="108">
        <f>+GETPIVOTDATA(" Tot # Asc. Prof Old",'OLD Counts Pivot Table'!$A$3,"State","SC","Category",7,"Category2","Group2")</f>
        <v>15</v>
      </c>
      <c r="AB95" s="109">
        <f>+GETPIVOTDATA(" Tot # Asc. Prof Old",'OLD Counts Pivot Table'!$A$3,"State","SC","Category",8,"Category2","Group2")</f>
        <v>0</v>
      </c>
      <c r="AC95" s="109">
        <f>+GETPIVOTDATA(" Tot # Asc. Prof Old",'OLD Counts Pivot Table'!$A$3,"State","SC","Category",9,"Category2","Group2")</f>
        <v>0</v>
      </c>
      <c r="AD95" s="109">
        <f>+GETPIVOTDATA(" Tot # Asc. Prof Old",'OLD Counts Pivot Table'!$A$3,"State","SC","Category",10,"Category2","Group2")</f>
        <v>23</v>
      </c>
      <c r="AE95" s="109">
        <f>+GETPIVOTDATA(" Tot # Asc. Prof Old",'OLD Counts Pivot Table'!$A$3,"State","SC","Category","11","Category2","Group2")</f>
        <v>0</v>
      </c>
      <c r="AF95" s="111">
        <f>+GETPIVOTDATA(" Tot # Asc. Prof Old",'OLD Counts Pivot Table'!$A$3,"State","SC","Category2","Group2")</f>
        <v>38</v>
      </c>
      <c r="AG95" s="108">
        <f>+GETPIVOTDATA(" Tot # Asc. Prof Old",'OLD Counts Pivot Table'!$A$3,"State","SC","Category",12,"Category2","Technical Institutes")</f>
        <v>0</v>
      </c>
      <c r="AH95" s="109">
        <f>+GETPIVOTDATA(" Tot # Asc. Prof Old",'OLD Counts Pivot Table'!$A$3,"State","SC","Category",13,"Category2","Technical Institutes")</f>
        <v>0</v>
      </c>
      <c r="AI95" s="110">
        <f>+GETPIVOTDATA(" Tot # Asc. Prof Old",'OLD Counts Pivot Table'!$A$3,"State","SC","Category",14,"Category2","Technical Institutes")</f>
        <v>0</v>
      </c>
      <c r="AJ95" s="108">
        <f>+GETPIVOTDATA(" Tot # Asc. Prof Old",'OLD Counts Pivot Table'!$A$3,"State","AR","Category2","Technical Institutes")</f>
        <v>0</v>
      </c>
    </row>
    <row r="96" spans="1:38">
      <c r="A96" s="30"/>
      <c r="B96" s="38" t="s">
        <v>334</v>
      </c>
      <c r="C96" s="32">
        <f t="shared" si="36"/>
        <v>0.28221415607985478</v>
      </c>
      <c r="D96" s="34">
        <f t="shared" si="36"/>
        <v>0</v>
      </c>
      <c r="E96" s="34">
        <f t="shared" si="36"/>
        <v>0.30906768837803322</v>
      </c>
      <c r="F96" s="34">
        <f t="shared" si="36"/>
        <v>0.37790697674418605</v>
      </c>
      <c r="G96" s="34">
        <f t="shared" si="36"/>
        <v>0.38088829071332436</v>
      </c>
      <c r="H96" s="68">
        <f t="shared" si="36"/>
        <v>0.30997876857749468</v>
      </c>
      <c r="I96" s="32">
        <f t="shared" si="36"/>
        <v>0.31054196203978962</v>
      </c>
      <c r="J96" s="32">
        <f t="shared" si="36"/>
        <v>0.2982456140350877</v>
      </c>
      <c r="K96" s="34">
        <f t="shared" si="36"/>
        <v>0</v>
      </c>
      <c r="L96" s="34">
        <f t="shared" si="36"/>
        <v>0</v>
      </c>
      <c r="M96" s="34">
        <f t="shared" si="38"/>
        <v>0.13600000000000001</v>
      </c>
      <c r="N96" s="32">
        <f t="shared" si="37"/>
        <v>2.4531024531024532E-2</v>
      </c>
      <c r="O96" s="32">
        <f t="shared" si="37"/>
        <v>0</v>
      </c>
      <c r="P96" s="34">
        <f t="shared" si="37"/>
        <v>0</v>
      </c>
      <c r="Q96" s="68">
        <f t="shared" si="37"/>
        <v>0</v>
      </c>
      <c r="R96" s="32">
        <f t="shared" si="37"/>
        <v>0</v>
      </c>
      <c r="S96" s="87"/>
      <c r="T96" s="108">
        <f>+GETPIVOTDATA(" Tot # Ast. Prof Old",'OLD Counts Pivot Table'!$A$3,"State","SC","Category",1,"Category2","Four-Year")</f>
        <v>622</v>
      </c>
      <c r="U96" s="109">
        <f>+GETPIVOTDATA(" Tot # Ast. Prof Old",'OLD Counts Pivot Table'!$A$3,"State","SC","Category",2,"Category2","Four-Year")</f>
        <v>0</v>
      </c>
      <c r="V96" s="109">
        <f>+GETPIVOTDATA(" Tot # Ast. Prof Old",'OLD Counts Pivot Table'!$A$3,"State","SC","Category",3,"Category2","Four-Year")</f>
        <v>242</v>
      </c>
      <c r="W96" s="109">
        <f>+GETPIVOTDATA(" Tot # Ast. Prof Old",'OLD Counts Pivot Table'!$A$3,"State","SC","Category",4,"Category2","Four-Year")</f>
        <v>65</v>
      </c>
      <c r="X96" s="109">
        <f>+GETPIVOTDATA(" Tot # Ast. Prof Old",'OLD Counts Pivot Table'!$A$3,"State","SC","Category",5,"Category2","Four-Year")</f>
        <v>283</v>
      </c>
      <c r="Y96" s="109">
        <f>+GETPIVOTDATA(" Tot # Ast. Prof Old",'OLD Counts Pivot Table'!$A$3,"State","SC","Category",6,"Category2","Four-Year")</f>
        <v>146</v>
      </c>
      <c r="Z96" s="111">
        <f>+GETPIVOTDATA(" Tot # Ast. Prof Old",'OLD Counts Pivot Table'!$A$3,"State","SC","Category2","Four-Year")</f>
        <v>1358</v>
      </c>
      <c r="AA96" s="108">
        <f>+GETPIVOTDATA(" Tot # Ast. Prof Old",'OLD Counts Pivot Table'!$A$3,"State","SC","Category",7,"Category2","Group2")</f>
        <v>17</v>
      </c>
      <c r="AB96" s="109">
        <f>+GETPIVOTDATA(" Tot # Ast. Prof Old",'OLD Counts Pivot Table'!$A$3,"State","SC","Category",8,"Category2","Group2")</f>
        <v>0</v>
      </c>
      <c r="AC96" s="109">
        <f>+GETPIVOTDATA(" Tot # Ast. Prof Old",'OLD Counts Pivot Table'!$A$3,"State","SC","Category",9,"Category2","Group2")</f>
        <v>0</v>
      </c>
      <c r="AD96" s="109">
        <f>+GETPIVOTDATA(" Tot # Ast. Prof Old",'OLD Counts Pivot Table'!$A$3,"State","SC","Category",10,"Category2","Group2")</f>
        <v>34</v>
      </c>
      <c r="AE96" s="109">
        <f>+GETPIVOTDATA(" Tot # Ast. Prof Old",'OLD Counts Pivot Table'!$A$3,"State","SC","Category","11","Category2","Group2")</f>
        <v>0</v>
      </c>
      <c r="AF96" s="111">
        <f>+GETPIVOTDATA(" Tot # Ast. Prof Old",'OLD Counts Pivot Table'!$A$3,"State","SC","Category2","Group2")</f>
        <v>51</v>
      </c>
      <c r="AG96" s="108">
        <f>+GETPIVOTDATA(" Tot # Ast. Prof Old",'OLD Counts Pivot Table'!$A$3,"State","SC","Category",12,"Category2","Technical Institutes")</f>
        <v>0</v>
      </c>
      <c r="AH96" s="109">
        <f>+GETPIVOTDATA(" Tot # Ast. Prof Old",'OLD Counts Pivot Table'!$A$3,"State","SC","Category",13,"Category2","Technical Institutes")</f>
        <v>0</v>
      </c>
      <c r="AI96" s="110">
        <f>+GETPIVOTDATA(" Tot # Ast. Prof Old",'OLD Counts Pivot Table'!$A$3,"State","SC","Category",14,"Category2","Technical Institutes")</f>
        <v>0</v>
      </c>
      <c r="AJ96" s="108">
        <f>+GETPIVOTDATA(" Tot # Ast. Prof Old",'OLD Counts Pivot Table'!$A$3,"State","AR","Category2","Technical Institutes")</f>
        <v>0</v>
      </c>
    </row>
    <row r="97" spans="1:38">
      <c r="A97" s="30"/>
      <c r="B97" s="38" t="s">
        <v>335</v>
      </c>
      <c r="C97" s="32">
        <f t="shared" si="36"/>
        <v>6.3067150635208707E-2</v>
      </c>
      <c r="D97" s="34">
        <f t="shared" si="36"/>
        <v>0</v>
      </c>
      <c r="E97" s="34">
        <f t="shared" si="36"/>
        <v>0.11749680715197956</v>
      </c>
      <c r="F97" s="34">
        <f t="shared" si="36"/>
        <v>0</v>
      </c>
      <c r="G97" s="34">
        <f t="shared" si="36"/>
        <v>8.47913862718708E-2</v>
      </c>
      <c r="H97" s="68">
        <f t="shared" si="36"/>
        <v>0.28450106157112526</v>
      </c>
      <c r="I97" s="32">
        <f t="shared" si="36"/>
        <v>9.7873313514749594E-2</v>
      </c>
      <c r="J97" s="32">
        <f t="shared" si="36"/>
        <v>0.24561403508771928</v>
      </c>
      <c r="K97" s="34">
        <f t="shared" si="36"/>
        <v>0</v>
      </c>
      <c r="L97" s="34">
        <f t="shared" si="36"/>
        <v>0</v>
      </c>
      <c r="M97" s="34">
        <f t="shared" si="38"/>
        <v>0.188</v>
      </c>
      <c r="N97" s="32">
        <f t="shared" si="37"/>
        <v>2.9341029341029341E-2</v>
      </c>
      <c r="O97" s="32">
        <f t="shared" si="37"/>
        <v>0</v>
      </c>
      <c r="P97" s="34">
        <f t="shared" si="37"/>
        <v>0</v>
      </c>
      <c r="Q97" s="68">
        <f t="shared" si="37"/>
        <v>0</v>
      </c>
      <c r="R97" s="32">
        <f t="shared" si="37"/>
        <v>0</v>
      </c>
      <c r="S97" s="87"/>
      <c r="T97" s="108">
        <f>+GETPIVOTDATA(" Tot # Instr. Old",'OLD Counts Pivot Table'!$A$3,"State","SC","Category",1,"Category2","Four-Year")</f>
        <v>139</v>
      </c>
      <c r="U97" s="109">
        <f>+GETPIVOTDATA(" Tot # Instr. Old",'OLD Counts Pivot Table'!$A$3,"State","SC","Category",2,"Category2","Four-Year")</f>
        <v>0</v>
      </c>
      <c r="V97" s="109">
        <f>+GETPIVOTDATA(" Tot # Instr. Old",'OLD Counts Pivot Table'!$A$3,"State","SC","Category",3,"Category2","Four-Year")</f>
        <v>92</v>
      </c>
      <c r="W97" s="109">
        <f>+GETPIVOTDATA(" Tot # Instr. Old",'OLD Counts Pivot Table'!$A$3,"State","SC","Category",4,"Category2","Four-Year")</f>
        <v>0</v>
      </c>
      <c r="X97" s="109">
        <f>+GETPIVOTDATA(" Tot # Instr. Old",'OLD Counts Pivot Table'!$A$3,"State","SC","Category",5,"Category2","Four-Year")</f>
        <v>63</v>
      </c>
      <c r="Y97" s="109">
        <f>+GETPIVOTDATA(" Tot # Instr. Old",'OLD Counts Pivot Table'!$A$3,"State","SC","Category",6,"Category2","Four-Year")</f>
        <v>134</v>
      </c>
      <c r="Z97" s="111">
        <f>+GETPIVOTDATA(" Tot # Instr. Old",'OLD Counts Pivot Table'!$A$3,"State","SC","Category2","Four-Year")</f>
        <v>428</v>
      </c>
      <c r="AA97" s="108">
        <f>+GETPIVOTDATA(" Tot # Instr. Old",'OLD Counts Pivot Table'!$A$3,"State","SC","Category",7,"Category2","Group2")</f>
        <v>14</v>
      </c>
      <c r="AB97" s="109">
        <f>+GETPIVOTDATA(" Tot # Instr. Old",'OLD Counts Pivot Table'!$A$3,"State","SC","Category",8,"Category2","Group2")</f>
        <v>0</v>
      </c>
      <c r="AC97" s="109">
        <f>+GETPIVOTDATA(" Tot # Instr. Old",'OLD Counts Pivot Table'!$A$3,"State","SC","Category",9,"Category2","Group2")</f>
        <v>0</v>
      </c>
      <c r="AD97" s="109">
        <f>+GETPIVOTDATA(" Tot # Instr. Old",'OLD Counts Pivot Table'!$A$3,"State","SC","Category",10,"Category2","Group2")</f>
        <v>47</v>
      </c>
      <c r="AE97" s="109">
        <f>+GETPIVOTDATA(" Tot # Instr. Old",'OLD Counts Pivot Table'!$A$3,"State","SC","Category","11","Category2","Group2")</f>
        <v>0</v>
      </c>
      <c r="AF97" s="111">
        <f>+GETPIVOTDATA(" Tot # Instr. Old",'OLD Counts Pivot Table'!$A$3,"State","SC","Category2","Group2")</f>
        <v>61</v>
      </c>
      <c r="AG97" s="108">
        <f>+GETPIVOTDATA(" Tot # Instr. Old",'OLD Counts Pivot Table'!$A$3,"State","SC","Category",12,"Category2","Technical Institutes")</f>
        <v>0</v>
      </c>
      <c r="AH97" s="109">
        <f>+GETPIVOTDATA(" Tot # Instr. Old",'OLD Counts Pivot Table'!$A$3,"State","SC","Category",13,"Category2","Technical Institutes")</f>
        <v>0</v>
      </c>
      <c r="AI97" s="110">
        <f>+GETPIVOTDATA(" Tot # Instr. Old",'OLD Counts Pivot Table'!$A$3,"State","SC","Category",14,"Category2","Technical Institutes")</f>
        <v>0</v>
      </c>
      <c r="AJ97" s="108">
        <f>+GETPIVOTDATA(" Tot # Instr. Old",'OLD Counts Pivot Table'!$A$3,"State","AR","Category2","Technical Institutes")</f>
        <v>0</v>
      </c>
    </row>
    <row r="98" spans="1:38">
      <c r="A98" s="30"/>
      <c r="B98" s="38" t="s">
        <v>315</v>
      </c>
      <c r="C98" s="32">
        <f t="shared" si="36"/>
        <v>9.5281306715063518E-2</v>
      </c>
      <c r="D98" s="34">
        <f t="shared" si="36"/>
        <v>0</v>
      </c>
      <c r="E98" s="34">
        <f t="shared" si="36"/>
        <v>0</v>
      </c>
      <c r="F98" s="34">
        <f t="shared" si="36"/>
        <v>0</v>
      </c>
      <c r="G98" s="34">
        <f t="shared" si="36"/>
        <v>7.6716016150740238E-2</v>
      </c>
      <c r="H98" s="68">
        <f t="shared" si="36"/>
        <v>8.4925690021231421E-3</v>
      </c>
      <c r="I98" s="32">
        <f t="shared" si="36"/>
        <v>6.197118682826435E-2</v>
      </c>
      <c r="J98" s="32">
        <f t="shared" si="36"/>
        <v>0</v>
      </c>
      <c r="K98" s="34">
        <f t="shared" si="36"/>
        <v>1</v>
      </c>
      <c r="L98" s="34">
        <f t="shared" si="36"/>
        <v>1</v>
      </c>
      <c r="M98" s="34">
        <f t="shared" si="38"/>
        <v>0.52</v>
      </c>
      <c r="N98" s="32">
        <f t="shared" si="37"/>
        <v>0.91486291486291482</v>
      </c>
      <c r="O98" s="32">
        <f t="shared" si="37"/>
        <v>0</v>
      </c>
      <c r="P98" s="34">
        <f t="shared" si="37"/>
        <v>0</v>
      </c>
      <c r="Q98" s="68">
        <f t="shared" si="37"/>
        <v>0</v>
      </c>
      <c r="R98" s="32">
        <f t="shared" si="37"/>
        <v>0</v>
      </c>
      <c r="S98" s="87"/>
      <c r="T98" s="108">
        <f>++GETPIVOTDATA(" Tot # Undes. Old",'OLD Counts Pivot Table'!$A$3,"State","SC","Category",1,"Category2","Four-Year")</f>
        <v>210</v>
      </c>
      <c r="U98" s="109">
        <f>+GETPIVOTDATA(" Tot # Undes. Old",'OLD Counts Pivot Table'!$A$3,"State","SC","Category",2,"Category2","Four-Year")</f>
        <v>0</v>
      </c>
      <c r="V98" s="109">
        <f>+GETPIVOTDATA(" Tot # Undes. Old",'OLD Counts Pivot Table'!$A$3,"State","SC","Category",3,"Category2","Four-Year")</f>
        <v>0</v>
      </c>
      <c r="W98" s="109">
        <f>+GETPIVOTDATA(" Tot # Undes. Old",'OLD Counts Pivot Table'!$A$3,"State","SC","Category",4,"Category2","Four-Year")</f>
        <v>0</v>
      </c>
      <c r="X98" s="109">
        <f>+GETPIVOTDATA(" Tot # Undes. Old",'OLD Counts Pivot Table'!$A$3,"State","SC","Category",5,"Category2","Four-Year")</f>
        <v>57</v>
      </c>
      <c r="Y98" s="109">
        <f>+GETPIVOTDATA(" Tot # Undes. Old",'OLD Counts Pivot Table'!$A$3,"State","SC","Category",6,"Category2","Four-Year")</f>
        <v>4</v>
      </c>
      <c r="Z98" s="111">
        <f>+GETPIVOTDATA(" Tot # Undes. Old",'OLD Counts Pivot Table'!$A$3,"State","SC","Category2","Four-Year")</f>
        <v>271</v>
      </c>
      <c r="AA98" s="108">
        <f>+GETPIVOTDATA(" Tot # Undes. Old",'OLD Counts Pivot Table'!$A$3,"State","SC","Category",7,"Category2","Group2")</f>
        <v>0</v>
      </c>
      <c r="AB98" s="109">
        <f>+GETPIVOTDATA(" Tot # Undes. Old",'OLD Counts Pivot Table'!$A$3,"State","SC","Category",8,"Category2","Group2")</f>
        <v>845</v>
      </c>
      <c r="AC98" s="109">
        <f>+GETPIVOTDATA(" Tot # Undes. Old",'OLD Counts Pivot Table'!$A$3,"State","SC","Category",9,"Category2","Group2")</f>
        <v>927</v>
      </c>
      <c r="AD98" s="109">
        <f>+GETPIVOTDATA(" Tot # Undes. Old",'OLD Counts Pivot Table'!$A$3,"State","SC","Category",10,"Category2","Group2")</f>
        <v>130</v>
      </c>
      <c r="AE98" s="109">
        <f>+GETPIVOTDATA(" Tot # Undes. Old",'OLD Counts Pivot Table'!$A$3,"State","SC","Category","11","Category2","Group2")</f>
        <v>0</v>
      </c>
      <c r="AF98" s="111">
        <f>+GETPIVOTDATA(" Tot # Undes. Old",'OLD Counts Pivot Table'!$A$3,"State","SC","Category2","Group2")</f>
        <v>1902</v>
      </c>
      <c r="AG98" s="108">
        <f>+GETPIVOTDATA(" Tot # Undes. Old",'OLD Counts Pivot Table'!$A$3,"State","SC","Category",12,"Category2","Technical Institutes")</f>
        <v>0</v>
      </c>
      <c r="AH98" s="109">
        <f>+GETPIVOTDATA(" Tot # Undes. Old",'OLD Counts Pivot Table'!$A$3,"State","SC","Category",13,"Category2","Technical Institutes")</f>
        <v>0</v>
      </c>
      <c r="AI98" s="110">
        <f>+GETPIVOTDATA(" Tot # Undes. Old",'OLD Counts Pivot Table'!$A$3,"State","SC","Category",14,"Category2","Technical Institutes")</f>
        <v>0</v>
      </c>
      <c r="AJ98" s="108">
        <f>+GETPIVOTDATA(" Tot # Undes. Old",'OLD Counts Pivot Table'!$A$3,"State","AR","Category2","Technical Institutes")</f>
        <v>0</v>
      </c>
    </row>
    <row r="99" spans="1:38">
      <c r="A99" s="30"/>
      <c r="B99" s="38" t="s">
        <v>314</v>
      </c>
      <c r="C99" s="32">
        <f t="shared" si="36"/>
        <v>0</v>
      </c>
      <c r="D99" s="34">
        <f t="shared" si="36"/>
        <v>0</v>
      </c>
      <c r="E99" s="185">
        <f t="shared" si="36"/>
        <v>0</v>
      </c>
      <c r="F99" s="34">
        <f t="shared" si="36"/>
        <v>0</v>
      </c>
      <c r="G99" s="185">
        <f t="shared" si="36"/>
        <v>0</v>
      </c>
      <c r="H99" s="68">
        <f t="shared" si="36"/>
        <v>0</v>
      </c>
      <c r="I99" s="184">
        <f t="shared" si="36"/>
        <v>0</v>
      </c>
      <c r="J99" s="32">
        <f t="shared" si="36"/>
        <v>0</v>
      </c>
      <c r="K99" s="34">
        <f t="shared" si="36"/>
        <v>0</v>
      </c>
      <c r="L99" s="34">
        <f t="shared" si="36"/>
        <v>0</v>
      </c>
      <c r="M99" s="34">
        <f t="shared" si="38"/>
        <v>0</v>
      </c>
      <c r="N99" s="32">
        <f t="shared" si="37"/>
        <v>0</v>
      </c>
      <c r="O99" s="32">
        <f t="shared" si="37"/>
        <v>0</v>
      </c>
      <c r="P99" s="34">
        <f t="shared" si="37"/>
        <v>0</v>
      </c>
      <c r="Q99" s="68">
        <f t="shared" si="37"/>
        <v>0</v>
      </c>
      <c r="R99" s="32">
        <f t="shared" si="37"/>
        <v>0</v>
      </c>
      <c r="S99" s="87"/>
      <c r="T99" s="108">
        <f>+GETPIVOTDATA(" Tot # Single Rnk Old",'OLD Counts Pivot Table'!$A$3,"State","SC","Category",1,"Category2","Four-Year")</f>
        <v>0</v>
      </c>
      <c r="U99" s="109">
        <f>+GETPIVOTDATA(" Tot # Single Rnk Old",'OLD Counts Pivot Table'!$A$3,"State","SC","Category",2,"Category2","Four-Year")</f>
        <v>0</v>
      </c>
      <c r="V99" s="109">
        <f>+GETPIVOTDATA(" Tot # Single Rnk Old",'OLD Counts Pivot Table'!$A$3,"State","SC","Category",3,"Category2","Four-Year")</f>
        <v>0</v>
      </c>
      <c r="W99" s="109">
        <f>+GETPIVOTDATA(" Tot # Single Rnk Old",'OLD Counts Pivot Table'!$A$3,"State","SC","Category",4,"Category2","Four-Year")</f>
        <v>0</v>
      </c>
      <c r="X99" s="109">
        <f>+GETPIVOTDATA(" Tot # Single Rnk Old",'OLD Counts Pivot Table'!$A$3,"State","SC","Category",5,"Category2","Four-Year")</f>
        <v>0</v>
      </c>
      <c r="Y99" s="109">
        <f>+GETPIVOTDATA(" Tot # Single Rnk Old",'OLD Counts Pivot Table'!$A$3,"State","SC","Category",6,"Category2","Four-Year")</f>
        <v>0</v>
      </c>
      <c r="Z99" s="111">
        <f>+GETPIVOTDATA(" Tot # Single Rnk Old",'OLD Counts Pivot Table'!$A$3,"State","SC","Category2","Four-Year")</f>
        <v>0</v>
      </c>
      <c r="AA99" s="108">
        <f>+GETPIVOTDATA(" Tot # Single Rnk Old",'OLD Counts Pivot Table'!$A$3,"State","SC","Category",7,"Category2","Group2")</f>
        <v>0</v>
      </c>
      <c r="AB99" s="109">
        <f>+GETPIVOTDATA(" Tot # Single Rnk Old",'OLD Counts Pivot Table'!$A$3,"State","SC","Category",8,"Category2","Group2")</f>
        <v>0</v>
      </c>
      <c r="AC99" s="109">
        <f>+GETPIVOTDATA(" Tot # Single Rnk Old",'OLD Counts Pivot Table'!$A$3,"State","SC","Category",9,"Category2","Group2")</f>
        <v>0</v>
      </c>
      <c r="AD99" s="109">
        <f>+GETPIVOTDATA(" Tot # Single Rnk Old",'OLD Counts Pivot Table'!$A$3,"State","SC","Category",10,"Category2","Group2")</f>
        <v>0</v>
      </c>
      <c r="AE99" s="109">
        <f>+GETPIVOTDATA(" Tot # Single Rnk Old",'OLD Counts Pivot Table'!$A$3,"State","SC","Category","11","Category2","Group2")</f>
        <v>0</v>
      </c>
      <c r="AF99" s="111">
        <f>+GETPIVOTDATA(" Tot # Single Rnk Old",'OLD Counts Pivot Table'!$A$3,"State","SC","Category2","Group2")</f>
        <v>0</v>
      </c>
      <c r="AG99" s="108">
        <f>+GETPIVOTDATA(" Tot # Single Rnk Old",'OLD Counts Pivot Table'!$A$3,"State","SC","Category",12,"Category2","Technical Institutes")</f>
        <v>0</v>
      </c>
      <c r="AH99" s="109">
        <f>+GETPIVOTDATA(" Tot # Single Rnk Old",'OLD Counts Pivot Table'!$A$3,"State","SC","Category",13,"Category2","Technical Institutes")</f>
        <v>0</v>
      </c>
      <c r="AI99" s="110">
        <f>+GETPIVOTDATA(" Tot # Single Rnk Old",'OLD Counts Pivot Table'!$A$3,"State","SC","Category",14,"Category2","Technical Institutes")</f>
        <v>0</v>
      </c>
      <c r="AJ99" s="108">
        <f>+GETPIVOTDATA(" Tot # Single Rnk Old",'OLD Counts Pivot Table'!$A$3,"State","AR","Category2","Technical Institutes")</f>
        <v>0</v>
      </c>
    </row>
    <row r="100" spans="1:38" s="54" customFormat="1">
      <c r="A100" s="191"/>
      <c r="B100" s="192" t="s">
        <v>316</v>
      </c>
      <c r="C100" s="33">
        <f t="shared" si="36"/>
        <v>1</v>
      </c>
      <c r="D100" s="31">
        <f t="shared" si="36"/>
        <v>0</v>
      </c>
      <c r="E100" s="31">
        <f t="shared" si="36"/>
        <v>1</v>
      </c>
      <c r="F100" s="31">
        <f t="shared" si="36"/>
        <v>1</v>
      </c>
      <c r="G100" s="31">
        <f t="shared" si="36"/>
        <v>1</v>
      </c>
      <c r="H100" s="69">
        <f t="shared" si="36"/>
        <v>1</v>
      </c>
      <c r="I100" s="33">
        <f t="shared" si="36"/>
        <v>1</v>
      </c>
      <c r="J100" s="33">
        <f t="shared" si="36"/>
        <v>1</v>
      </c>
      <c r="K100" s="31">
        <f t="shared" si="36"/>
        <v>1</v>
      </c>
      <c r="L100" s="31">
        <f t="shared" si="36"/>
        <v>1</v>
      </c>
      <c r="M100" s="31">
        <f t="shared" si="38"/>
        <v>1</v>
      </c>
      <c r="N100" s="33">
        <f t="shared" si="37"/>
        <v>1</v>
      </c>
      <c r="O100" s="33">
        <f t="shared" si="37"/>
        <v>0</v>
      </c>
      <c r="P100" s="31">
        <f t="shared" si="37"/>
        <v>0</v>
      </c>
      <c r="Q100" s="69">
        <f t="shared" si="37"/>
        <v>0</v>
      </c>
      <c r="R100" s="33">
        <f t="shared" si="37"/>
        <v>0</v>
      </c>
      <c r="S100" s="88"/>
      <c r="T100" s="112">
        <f>+GETPIVOTDATA(" All Ranks # Old",'OLD Counts Pivot Table'!$A$3,"State","SC","Category",1,"Category2","Four-Year")</f>
        <v>2204</v>
      </c>
      <c r="U100" s="113">
        <f>+GETPIVOTDATA(" All Ranks # Old",'OLD Counts Pivot Table'!$A$3,"State","SC","Category",2,"Category2","Four-Year")</f>
        <v>0</v>
      </c>
      <c r="V100" s="113">
        <f>+GETPIVOTDATA(" All Ranks # Old",'OLD Counts Pivot Table'!$A$3,"State","SC","Category",3,"Category2","Four-Year")</f>
        <v>783</v>
      </c>
      <c r="W100" s="113">
        <f>+GETPIVOTDATA(" All Ranks # Old",'OLD Counts Pivot Table'!$A$3,"State","SC","Category",4,"Category2","Four-Year")</f>
        <v>172</v>
      </c>
      <c r="X100" s="113">
        <f>+GETPIVOTDATA(" All Ranks # Old",'OLD Counts Pivot Table'!$A$3,"State","SC","Category",5,"Category2","Four-Year")</f>
        <v>743</v>
      </c>
      <c r="Y100" s="113">
        <f>+GETPIVOTDATA(" All Ranks # Old",'OLD Counts Pivot Table'!$A$3,"State","SC","Category",6,"Category2","Four-Year")</f>
        <v>471</v>
      </c>
      <c r="Z100" s="115">
        <f>+GETPIVOTDATA(" All Ranks # Old",'OLD Counts Pivot Table'!$A$3,"State","SC","Category2","Four-Year")</f>
        <v>4373</v>
      </c>
      <c r="AA100" s="112">
        <f>+GETPIVOTDATA(" All Ranks # Old",'OLD Counts Pivot Table'!$A$3,"State","SC","Category",7,"Category2","Group2")</f>
        <v>57</v>
      </c>
      <c r="AB100" s="113">
        <f>+GETPIVOTDATA(" All Ranks # Old",'OLD Counts Pivot Table'!$A$3,"State","SC","Category",8,"Category2","Group2")</f>
        <v>845</v>
      </c>
      <c r="AC100" s="113">
        <f>+GETPIVOTDATA(" All Ranks # Old",'OLD Counts Pivot Table'!$A$3,"State","SC","Category",9,"Category2","Group2")</f>
        <v>927</v>
      </c>
      <c r="AD100" s="113">
        <f>+GETPIVOTDATA(" All Ranks # Old",'OLD Counts Pivot Table'!$A$3,"State","SC","Category",10,"Category2","Group2")</f>
        <v>250</v>
      </c>
      <c r="AE100" s="113">
        <f>+GETPIVOTDATA(" All Ranks # Old",'OLD Counts Pivot Table'!$A$3,"State","SC","Category","11","Category2","Group2")</f>
        <v>0</v>
      </c>
      <c r="AF100" s="115">
        <f>+GETPIVOTDATA(" All Ranks # Old",'OLD Counts Pivot Table'!$A$3,"State","SC","Category2","Group2")</f>
        <v>2079</v>
      </c>
      <c r="AG100" s="112">
        <f>+GETPIVOTDATA(" All Ranks # Old",'OLD Counts Pivot Table'!$A$3,"State","SC","Category",12,"Category2","Technical Institutes")</f>
        <v>0</v>
      </c>
      <c r="AH100" s="113">
        <f>+GETPIVOTDATA(" All Ranks # Old",'OLD Counts Pivot Table'!$A$3,"State","SC","Category",13,"Category2","Technical Institutes")</f>
        <v>0</v>
      </c>
      <c r="AI100" s="114">
        <f>+GETPIVOTDATA(" All Ranks # Old",'OLD Counts Pivot Table'!$A$3,"State","SC","Category",14,"Category2","Technical Institutes")</f>
        <v>0</v>
      </c>
      <c r="AJ100" s="112">
        <f>+GETPIVOTDATA(" All Ranks # Old",'OLD Counts Pivot Table'!$A$3,"State","AR","Category2","Technical Institutes")</f>
        <v>0</v>
      </c>
      <c r="AK100" s="116"/>
      <c r="AL100" s="116"/>
    </row>
    <row r="101" spans="1:38">
      <c r="A101" s="38" t="s">
        <v>310</v>
      </c>
      <c r="B101" s="35" t="s">
        <v>332</v>
      </c>
      <c r="C101" s="36">
        <f t="shared" ref="C101:M107" si="39">IF(T$107&gt;0,(T101/T$107),0)</f>
        <v>0.32707551105548605</v>
      </c>
      <c r="D101" s="37">
        <f t="shared" si="39"/>
        <v>0</v>
      </c>
      <c r="E101" s="37">
        <f t="shared" si="39"/>
        <v>0.32342778161713892</v>
      </c>
      <c r="F101" s="37">
        <f t="shared" si="39"/>
        <v>0</v>
      </c>
      <c r="G101" s="37">
        <f t="shared" si="39"/>
        <v>0.27372262773722628</v>
      </c>
      <c r="H101" s="67">
        <f t="shared" si="39"/>
        <v>0</v>
      </c>
      <c r="I101" s="36">
        <f t="shared" si="39"/>
        <v>0.3225516621743037</v>
      </c>
      <c r="J101" s="36">
        <f t="shared" si="39"/>
        <v>0</v>
      </c>
      <c r="K101" s="37">
        <f t="shared" si="39"/>
        <v>0.14015748031496064</v>
      </c>
      <c r="L101" s="37">
        <f t="shared" si="39"/>
        <v>0.10689990281827016</v>
      </c>
      <c r="M101" s="37">
        <f t="shared" si="39"/>
        <v>0.18518518518518517</v>
      </c>
      <c r="N101" s="36">
        <f t="shared" ref="N101:R107" si="40">IF(AF$107&gt;0,(AF101/AF$107),0)</f>
        <v>0.12165308498253784</v>
      </c>
      <c r="O101" s="152">
        <f t="shared" si="40"/>
        <v>0</v>
      </c>
      <c r="P101" s="37">
        <f t="shared" si="40"/>
        <v>0</v>
      </c>
      <c r="Q101" s="67">
        <f t="shared" si="40"/>
        <v>0</v>
      </c>
      <c r="R101" s="152">
        <f t="shared" si="40"/>
        <v>0</v>
      </c>
      <c r="S101" s="117"/>
      <c r="T101" s="104">
        <f>+GETPIVOTDATA(" Total # Prof Old",'OLD Counts Pivot Table'!$A$3,"State","TN","Category",1,"Category2","Four-Year")</f>
        <v>784</v>
      </c>
      <c r="U101" s="105">
        <f>+GETPIVOTDATA(" Total # Prof Old",'OLD Counts Pivot Table'!$A$3,"State","TN","Category",2,"Category2","Four-Year")</f>
        <v>0</v>
      </c>
      <c r="V101" s="105">
        <f>+GETPIVOTDATA(" Total # Prof Old",'OLD Counts Pivot Table'!$A$3,"State","TN","Category",3,"Category2","Four-Year")</f>
        <v>936</v>
      </c>
      <c r="W101" s="105">
        <f>+GETPIVOTDATA(" Total # Prof Old",'OLD Counts Pivot Table'!$A$3,"State","TN","Category",4,"Category2","Four-Year")</f>
        <v>0</v>
      </c>
      <c r="X101" s="105">
        <f>+GETPIVOTDATA(" Total # Prof Old",'OLD Counts Pivot Table'!$A$3,"State","TN","Category",5,"Category2","Four-Year")</f>
        <v>75</v>
      </c>
      <c r="Y101" s="105">
        <f>+GETPIVOTDATA(" Total # Prof Old",'OLD Counts Pivot Table'!$A$3,"State","TN","Category",6,"Category2","Four-Year")</f>
        <v>0</v>
      </c>
      <c r="Z101" s="107">
        <f>+GETPIVOTDATA(" Total # Prof Old",'OLD Counts Pivot Table'!$A$3,"State","TN","Category2","Four-Year")</f>
        <v>1795</v>
      </c>
      <c r="AA101" s="104">
        <f>+GETPIVOTDATA(" Total # Prof Old",'OLD Counts Pivot Table'!$A$3,"State","TN","Category",7,"Category2","Group2")</f>
        <v>0</v>
      </c>
      <c r="AB101" s="105">
        <f>+GETPIVOTDATA(" Total # Prof Old",'OLD Counts Pivot Table'!$A$3,"State","TN","Category",8,"Category2","Group2")</f>
        <v>89</v>
      </c>
      <c r="AC101" s="105">
        <f>+GETPIVOTDATA(" Total # Prof Old",'OLD Counts Pivot Table'!$A$3,"State","TN","Category",9,"Category2","Group2")</f>
        <v>110</v>
      </c>
      <c r="AD101" s="105">
        <f>+GETPIVOTDATA(" Total # Prof Old",'OLD Counts Pivot Table'!$A$3,"State","TN","Category",10,"Category2","Group2")</f>
        <v>10</v>
      </c>
      <c r="AE101" s="105">
        <f>+GETPIVOTDATA(" Total # Prof Old",'OLD Counts Pivot Table'!$A$3,"State","TN","Category","11","Category2","Group2")</f>
        <v>0</v>
      </c>
      <c r="AF101" s="107">
        <f>+GETPIVOTDATA(" Total # Prof Old",'OLD Counts Pivot Table'!$A$3,"State","TN","Category2","Group2")</f>
        <v>209</v>
      </c>
      <c r="AG101" s="104">
        <f>+GETPIVOTDATA(" Total # Prof Old",'OLD Counts Pivot Table'!$A$3,"State","TN","Category",12,"Category2","Technical Institutes")</f>
        <v>0</v>
      </c>
      <c r="AH101" s="105">
        <f>+GETPIVOTDATA(" Total # Prof Old",'OLD Counts Pivot Table'!$A$3,"State","TN","Category",13,"Category2","Technical Institutes")</f>
        <v>0</v>
      </c>
      <c r="AI101" s="106">
        <f>+GETPIVOTDATA(" Total # Prof Old",'OLD Counts Pivot Table'!$A$3,"State","TN","Category",14,"Category2","Technical Institutes")</f>
        <v>0</v>
      </c>
      <c r="AJ101" s="104">
        <f>+GETPIVOTDATA(" Total # Prof Old",'OLD Counts Pivot Table'!$A$3,"State","AR","Category2","Technical Institutes")</f>
        <v>0</v>
      </c>
    </row>
    <row r="102" spans="1:38">
      <c r="A102" s="30"/>
      <c r="B102" s="38" t="s">
        <v>333</v>
      </c>
      <c r="C102" s="32">
        <f t="shared" si="39"/>
        <v>0.27117229870671672</v>
      </c>
      <c r="D102" s="34">
        <f t="shared" si="39"/>
        <v>0</v>
      </c>
      <c r="E102" s="34">
        <f t="shared" si="39"/>
        <v>0.25362819626814098</v>
      </c>
      <c r="F102" s="34">
        <f t="shared" si="39"/>
        <v>0</v>
      </c>
      <c r="G102" s="34">
        <f t="shared" si="39"/>
        <v>0.16423357664233576</v>
      </c>
      <c r="H102" s="68">
        <f t="shared" si="39"/>
        <v>0</v>
      </c>
      <c r="I102" s="32">
        <f t="shared" si="39"/>
        <v>0.25678346810422281</v>
      </c>
      <c r="J102" s="32">
        <f t="shared" si="39"/>
        <v>0</v>
      </c>
      <c r="K102" s="34">
        <f t="shared" si="39"/>
        <v>0.47559055118110238</v>
      </c>
      <c r="L102" s="34">
        <f t="shared" si="39"/>
        <v>0.41982507288629739</v>
      </c>
      <c r="M102" s="34">
        <f t="shared" ref="M102:M107" si="41">IF(AD$107&gt;0,(AD102/AD$107),0)</f>
        <v>0.3888888888888889</v>
      </c>
      <c r="N102" s="32">
        <f t="shared" si="40"/>
        <v>0.43946449359720607</v>
      </c>
      <c r="O102" s="32">
        <f t="shared" si="40"/>
        <v>0</v>
      </c>
      <c r="P102" s="34">
        <f t="shared" si="40"/>
        <v>0</v>
      </c>
      <c r="Q102" s="68">
        <f t="shared" si="40"/>
        <v>0</v>
      </c>
      <c r="R102" s="32">
        <f t="shared" si="40"/>
        <v>0</v>
      </c>
      <c r="S102" s="87"/>
      <c r="T102" s="108">
        <f>+GETPIVOTDATA(" Tot # Asc. Prof Old",'OLD Counts Pivot Table'!$A$3,"State","TN","Category",1,"Category2","Four-Year")</f>
        <v>650</v>
      </c>
      <c r="U102" s="109">
        <f>+GETPIVOTDATA(" Tot # Asc. Prof Old",'OLD Counts Pivot Table'!$A$3,"State","TN","Category",2,"Category2","Four-Year")</f>
        <v>0</v>
      </c>
      <c r="V102" s="109">
        <f>+GETPIVOTDATA(" Tot # Asc. Prof Old",'OLD Counts Pivot Table'!$A$3,"State","TN","Category",3,"Category2","Four-Year")</f>
        <v>734</v>
      </c>
      <c r="W102" s="109">
        <f>+GETPIVOTDATA(" Tot # Asc. Prof Old",'OLD Counts Pivot Table'!$A$3,"State","TN","Category",4,"Category2","Four-Year")</f>
        <v>0</v>
      </c>
      <c r="X102" s="109">
        <f>+GETPIVOTDATA(" Tot # Asc. Prof Old",'OLD Counts Pivot Table'!$A$3,"State","TN","Category",5,"Category2","Four-Year")</f>
        <v>45</v>
      </c>
      <c r="Y102" s="109">
        <f>+GETPIVOTDATA(" Tot # Asc. Prof Old",'OLD Counts Pivot Table'!$A$3,"State","TN","Category",6,"Category2","Four-Year")</f>
        <v>0</v>
      </c>
      <c r="Z102" s="111">
        <f>+GETPIVOTDATA(" Tot # Asc. Prof Old",'OLD Counts Pivot Table'!$A$3,"State","TN","Category2","Four-Year")</f>
        <v>1429</v>
      </c>
      <c r="AA102" s="108">
        <f>+GETPIVOTDATA(" Tot # Asc. Prof Old",'OLD Counts Pivot Table'!$A$3,"State","TN","Category",7,"Category2","Group2")</f>
        <v>0</v>
      </c>
      <c r="AB102" s="109">
        <f>+GETPIVOTDATA(" Tot # Asc. Prof Old",'OLD Counts Pivot Table'!$A$3,"State","TN","Category",8,"Category2","Group2")</f>
        <v>302</v>
      </c>
      <c r="AC102" s="109">
        <f>+GETPIVOTDATA(" Tot # Asc. Prof Old",'OLD Counts Pivot Table'!$A$3,"State","TN","Category",9,"Category2","Group2")</f>
        <v>432</v>
      </c>
      <c r="AD102" s="109">
        <f>+GETPIVOTDATA(" Tot # Asc. Prof Old",'OLD Counts Pivot Table'!$A$3,"State","TN","Category",10,"Category2","Group2")</f>
        <v>21</v>
      </c>
      <c r="AE102" s="109">
        <f>+GETPIVOTDATA(" Tot # Asc. Prof Old",'OLD Counts Pivot Table'!$A$3,"State","TN","Category","11","Category2","Group2")</f>
        <v>0</v>
      </c>
      <c r="AF102" s="111">
        <f>+GETPIVOTDATA(" Tot # Asc. Prof Old",'OLD Counts Pivot Table'!$A$3,"State","TN","Category2","Group2")</f>
        <v>755</v>
      </c>
      <c r="AG102" s="108">
        <f>+GETPIVOTDATA(" Tot # Asc. Prof Old",'OLD Counts Pivot Table'!$A$3,"State","TN","Category",12,"Category2","Technical Institutes")</f>
        <v>0</v>
      </c>
      <c r="AH102" s="109">
        <f>+GETPIVOTDATA(" Tot # Asc. Prof Old",'OLD Counts Pivot Table'!$A$3,"State","TN","Category",13,"Category2","Technical Institutes")</f>
        <v>0</v>
      </c>
      <c r="AI102" s="110">
        <f>+GETPIVOTDATA(" Tot # Asc. Prof Old",'OLD Counts Pivot Table'!$A$3,"State","TN","Category",14,"Category2","Technical Institutes")</f>
        <v>0</v>
      </c>
      <c r="AJ102" s="108">
        <f>+GETPIVOTDATA(" Tot # Asc. Prof Old",'OLD Counts Pivot Table'!$A$3,"State","AR","Category2","Technical Institutes")</f>
        <v>0</v>
      </c>
    </row>
    <row r="103" spans="1:38">
      <c r="A103" s="30"/>
      <c r="B103" s="38" t="s">
        <v>334</v>
      </c>
      <c r="C103" s="32">
        <f t="shared" si="39"/>
        <v>0.24030037546933666</v>
      </c>
      <c r="D103" s="34">
        <f t="shared" si="39"/>
        <v>0</v>
      </c>
      <c r="E103" s="34">
        <f t="shared" si="39"/>
        <v>0.29336558396682794</v>
      </c>
      <c r="F103" s="34">
        <f t="shared" si="39"/>
        <v>0</v>
      </c>
      <c r="G103" s="34">
        <f t="shared" si="39"/>
        <v>0.31386861313868614</v>
      </c>
      <c r="H103" s="68">
        <f t="shared" si="39"/>
        <v>0</v>
      </c>
      <c r="I103" s="32">
        <f t="shared" si="39"/>
        <v>0.27151841868823001</v>
      </c>
      <c r="J103" s="32">
        <f t="shared" si="39"/>
        <v>0</v>
      </c>
      <c r="K103" s="34">
        <f t="shared" si="39"/>
        <v>0.18740157480314962</v>
      </c>
      <c r="L103" s="34">
        <f t="shared" si="39"/>
        <v>0.22740524781341107</v>
      </c>
      <c r="M103" s="34">
        <f t="shared" si="41"/>
        <v>0.12962962962962962</v>
      </c>
      <c r="N103" s="32">
        <f t="shared" si="40"/>
        <v>0.20954598370197905</v>
      </c>
      <c r="O103" s="32">
        <f t="shared" si="40"/>
        <v>0</v>
      </c>
      <c r="P103" s="34">
        <f t="shared" si="40"/>
        <v>0</v>
      </c>
      <c r="Q103" s="68">
        <f t="shared" si="40"/>
        <v>0</v>
      </c>
      <c r="R103" s="32">
        <f t="shared" si="40"/>
        <v>0</v>
      </c>
      <c r="S103" s="87"/>
      <c r="T103" s="108">
        <f>+GETPIVOTDATA(" Tot # Ast. Prof Old",'OLD Counts Pivot Table'!$A$3,"State","TN","Category",1,"Category2","Four-Year")</f>
        <v>576</v>
      </c>
      <c r="U103" s="109">
        <f>+GETPIVOTDATA(" Tot # Ast. Prof Old",'OLD Counts Pivot Table'!$A$3,"State","TN","Category",2,"Category2","Four-Year")</f>
        <v>0</v>
      </c>
      <c r="V103" s="109">
        <f>+GETPIVOTDATA(" Tot # Ast. Prof Old",'OLD Counts Pivot Table'!$A$3,"State","TN","Category",3,"Category2","Four-Year")</f>
        <v>849</v>
      </c>
      <c r="W103" s="109">
        <f>+GETPIVOTDATA(" Tot # Ast. Prof Old",'OLD Counts Pivot Table'!$A$3,"State","TN","Category",4,"Category2","Four-Year")</f>
        <v>0</v>
      </c>
      <c r="X103" s="109">
        <f>+GETPIVOTDATA(" Tot # Ast. Prof Old",'OLD Counts Pivot Table'!$A$3,"State","TN","Category",5,"Category2","Four-Year")</f>
        <v>86</v>
      </c>
      <c r="Y103" s="109">
        <f>+GETPIVOTDATA(" Tot # Ast. Prof Old",'OLD Counts Pivot Table'!$A$3,"State","TN","Category",6,"Category2","Four-Year")</f>
        <v>0</v>
      </c>
      <c r="Z103" s="111">
        <f>+GETPIVOTDATA(" Tot # Ast. Prof Old",'OLD Counts Pivot Table'!$A$3,"State","TN","Category2","Four-Year")</f>
        <v>1511</v>
      </c>
      <c r="AA103" s="108">
        <f>+GETPIVOTDATA(" Tot # Ast. Prof Old",'OLD Counts Pivot Table'!$A$3,"State","TN","Category",7,"Category2","Group2")</f>
        <v>0</v>
      </c>
      <c r="AB103" s="109">
        <f>+GETPIVOTDATA(" Tot # Ast. Prof Old",'OLD Counts Pivot Table'!$A$3,"State","TN","Category",8,"Category2","Group2")</f>
        <v>119</v>
      </c>
      <c r="AC103" s="109">
        <f>+GETPIVOTDATA(" Tot # Ast. Prof Old",'OLD Counts Pivot Table'!$A$3,"State","TN","Category",9,"Category2","Group2")</f>
        <v>234</v>
      </c>
      <c r="AD103" s="109">
        <f>+GETPIVOTDATA(" Tot # Ast. Prof Old",'OLD Counts Pivot Table'!$A$3,"State","TN","Category",10,"Category2","Group2")</f>
        <v>7</v>
      </c>
      <c r="AE103" s="109">
        <f>+GETPIVOTDATA(" Tot # Ast. Prof Old",'OLD Counts Pivot Table'!$A$3,"State","TN","Category","11","Category2","Group2")</f>
        <v>0</v>
      </c>
      <c r="AF103" s="111">
        <f>+GETPIVOTDATA(" Tot # Ast. Prof Old",'OLD Counts Pivot Table'!$A$3,"State","TN","Category2","Group2")</f>
        <v>360</v>
      </c>
      <c r="AG103" s="108">
        <f>+GETPIVOTDATA(" Tot # Ast. Prof Old",'OLD Counts Pivot Table'!$A$3,"State","TN","Category",12,"Category2","Technical Institutes")</f>
        <v>0</v>
      </c>
      <c r="AH103" s="109">
        <f>+GETPIVOTDATA(" Tot # Ast. Prof Old",'OLD Counts Pivot Table'!$A$3,"State","TN","Category",13,"Category2","Technical Institutes")</f>
        <v>0</v>
      </c>
      <c r="AI103" s="110">
        <f>+GETPIVOTDATA(" Tot # Ast. Prof Old",'OLD Counts Pivot Table'!$A$3,"State","TN","Category",14,"Category2","Technical Institutes")</f>
        <v>0</v>
      </c>
      <c r="AJ103" s="108">
        <f>+GETPIVOTDATA(" Tot # Ast. Prof Old",'OLD Counts Pivot Table'!$A$3,"State","AR","Category2","Technical Institutes")</f>
        <v>0</v>
      </c>
    </row>
    <row r="104" spans="1:38">
      <c r="A104" s="30"/>
      <c r="B104" s="38" t="s">
        <v>335</v>
      </c>
      <c r="C104" s="32">
        <f t="shared" si="39"/>
        <v>6.0075093867334166E-2</v>
      </c>
      <c r="D104" s="34">
        <f t="shared" si="39"/>
        <v>0</v>
      </c>
      <c r="E104" s="34">
        <f t="shared" si="39"/>
        <v>8.5003455425017277E-2</v>
      </c>
      <c r="F104" s="34">
        <f t="shared" si="39"/>
        <v>0</v>
      </c>
      <c r="G104" s="34">
        <f t="shared" si="39"/>
        <v>7.2992700729927001E-2</v>
      </c>
      <c r="H104" s="68">
        <f t="shared" si="39"/>
        <v>0</v>
      </c>
      <c r="I104" s="32">
        <f t="shared" si="39"/>
        <v>7.3674752920035932E-2</v>
      </c>
      <c r="J104" s="32">
        <f t="shared" si="39"/>
        <v>0</v>
      </c>
      <c r="K104" s="34">
        <f t="shared" si="39"/>
        <v>0.19685039370078741</v>
      </c>
      <c r="L104" s="34">
        <f t="shared" si="39"/>
        <v>0.24198250728862974</v>
      </c>
      <c r="M104" s="34">
        <f t="shared" si="41"/>
        <v>0.29629629629629628</v>
      </c>
      <c r="N104" s="32">
        <f t="shared" si="40"/>
        <v>0.22700814901047731</v>
      </c>
      <c r="O104" s="32">
        <f t="shared" si="40"/>
        <v>0</v>
      </c>
      <c r="P104" s="34">
        <f t="shared" si="40"/>
        <v>0</v>
      </c>
      <c r="Q104" s="68">
        <f t="shared" si="40"/>
        <v>0</v>
      </c>
      <c r="R104" s="32">
        <f t="shared" si="40"/>
        <v>0</v>
      </c>
      <c r="S104" s="87"/>
      <c r="T104" s="108">
        <f>+GETPIVOTDATA(" Tot # Instr. Old",'OLD Counts Pivot Table'!$A$3,"State","TN","Category",1,"Category2","Four-Year")</f>
        <v>144</v>
      </c>
      <c r="U104" s="109">
        <f>+GETPIVOTDATA(" Tot # Instr. Old",'OLD Counts Pivot Table'!$A$3,"State","TN","Category",2,"Category2","Four-Year")</f>
        <v>0</v>
      </c>
      <c r="V104" s="109">
        <f>+GETPIVOTDATA(" Tot # Instr. Old",'OLD Counts Pivot Table'!$A$3,"State","TN","Category",3,"Category2","Four-Year")</f>
        <v>246</v>
      </c>
      <c r="W104" s="109">
        <f>+GETPIVOTDATA(" Tot # Instr. Old",'OLD Counts Pivot Table'!$A$3,"State","TN","Category",4,"Category2","Four-Year")</f>
        <v>0</v>
      </c>
      <c r="X104" s="109">
        <f>+GETPIVOTDATA(" Tot # Instr. Old",'OLD Counts Pivot Table'!$A$3,"State","TN","Category",5,"Category2","Four-Year")</f>
        <v>20</v>
      </c>
      <c r="Y104" s="109">
        <f>+GETPIVOTDATA(" Tot # Instr. Old",'OLD Counts Pivot Table'!$A$3,"State","TN","Category",6,"Category2","Four-Year")</f>
        <v>0</v>
      </c>
      <c r="Z104" s="111">
        <f>+GETPIVOTDATA(" Tot # Instr. Old",'OLD Counts Pivot Table'!$A$3,"State","TN","Category2","Four-Year")</f>
        <v>410</v>
      </c>
      <c r="AA104" s="108">
        <f>+GETPIVOTDATA(" Tot # Instr. Old",'OLD Counts Pivot Table'!$A$3,"State","TN","Category",7,"Category2","Group2")</f>
        <v>0</v>
      </c>
      <c r="AB104" s="109">
        <f>+GETPIVOTDATA(" Tot # Instr. Old",'OLD Counts Pivot Table'!$A$3,"State","TN","Category",8,"Category2","Group2")</f>
        <v>125</v>
      </c>
      <c r="AC104" s="109">
        <f>+GETPIVOTDATA(" Tot # Instr. Old",'OLD Counts Pivot Table'!$A$3,"State","TN","Category",9,"Category2","Group2")</f>
        <v>249</v>
      </c>
      <c r="AD104" s="109">
        <f>+GETPIVOTDATA(" Tot # Instr. Old",'OLD Counts Pivot Table'!$A$3,"State","TN","Category",10,"Category2","Group2")</f>
        <v>16</v>
      </c>
      <c r="AE104" s="109">
        <f>+GETPIVOTDATA(" Tot # Instr. Old",'OLD Counts Pivot Table'!$A$3,"State","TN","Category","11","Category2","Group2")</f>
        <v>0</v>
      </c>
      <c r="AF104" s="111">
        <f>+GETPIVOTDATA(" Tot # Instr. Old",'OLD Counts Pivot Table'!$A$3,"State","TN","Category2","Group2")</f>
        <v>390</v>
      </c>
      <c r="AG104" s="108">
        <f>+GETPIVOTDATA(" Tot # Instr. Old",'OLD Counts Pivot Table'!$A$3,"State","TN","Category",12,"Category2","Technical Institutes")</f>
        <v>0</v>
      </c>
      <c r="AH104" s="109">
        <f>+GETPIVOTDATA(" Tot # Instr. Old",'OLD Counts Pivot Table'!$A$3,"State","TN","Category",13,"Category2","Technical Institutes")</f>
        <v>0</v>
      </c>
      <c r="AI104" s="110">
        <f>+GETPIVOTDATA(" Tot # Instr. Old",'OLD Counts Pivot Table'!$A$3,"State","TN","Category",14,"Category2","Technical Institutes")</f>
        <v>0</v>
      </c>
      <c r="AJ104" s="108">
        <f>+GETPIVOTDATA(" Tot # Instr. Old",'OLD Counts Pivot Table'!$A$3,"State","AR","Category2","Technical Institutes")</f>
        <v>0</v>
      </c>
    </row>
    <row r="105" spans="1:38">
      <c r="A105" s="30"/>
      <c r="B105" s="38" t="s">
        <v>315</v>
      </c>
      <c r="C105" s="32">
        <f t="shared" si="39"/>
        <v>0.10137672090112641</v>
      </c>
      <c r="D105" s="34">
        <f t="shared" si="39"/>
        <v>0</v>
      </c>
      <c r="E105" s="34">
        <f t="shared" si="39"/>
        <v>4.4574982722874912E-2</v>
      </c>
      <c r="F105" s="34">
        <f t="shared" si="39"/>
        <v>0</v>
      </c>
      <c r="G105" s="34">
        <f t="shared" si="39"/>
        <v>0.17518248175182483</v>
      </c>
      <c r="H105" s="68">
        <f t="shared" si="39"/>
        <v>0</v>
      </c>
      <c r="I105" s="32">
        <f t="shared" si="39"/>
        <v>7.5471698113207544E-2</v>
      </c>
      <c r="J105" s="32">
        <f t="shared" si="39"/>
        <v>0</v>
      </c>
      <c r="K105" s="236">
        <f t="shared" si="39"/>
        <v>0</v>
      </c>
      <c r="L105" s="34">
        <f t="shared" si="39"/>
        <v>3.8872691933916422E-3</v>
      </c>
      <c r="M105" s="34">
        <f t="shared" si="41"/>
        <v>0</v>
      </c>
      <c r="N105" s="237">
        <f t="shared" si="40"/>
        <v>2.3282887077997671E-3</v>
      </c>
      <c r="O105" s="32">
        <f t="shared" si="40"/>
        <v>0</v>
      </c>
      <c r="P105" s="34">
        <f t="shared" si="40"/>
        <v>0</v>
      </c>
      <c r="Q105" s="68">
        <f t="shared" si="40"/>
        <v>0</v>
      </c>
      <c r="R105" s="32">
        <f t="shared" si="40"/>
        <v>0</v>
      </c>
      <c r="S105" s="87"/>
      <c r="T105" s="108">
        <f>++GETPIVOTDATA(" Tot # Undes. Old",'OLD Counts Pivot Table'!$A$3,"State","TN","Category",1,"Category2","Four-Year")</f>
        <v>243</v>
      </c>
      <c r="U105" s="109">
        <f>+GETPIVOTDATA(" Tot # Undes. Old",'OLD Counts Pivot Table'!$A$3,"State","TN","Category",2,"Category2","Four-Year")</f>
        <v>0</v>
      </c>
      <c r="V105" s="109">
        <f>+GETPIVOTDATA(" Tot # Undes. Old",'OLD Counts Pivot Table'!$A$3,"State","TN","Category",3,"Category2","Four-Year")</f>
        <v>129</v>
      </c>
      <c r="W105" s="109">
        <f>+GETPIVOTDATA(" Tot # Undes. Old",'OLD Counts Pivot Table'!$A$3,"State","TN","Category",4,"Category2","Four-Year")</f>
        <v>0</v>
      </c>
      <c r="X105" s="109">
        <f>+GETPIVOTDATA(" Tot # Undes. Old",'OLD Counts Pivot Table'!$A$3,"State","TN","Category",5,"Category2","Four-Year")</f>
        <v>48</v>
      </c>
      <c r="Y105" s="109">
        <f>+GETPIVOTDATA(" Tot # Undes. Old",'OLD Counts Pivot Table'!$A$3,"State","TN","Category",6,"Category2","Four-Year")</f>
        <v>0</v>
      </c>
      <c r="Z105" s="111">
        <f>+GETPIVOTDATA(" Tot # Undes. Old",'OLD Counts Pivot Table'!$A$3,"State","TN","Category2","Four-Year")</f>
        <v>420</v>
      </c>
      <c r="AA105" s="108">
        <f>+GETPIVOTDATA(" Tot # Undes. Old",'OLD Counts Pivot Table'!$A$3,"State","TN","Category",7,"Category2","Group2")</f>
        <v>0</v>
      </c>
      <c r="AB105" s="109">
        <f>+GETPIVOTDATA(" Tot # Undes. Old",'OLD Counts Pivot Table'!$A$3,"State","TN","Category",8,"Category2","Group2")</f>
        <v>0</v>
      </c>
      <c r="AC105" s="109">
        <f>+GETPIVOTDATA(" Tot # Undes. Old",'OLD Counts Pivot Table'!$A$3,"State","TN","Category",9,"Category2","Group2")</f>
        <v>4</v>
      </c>
      <c r="AD105" s="109">
        <f>+GETPIVOTDATA(" Tot # Undes. Old",'OLD Counts Pivot Table'!$A$3,"State","TN","Category",10,"Category2","Group2")</f>
        <v>0</v>
      </c>
      <c r="AE105" s="109">
        <f>+GETPIVOTDATA(" Tot # Undes. Old",'OLD Counts Pivot Table'!$A$3,"State","TN","Category","11","Category2","Group2")</f>
        <v>0</v>
      </c>
      <c r="AF105" s="111">
        <f>+GETPIVOTDATA(" Tot # Undes. Old",'OLD Counts Pivot Table'!$A$3,"State","TN","Category2","Group2")</f>
        <v>4</v>
      </c>
      <c r="AG105" s="108">
        <f>+GETPIVOTDATA(" Tot # Undes. Old",'OLD Counts Pivot Table'!$A$3,"State","TN","Category",12,"Category2","Technical Institutes")</f>
        <v>0</v>
      </c>
      <c r="AH105" s="109">
        <f>+GETPIVOTDATA(" Tot # Undes. Old",'OLD Counts Pivot Table'!$A$3,"State","TN","Category",13,"Category2","Technical Institutes")</f>
        <v>0</v>
      </c>
      <c r="AI105" s="110">
        <f>+GETPIVOTDATA(" Tot # Undes. Old",'OLD Counts Pivot Table'!$A$3,"State","TN","Category",14,"Category2","Technical Institutes")</f>
        <v>0</v>
      </c>
      <c r="AJ105" s="108">
        <f>+GETPIVOTDATA(" Tot # Undes. Old",'OLD Counts Pivot Table'!$A$3,"State","AR","Category2","Technical Institutes")</f>
        <v>0</v>
      </c>
    </row>
    <row r="106" spans="1:38">
      <c r="A106" s="30"/>
      <c r="B106" s="38" t="s">
        <v>314</v>
      </c>
      <c r="C106" s="32">
        <f t="shared" si="39"/>
        <v>0</v>
      </c>
      <c r="D106" s="34">
        <f t="shared" si="39"/>
        <v>0</v>
      </c>
      <c r="E106" s="185">
        <f t="shared" si="39"/>
        <v>0</v>
      </c>
      <c r="F106" s="34">
        <f t="shared" si="39"/>
        <v>0</v>
      </c>
      <c r="G106" s="185">
        <f t="shared" si="39"/>
        <v>0</v>
      </c>
      <c r="H106" s="68">
        <f t="shared" si="39"/>
        <v>0</v>
      </c>
      <c r="I106" s="184">
        <f t="shared" si="39"/>
        <v>0</v>
      </c>
      <c r="J106" s="32">
        <f t="shared" si="39"/>
        <v>0</v>
      </c>
      <c r="K106" s="34">
        <f t="shared" si="39"/>
        <v>0</v>
      </c>
      <c r="L106" s="34">
        <f t="shared" si="39"/>
        <v>0</v>
      </c>
      <c r="M106" s="34">
        <f t="shared" si="41"/>
        <v>0</v>
      </c>
      <c r="N106" s="32">
        <f t="shared" si="40"/>
        <v>0</v>
      </c>
      <c r="O106" s="32">
        <f t="shared" si="40"/>
        <v>0</v>
      </c>
      <c r="P106" s="34">
        <f t="shared" si="40"/>
        <v>1</v>
      </c>
      <c r="Q106" s="68">
        <f t="shared" si="40"/>
        <v>0</v>
      </c>
      <c r="R106" s="32">
        <f t="shared" si="40"/>
        <v>0</v>
      </c>
      <c r="S106" s="87"/>
      <c r="T106" s="108">
        <f>+GETPIVOTDATA(" Tot # Single Rnk Old",'OLD Counts Pivot Table'!$A$3,"State","TN","Category",1,"Category2","Four-Year")</f>
        <v>0</v>
      </c>
      <c r="U106" s="109">
        <f>+GETPIVOTDATA(" Tot # Single Rnk Old",'OLD Counts Pivot Table'!$A$3,"State","TN","Category",2,"Category2","Four-Year")</f>
        <v>0</v>
      </c>
      <c r="V106" s="109">
        <f>+GETPIVOTDATA(" Tot # Single Rnk Old",'OLD Counts Pivot Table'!$A$3,"State","TN","Category",3,"Category2","Four-Year")</f>
        <v>0</v>
      </c>
      <c r="W106" s="109">
        <f>+GETPIVOTDATA(" Tot # Single Rnk Old",'OLD Counts Pivot Table'!$A$3,"State","TN","Category",4,"Category2","Four-Year")</f>
        <v>0</v>
      </c>
      <c r="X106" s="109">
        <f>+GETPIVOTDATA(" Tot # Single Rnk Old",'OLD Counts Pivot Table'!$A$3,"State","TN","Category",5,"Category2","Four-Year")</f>
        <v>0</v>
      </c>
      <c r="Y106" s="109">
        <f>+GETPIVOTDATA(" Tot # Single Rnk Old",'OLD Counts Pivot Table'!$A$3,"State","TN","Category",6,"Category2","Four-Year")</f>
        <v>0</v>
      </c>
      <c r="Z106" s="111">
        <f>+GETPIVOTDATA(" Tot # Single Rnk Old",'OLD Counts Pivot Table'!$A$3,"State","TN","Category2","Four-Year")</f>
        <v>0</v>
      </c>
      <c r="AA106" s="108">
        <f>+GETPIVOTDATA(" Tot # Single Rnk Old",'OLD Counts Pivot Table'!$A$3,"State","TN","Category",7,"Category2","Group2")</f>
        <v>0</v>
      </c>
      <c r="AB106" s="109">
        <f>+GETPIVOTDATA(" Tot # Single Rnk Old",'OLD Counts Pivot Table'!$A$3,"State","TN","Category",8,"Category2","Group2")</f>
        <v>0</v>
      </c>
      <c r="AC106" s="109">
        <f>+GETPIVOTDATA(" Tot # Single Rnk Old",'OLD Counts Pivot Table'!$A$3,"State","TN","Category",9,"Category2","Group2")</f>
        <v>0</v>
      </c>
      <c r="AD106" s="109">
        <f>+GETPIVOTDATA(" Tot # Single Rnk Old",'OLD Counts Pivot Table'!$A$3,"State","TN","Category",10,"Category2","Group2")</f>
        <v>0</v>
      </c>
      <c r="AE106" s="109">
        <f>+GETPIVOTDATA(" Tot # Single Rnk Old",'OLD Counts Pivot Table'!$A$3,"State","TN","Category","11","Category2","Group2")</f>
        <v>0</v>
      </c>
      <c r="AF106" s="111">
        <f>+GETPIVOTDATA(" Tot # Single Rnk Old",'OLD Counts Pivot Table'!$A$3,"State","TN","Category2","Group2")</f>
        <v>0</v>
      </c>
      <c r="AG106" s="108">
        <f>+GETPIVOTDATA(" Tot # Single Rnk Old",'OLD Counts Pivot Table'!$A$3,"State","TN","Category",12,"Category2","Technical Institutes")</f>
        <v>0</v>
      </c>
      <c r="AH106" s="109">
        <f>+GETPIVOTDATA(" Tot # Single Rnk Old",'OLD Counts Pivot Table'!$A$3,"State","TN","Category",13,"Category2","Technical Institutes")</f>
        <v>501</v>
      </c>
      <c r="AI106" s="110">
        <f>+GETPIVOTDATA(" Tot # Single Rnk Old",'OLD Counts Pivot Table'!$A$3,"State","TN","Category",14,"Category2","Technical Institutes")</f>
        <v>0</v>
      </c>
      <c r="AJ106" s="108">
        <f>+GETPIVOTDATA(" Tot # Single Rnk Old",'OLD Counts Pivot Table'!$A$3,"State","AR","Category2","Technical Institutes")</f>
        <v>0</v>
      </c>
    </row>
    <row r="107" spans="1:38" s="54" customFormat="1">
      <c r="A107" s="191"/>
      <c r="B107" s="192" t="s">
        <v>316</v>
      </c>
      <c r="C107" s="33">
        <f t="shared" si="39"/>
        <v>1</v>
      </c>
      <c r="D107" s="31">
        <f t="shared" si="39"/>
        <v>0</v>
      </c>
      <c r="E107" s="31">
        <f t="shared" si="39"/>
        <v>1</v>
      </c>
      <c r="F107" s="31">
        <f t="shared" si="39"/>
        <v>0</v>
      </c>
      <c r="G107" s="31">
        <f t="shared" si="39"/>
        <v>1</v>
      </c>
      <c r="H107" s="69">
        <f t="shared" si="39"/>
        <v>0</v>
      </c>
      <c r="I107" s="33">
        <f t="shared" si="39"/>
        <v>1</v>
      </c>
      <c r="J107" s="33">
        <f t="shared" si="39"/>
        <v>0</v>
      </c>
      <c r="K107" s="31">
        <f t="shared" si="39"/>
        <v>1</v>
      </c>
      <c r="L107" s="31">
        <f t="shared" si="39"/>
        <v>1</v>
      </c>
      <c r="M107" s="31">
        <f t="shared" si="41"/>
        <v>1</v>
      </c>
      <c r="N107" s="33">
        <f t="shared" si="40"/>
        <v>1</v>
      </c>
      <c r="O107" s="33">
        <f t="shared" si="40"/>
        <v>0</v>
      </c>
      <c r="P107" s="31">
        <f t="shared" si="40"/>
        <v>1</v>
      </c>
      <c r="Q107" s="69">
        <f t="shared" si="40"/>
        <v>0</v>
      </c>
      <c r="R107" s="33">
        <f t="shared" si="40"/>
        <v>0</v>
      </c>
      <c r="S107" s="88"/>
      <c r="T107" s="112">
        <f>+GETPIVOTDATA(" All Ranks # Old",'OLD Counts Pivot Table'!$A$3,"State","TN","Category",1,"Category2","Four-Year")</f>
        <v>2397</v>
      </c>
      <c r="U107" s="113">
        <f>+GETPIVOTDATA(" All Ranks # Old",'OLD Counts Pivot Table'!$A$3,"State","TN","Category",2,"Category2","Four-Year")</f>
        <v>0</v>
      </c>
      <c r="V107" s="113">
        <f>+GETPIVOTDATA(" All Ranks # Old",'OLD Counts Pivot Table'!$A$3,"State","TN","Category",3,"Category2","Four-Year")</f>
        <v>2894</v>
      </c>
      <c r="W107" s="113">
        <f>+GETPIVOTDATA(" All Ranks # Old",'OLD Counts Pivot Table'!$A$3,"State","TN","Category",4,"Category2","Four-Year")</f>
        <v>0</v>
      </c>
      <c r="X107" s="113">
        <f>+GETPIVOTDATA(" All Ranks # Old",'OLD Counts Pivot Table'!$A$3,"State","TN","Category",5,"Category2","Four-Year")</f>
        <v>274</v>
      </c>
      <c r="Y107" s="113">
        <f>+GETPIVOTDATA(" All Ranks # Old",'OLD Counts Pivot Table'!$A$3,"State","TN","Category",6,"Category2","Four-Year")</f>
        <v>0</v>
      </c>
      <c r="Z107" s="115">
        <f>+GETPIVOTDATA(" All Ranks # Old",'OLD Counts Pivot Table'!$A$3,"State","TN","Category2","Four-Year")</f>
        <v>5565</v>
      </c>
      <c r="AA107" s="112">
        <f>+GETPIVOTDATA(" All Ranks # Old",'OLD Counts Pivot Table'!$A$3,"State","TN","Category",7,"Category2","Group2")</f>
        <v>0</v>
      </c>
      <c r="AB107" s="113">
        <f>+GETPIVOTDATA(" All Ranks # Old",'OLD Counts Pivot Table'!$A$3,"State","TN","Category",8,"Category2","Group2")</f>
        <v>635</v>
      </c>
      <c r="AC107" s="113">
        <f>+GETPIVOTDATA(" All Ranks # Old",'OLD Counts Pivot Table'!$A$3,"State","TN","Category",9,"Category2","Group2")</f>
        <v>1029</v>
      </c>
      <c r="AD107" s="113">
        <f>+GETPIVOTDATA(" All Ranks # Old",'OLD Counts Pivot Table'!$A$3,"State","TN","Category",10,"Category2","Group2")</f>
        <v>54</v>
      </c>
      <c r="AE107" s="113">
        <f>+GETPIVOTDATA(" All Ranks # Old",'OLD Counts Pivot Table'!$A$3,"State","TN","Category","11","Category2","Group2")</f>
        <v>0</v>
      </c>
      <c r="AF107" s="115">
        <f>+GETPIVOTDATA(" All Ranks # Old",'OLD Counts Pivot Table'!$A$3,"State","TN","Category2","Group2")</f>
        <v>1718</v>
      </c>
      <c r="AG107" s="112">
        <f>+GETPIVOTDATA(" All Ranks # Old",'OLD Counts Pivot Table'!$A$3,"State","TN","Category",12,"Category2","Technical Institutes")</f>
        <v>0</v>
      </c>
      <c r="AH107" s="113">
        <f>+GETPIVOTDATA(" All Ranks # Old",'OLD Counts Pivot Table'!$A$3,"State","TN","Category",13,"Category2","Technical Institutes")</f>
        <v>501</v>
      </c>
      <c r="AI107" s="114">
        <f>+GETPIVOTDATA(" All Ranks # Old",'OLD Counts Pivot Table'!$A$3,"State","TN","Category",14,"Category2","Technical Institutes")</f>
        <v>0</v>
      </c>
      <c r="AJ107" s="112">
        <f>+GETPIVOTDATA(" All Ranks # Old",'OLD Counts Pivot Table'!$A$3,"State","AR","Category2","Technical Institutes")</f>
        <v>0</v>
      </c>
      <c r="AK107" s="116"/>
      <c r="AL107" s="116"/>
    </row>
    <row r="108" spans="1:38">
      <c r="A108" s="38" t="s">
        <v>309</v>
      </c>
      <c r="B108" s="35" t="s">
        <v>332</v>
      </c>
      <c r="C108" s="36">
        <f t="shared" ref="C108:M114" si="42">IF(T$114&gt;0,(T108/T$114),0)</f>
        <v>0.33404733854557139</v>
      </c>
      <c r="D108" s="37">
        <f t="shared" si="42"/>
        <v>0.207909604519774</v>
      </c>
      <c r="E108" s="37">
        <f t="shared" si="42"/>
        <v>0.2048333090697336</v>
      </c>
      <c r="F108" s="37">
        <f t="shared" si="42"/>
        <v>0.2361111111111111</v>
      </c>
      <c r="G108" s="37">
        <f t="shared" si="42"/>
        <v>0.15862068965517243</v>
      </c>
      <c r="H108" s="67">
        <f t="shared" si="42"/>
        <v>0.23157894736842105</v>
      </c>
      <c r="I108" s="36">
        <f t="shared" si="42"/>
        <v>0.26971955600836506</v>
      </c>
      <c r="J108" s="36">
        <f t="shared" si="42"/>
        <v>8.5517241379310341E-2</v>
      </c>
      <c r="K108" s="37">
        <f t="shared" si="42"/>
        <v>0.21080288402786265</v>
      </c>
      <c r="L108" s="37">
        <f t="shared" si="42"/>
        <v>6.9965870307167236E-2</v>
      </c>
      <c r="M108" s="37">
        <f t="shared" si="42"/>
        <v>7.3813708260105443E-2</v>
      </c>
      <c r="N108" s="36">
        <f t="shared" ref="N108:R114" si="43">IF(AF$114&gt;0,(AF108/AF$114),0)</f>
        <v>0.1639397114532119</v>
      </c>
      <c r="O108" s="152">
        <f t="shared" si="43"/>
        <v>0</v>
      </c>
      <c r="P108" s="37">
        <f t="shared" si="43"/>
        <v>0</v>
      </c>
      <c r="Q108" s="67">
        <f t="shared" si="43"/>
        <v>0</v>
      </c>
      <c r="R108" s="152">
        <f t="shared" si="43"/>
        <v>0</v>
      </c>
      <c r="S108" s="117"/>
      <c r="T108" s="104">
        <f>+GETPIVOTDATA(" Total # Prof Old",'OLD Counts Pivot Table'!$A$3,"State","TX","Category",1,"Category2","Four-Year")</f>
        <v>3119</v>
      </c>
      <c r="U108" s="105">
        <f>+GETPIVOTDATA(" Total # Prof Old",'OLD Counts Pivot Table'!$A$3,"State","TX","Category",2,"Category2","Four-Year")</f>
        <v>368</v>
      </c>
      <c r="V108" s="105">
        <f>+GETPIVOTDATA(" Total # Prof Old",'OLD Counts Pivot Table'!$A$3,"State","TX","Category",3,"Category2","Four-Year")</f>
        <v>1407</v>
      </c>
      <c r="W108" s="105">
        <f>+GETPIVOTDATA(" Total # Prof Old",'OLD Counts Pivot Table'!$A$3,"State","TX","Category",4,"Category2","Four-Year")</f>
        <v>68</v>
      </c>
      <c r="X108" s="105">
        <f>+GETPIVOTDATA(" Total # Prof Old",'OLD Counts Pivot Table'!$A$3,"State","TX","Category",5,"Category2","Four-Year")</f>
        <v>46</v>
      </c>
      <c r="Y108" s="105">
        <f>+GETPIVOTDATA(" Total # Prof Old",'OLD Counts Pivot Table'!$A$3,"State","TX","Category",6,"Category2","Four-Year")</f>
        <v>22</v>
      </c>
      <c r="Z108" s="107">
        <f>+GETPIVOTDATA(" Total # Prof Old",'OLD Counts Pivot Table'!$A$3,"State","TX","Category2","Four-Year")</f>
        <v>5030</v>
      </c>
      <c r="AA108" s="104">
        <f>+GETPIVOTDATA(" Total # Prof Old",'OLD Counts Pivot Table'!$A$3,"State","TX","Category",7,"Category2","Group2")</f>
        <v>62</v>
      </c>
      <c r="AB108" s="105">
        <f>+GETPIVOTDATA(" Total # Prof Old",'OLD Counts Pivot Table'!$A$3,"State","TX","Category",8,"Category2","Group2")</f>
        <v>1725</v>
      </c>
      <c r="AC108" s="105">
        <f>+GETPIVOTDATA(" Total # Prof Old",'OLD Counts Pivot Table'!$A$3,"State","TX","Category",9,"Category2","Group2")</f>
        <v>205</v>
      </c>
      <c r="AD108" s="105">
        <f>+GETPIVOTDATA(" Total # Prof Old",'OLD Counts Pivot Table'!$A$3,"State","TX","Category",10,"Category2","Group2")</f>
        <v>42</v>
      </c>
      <c r="AE108" s="105">
        <f>+GETPIVOTDATA(" Total # Prof Old",'OLD Counts Pivot Table'!$A$3,"State","TX","Category","11","Category2","Group2")</f>
        <v>0</v>
      </c>
      <c r="AF108" s="107">
        <f>+GETPIVOTDATA(" Total # Prof Old",'OLD Counts Pivot Table'!$A$3,"State","TX","Category2","Group2")</f>
        <v>2034</v>
      </c>
      <c r="AG108" s="104">
        <f>+GETPIVOTDATA(" Total # Prof Old",'OLD Counts Pivot Table'!$A$3,"State","TX","Category",12,"Category2","Technical Institutes")</f>
        <v>0</v>
      </c>
      <c r="AH108" s="105">
        <f>+GETPIVOTDATA(" Total # Prof Old",'OLD Counts Pivot Table'!$A$3,"State","TX","Category",13,"Category2","Technical Institutes")</f>
        <v>0</v>
      </c>
      <c r="AI108" s="106">
        <f>+GETPIVOTDATA(" Total # Prof Old",'OLD Counts Pivot Table'!$A$3,"State","TX","Category",14,"Category2","Technical Institutes")</f>
        <v>0</v>
      </c>
      <c r="AJ108" s="104">
        <f>+GETPIVOTDATA(" Total # Prof Old",'OLD Counts Pivot Table'!$A$3,"State","AR","Category2","Technical Institutes")</f>
        <v>0</v>
      </c>
    </row>
    <row r="109" spans="1:38">
      <c r="A109" s="30"/>
      <c r="B109" s="38" t="s">
        <v>333</v>
      </c>
      <c r="C109" s="32">
        <f t="shared" si="42"/>
        <v>0.24418978258541288</v>
      </c>
      <c r="D109" s="34">
        <f t="shared" si="42"/>
        <v>0.25367231638418081</v>
      </c>
      <c r="E109" s="34">
        <f t="shared" si="42"/>
        <v>0.22332217207744942</v>
      </c>
      <c r="F109" s="34">
        <f t="shared" si="42"/>
        <v>0.2986111111111111</v>
      </c>
      <c r="G109" s="34">
        <f t="shared" si="42"/>
        <v>0.29655172413793102</v>
      </c>
      <c r="H109" s="68">
        <f t="shared" si="42"/>
        <v>0.17894736842105263</v>
      </c>
      <c r="I109" s="32">
        <f t="shared" si="42"/>
        <v>0.23872593704756287</v>
      </c>
      <c r="J109" s="32">
        <f t="shared" si="42"/>
        <v>7.862068965517241E-2</v>
      </c>
      <c r="K109" s="34">
        <f t="shared" si="42"/>
        <v>0.11633875106928999</v>
      </c>
      <c r="L109" s="34">
        <f t="shared" si="42"/>
        <v>4.9488054607508533E-2</v>
      </c>
      <c r="M109" s="34">
        <f t="shared" ref="M109:M114" si="44">IF(AD$114&gt;0,(AD109/AD$114),0)</f>
        <v>5.9753954305799648E-2</v>
      </c>
      <c r="N109" s="32">
        <f t="shared" si="43"/>
        <v>9.5752397839929074E-2</v>
      </c>
      <c r="O109" s="32">
        <f t="shared" si="43"/>
        <v>0</v>
      </c>
      <c r="P109" s="34">
        <f t="shared" si="43"/>
        <v>0</v>
      </c>
      <c r="Q109" s="68">
        <f t="shared" si="43"/>
        <v>0</v>
      </c>
      <c r="R109" s="32">
        <f t="shared" si="43"/>
        <v>0</v>
      </c>
      <c r="S109" s="87"/>
      <c r="T109" s="108">
        <f>+GETPIVOTDATA(" Tot # Asc. Prof Old",'OLD Counts Pivot Table'!$A$3,"State","TX","Category",1,"Category2","Four-Year")</f>
        <v>2280</v>
      </c>
      <c r="U109" s="109">
        <f>+GETPIVOTDATA(" Tot # Asc. Prof Old",'OLD Counts Pivot Table'!$A$3,"State","TX","Category",2,"Category2","Four-Year")</f>
        <v>449</v>
      </c>
      <c r="V109" s="109">
        <f>+GETPIVOTDATA(" Tot # Asc. Prof Old",'OLD Counts Pivot Table'!$A$3,"State","TX","Category",3,"Category2","Four-Year")</f>
        <v>1534</v>
      </c>
      <c r="W109" s="109">
        <f>+GETPIVOTDATA(" Tot # Asc. Prof Old",'OLD Counts Pivot Table'!$A$3,"State","TX","Category",4,"Category2","Four-Year")</f>
        <v>86</v>
      </c>
      <c r="X109" s="109">
        <f>+GETPIVOTDATA(" Tot # Asc. Prof Old",'OLD Counts Pivot Table'!$A$3,"State","TX","Category",5,"Category2","Four-Year")</f>
        <v>86</v>
      </c>
      <c r="Y109" s="109">
        <f>+GETPIVOTDATA(" Tot # Asc. Prof Old",'OLD Counts Pivot Table'!$A$3,"State","TX","Category",6,"Category2","Four-Year")</f>
        <v>17</v>
      </c>
      <c r="Z109" s="111">
        <f>+GETPIVOTDATA(" Tot # Asc. Prof Old",'OLD Counts Pivot Table'!$A$3,"State","TX","Category2","Four-Year")</f>
        <v>4452</v>
      </c>
      <c r="AA109" s="108">
        <f>+GETPIVOTDATA(" Tot # Asc. Prof Old",'OLD Counts Pivot Table'!$A$3,"State","TX","Category",7,"Category2","Group2")</f>
        <v>57</v>
      </c>
      <c r="AB109" s="109">
        <f>+GETPIVOTDATA(" Tot # Asc. Prof Old",'OLD Counts Pivot Table'!$A$3,"State","TX","Category",8,"Category2","Group2")</f>
        <v>952</v>
      </c>
      <c r="AC109" s="109">
        <f>+GETPIVOTDATA(" Tot # Asc. Prof Old",'OLD Counts Pivot Table'!$A$3,"State","TX","Category",9,"Category2","Group2")</f>
        <v>145</v>
      </c>
      <c r="AD109" s="109">
        <f>+GETPIVOTDATA(" Tot # Asc. Prof Old",'OLD Counts Pivot Table'!$A$3,"State","TX","Category",10,"Category2","Group2")</f>
        <v>34</v>
      </c>
      <c r="AE109" s="109">
        <f>+GETPIVOTDATA(" Tot # Asc. Prof Old",'OLD Counts Pivot Table'!$A$3,"State","TX","Category","11","Category2","Group2")</f>
        <v>0</v>
      </c>
      <c r="AF109" s="111">
        <f>+GETPIVOTDATA(" Tot # Asc. Prof Old",'OLD Counts Pivot Table'!$A$3,"State","TX","Category2","Group2")</f>
        <v>1188</v>
      </c>
      <c r="AG109" s="108">
        <f>+GETPIVOTDATA(" Tot # Asc. Prof Old",'OLD Counts Pivot Table'!$A$3,"State","TX","Category",12,"Category2","Technical Institutes")</f>
        <v>0</v>
      </c>
      <c r="AH109" s="109">
        <f>+GETPIVOTDATA(" Tot # Asc. Prof Old",'OLD Counts Pivot Table'!$A$3,"State","TX","Category",13,"Category2","Technical Institutes")</f>
        <v>0</v>
      </c>
      <c r="AI109" s="110">
        <f>+GETPIVOTDATA(" Tot # Asc. Prof Old",'OLD Counts Pivot Table'!$A$3,"State","TX","Category",14,"Category2","Technical Institutes")</f>
        <v>0</v>
      </c>
      <c r="AJ109" s="108">
        <f>+GETPIVOTDATA(" Tot # Asc. Prof Old",'OLD Counts Pivot Table'!$A$3,"State","AR","Category2","Technical Institutes")</f>
        <v>0</v>
      </c>
    </row>
    <row r="110" spans="1:38">
      <c r="A110" s="30"/>
      <c r="B110" s="38" t="s">
        <v>334</v>
      </c>
      <c r="C110" s="32">
        <f t="shared" si="42"/>
        <v>0.23251579736532077</v>
      </c>
      <c r="D110" s="34">
        <f t="shared" si="42"/>
        <v>0.26158192090395482</v>
      </c>
      <c r="E110" s="34">
        <f t="shared" si="42"/>
        <v>0.29844227689620034</v>
      </c>
      <c r="F110" s="34">
        <f t="shared" si="42"/>
        <v>0.2951388888888889</v>
      </c>
      <c r="G110" s="34">
        <f t="shared" si="42"/>
        <v>0.32413793103448274</v>
      </c>
      <c r="H110" s="68">
        <f t="shared" si="42"/>
        <v>0.16842105263157894</v>
      </c>
      <c r="I110" s="32">
        <f t="shared" si="42"/>
        <v>0.26162260711030083</v>
      </c>
      <c r="J110" s="32">
        <f t="shared" si="42"/>
        <v>0.12</v>
      </c>
      <c r="K110" s="34">
        <f t="shared" si="42"/>
        <v>0.1072956128559208</v>
      </c>
      <c r="L110" s="34">
        <f t="shared" si="42"/>
        <v>4.4709897610921499E-2</v>
      </c>
      <c r="M110" s="34">
        <f t="shared" si="44"/>
        <v>0.11072056239015818</v>
      </c>
      <c r="N110" s="32">
        <f t="shared" si="43"/>
        <v>9.3415007656967836E-2</v>
      </c>
      <c r="O110" s="32">
        <f t="shared" si="43"/>
        <v>0</v>
      </c>
      <c r="P110" s="34">
        <f t="shared" si="43"/>
        <v>0</v>
      </c>
      <c r="Q110" s="68">
        <f t="shared" si="43"/>
        <v>0</v>
      </c>
      <c r="R110" s="32">
        <f t="shared" si="43"/>
        <v>0</v>
      </c>
      <c r="S110" s="87"/>
      <c r="T110" s="108">
        <f>+GETPIVOTDATA(" Tot # Ast. Prof Old",'OLD Counts Pivot Table'!$A$3,"State","TX","Category",1,"Category2","Four-Year")</f>
        <v>2171</v>
      </c>
      <c r="U110" s="109">
        <f>+GETPIVOTDATA(" Tot # Ast. Prof Old",'OLD Counts Pivot Table'!$A$3,"State","TX","Category",2,"Category2","Four-Year")</f>
        <v>463</v>
      </c>
      <c r="V110" s="109">
        <f>+GETPIVOTDATA(" Tot # Ast. Prof Old",'OLD Counts Pivot Table'!$A$3,"State","TX","Category",3,"Category2","Four-Year")</f>
        <v>2050</v>
      </c>
      <c r="W110" s="109">
        <f>+GETPIVOTDATA(" Tot # Ast. Prof Old",'OLD Counts Pivot Table'!$A$3,"State","TX","Category",4,"Category2","Four-Year")</f>
        <v>85</v>
      </c>
      <c r="X110" s="109">
        <f>+GETPIVOTDATA(" Tot # Ast. Prof Old",'OLD Counts Pivot Table'!$A$3,"State","TX","Category",5,"Category2","Four-Year")</f>
        <v>94</v>
      </c>
      <c r="Y110" s="109">
        <f>+GETPIVOTDATA(" Tot # Ast. Prof Old",'OLD Counts Pivot Table'!$A$3,"State","TX","Category",6,"Category2","Four-Year")</f>
        <v>16</v>
      </c>
      <c r="Z110" s="111">
        <f>+GETPIVOTDATA(" Tot # Ast. Prof Old",'OLD Counts Pivot Table'!$A$3,"State","TX","Category2","Four-Year")</f>
        <v>4879</v>
      </c>
      <c r="AA110" s="108">
        <f>+GETPIVOTDATA(" Tot # Ast. Prof Old",'OLD Counts Pivot Table'!$A$3,"State","TX","Category",7,"Category2","Group2")</f>
        <v>87</v>
      </c>
      <c r="AB110" s="109">
        <f>+GETPIVOTDATA(" Tot # Ast. Prof Old",'OLD Counts Pivot Table'!$A$3,"State","TX","Category",8,"Category2","Group2")</f>
        <v>878</v>
      </c>
      <c r="AC110" s="109">
        <f>+GETPIVOTDATA(" Tot # Ast. Prof Old",'OLD Counts Pivot Table'!$A$3,"State","TX","Category",9,"Category2","Group2")</f>
        <v>131</v>
      </c>
      <c r="AD110" s="109">
        <f>+GETPIVOTDATA(" Tot # Ast. Prof Old",'OLD Counts Pivot Table'!$A$3,"State","TX","Category",10,"Category2","Group2")</f>
        <v>63</v>
      </c>
      <c r="AE110" s="109">
        <f>+GETPIVOTDATA(" Tot # Ast. Prof Old",'OLD Counts Pivot Table'!$A$3,"State","TX","Category","11","Category2","Group2")</f>
        <v>0</v>
      </c>
      <c r="AF110" s="111">
        <f>+GETPIVOTDATA(" Tot # Ast. Prof Old",'OLD Counts Pivot Table'!$A$3,"State","TX","Category2","Group2")</f>
        <v>1159</v>
      </c>
      <c r="AG110" s="108">
        <f>+GETPIVOTDATA(" Tot # Ast. Prof Old",'OLD Counts Pivot Table'!$A$3,"State","TX","Category",12,"Category2","Technical Institutes")</f>
        <v>0</v>
      </c>
      <c r="AH110" s="109">
        <f>+GETPIVOTDATA(" Tot # Ast. Prof Old",'OLD Counts Pivot Table'!$A$3,"State","TX","Category",13,"Category2","Technical Institutes")</f>
        <v>0</v>
      </c>
      <c r="AI110" s="110">
        <f>+GETPIVOTDATA(" Tot # Ast. Prof Old",'OLD Counts Pivot Table'!$A$3,"State","TX","Category",14,"Category2","Technical Institutes")</f>
        <v>0</v>
      </c>
      <c r="AJ110" s="108">
        <f>+GETPIVOTDATA(" Tot # Ast. Prof Old",'OLD Counts Pivot Table'!$A$3,"State","AR","Category2","Technical Institutes")</f>
        <v>0</v>
      </c>
    </row>
    <row r="111" spans="1:38">
      <c r="A111" s="30"/>
      <c r="B111" s="38" t="s">
        <v>335</v>
      </c>
      <c r="C111" s="32">
        <f t="shared" si="42"/>
        <v>2.4097675913034165E-2</v>
      </c>
      <c r="D111" s="34">
        <f t="shared" si="42"/>
        <v>6.7796610169491523E-3</v>
      </c>
      <c r="E111" s="34">
        <f t="shared" si="42"/>
        <v>7.9341971174843498E-2</v>
      </c>
      <c r="F111" s="34">
        <f t="shared" si="42"/>
        <v>3.4722222222222224E-2</v>
      </c>
      <c r="G111" s="34">
        <f t="shared" si="42"/>
        <v>2.7586206896551724E-2</v>
      </c>
      <c r="H111" s="68">
        <f t="shared" si="42"/>
        <v>0</v>
      </c>
      <c r="I111" s="32">
        <f t="shared" si="42"/>
        <v>4.2897742506300608E-2</v>
      </c>
      <c r="J111" s="32">
        <f t="shared" si="42"/>
        <v>0.70620689655172408</v>
      </c>
      <c r="K111" s="34">
        <f t="shared" si="42"/>
        <v>0.14359037027984847</v>
      </c>
      <c r="L111" s="34">
        <f t="shared" si="42"/>
        <v>0.17064846416382254</v>
      </c>
      <c r="M111" s="34">
        <f t="shared" si="44"/>
        <v>0.5711775043936731</v>
      </c>
      <c r="N111" s="32">
        <f t="shared" si="43"/>
        <v>0.20246634964133151</v>
      </c>
      <c r="O111" s="32">
        <f t="shared" si="43"/>
        <v>0</v>
      </c>
      <c r="P111" s="34">
        <f t="shared" si="43"/>
        <v>0</v>
      </c>
      <c r="Q111" s="68">
        <f t="shared" si="43"/>
        <v>0</v>
      </c>
      <c r="R111" s="32">
        <f t="shared" si="43"/>
        <v>0</v>
      </c>
      <c r="S111" s="87"/>
      <c r="T111" s="108">
        <f>+GETPIVOTDATA(" Tot # Instr. Old",'OLD Counts Pivot Table'!$A$3,"State","TX","Category",1,"Category2","Four-Year")</f>
        <v>225</v>
      </c>
      <c r="U111" s="109">
        <f>+GETPIVOTDATA(" Tot # Instr. Old",'OLD Counts Pivot Table'!$A$3,"State","TX","Category",2,"Category2","Four-Year")</f>
        <v>12</v>
      </c>
      <c r="V111" s="109">
        <f>+GETPIVOTDATA(" Tot # Instr. Old",'OLD Counts Pivot Table'!$A$3,"State","TX","Category",3,"Category2","Four-Year")</f>
        <v>545</v>
      </c>
      <c r="W111" s="109">
        <f>+GETPIVOTDATA(" Tot # Instr. Old",'OLD Counts Pivot Table'!$A$3,"State","TX","Category",4,"Category2","Four-Year")</f>
        <v>10</v>
      </c>
      <c r="X111" s="109">
        <f>+GETPIVOTDATA(" Tot # Instr. Old",'OLD Counts Pivot Table'!$A$3,"State","TX","Category",5,"Category2","Four-Year")</f>
        <v>8</v>
      </c>
      <c r="Y111" s="109">
        <f>+GETPIVOTDATA(" Tot # Instr. Old",'OLD Counts Pivot Table'!$A$3,"State","TX","Category",6,"Category2","Four-Year")</f>
        <v>0</v>
      </c>
      <c r="Z111" s="111">
        <f>+GETPIVOTDATA(" Tot # Instr. Old",'OLD Counts Pivot Table'!$A$3,"State","TX","Category2","Four-Year")</f>
        <v>800</v>
      </c>
      <c r="AA111" s="108">
        <f>+GETPIVOTDATA(" Tot # Instr. Old",'OLD Counts Pivot Table'!$A$3,"State","TX","Category",7,"Category2","Group2")</f>
        <v>512</v>
      </c>
      <c r="AB111" s="109">
        <f>+GETPIVOTDATA(" Tot # Instr. Old",'OLD Counts Pivot Table'!$A$3,"State","TX","Category",8,"Category2","Group2")</f>
        <v>1175</v>
      </c>
      <c r="AC111" s="109">
        <f>+GETPIVOTDATA(" Tot # Instr. Old",'OLD Counts Pivot Table'!$A$3,"State","TX","Category",9,"Category2","Group2")</f>
        <v>500</v>
      </c>
      <c r="AD111" s="109">
        <f>+GETPIVOTDATA(" Tot # Instr. Old",'OLD Counts Pivot Table'!$A$3,"State","TX","Category",10,"Category2","Group2")</f>
        <v>325</v>
      </c>
      <c r="AE111" s="109">
        <f>+GETPIVOTDATA(" Tot # Instr. Old",'OLD Counts Pivot Table'!$A$3,"State","TX","Category","11","Category2","Group2")</f>
        <v>0</v>
      </c>
      <c r="AF111" s="111">
        <f>+GETPIVOTDATA(" Tot # Instr. Old",'OLD Counts Pivot Table'!$A$3,"State","TX","Category2","Group2")</f>
        <v>2512</v>
      </c>
      <c r="AG111" s="108">
        <f>+GETPIVOTDATA(" Tot # Instr. Old",'OLD Counts Pivot Table'!$A$3,"State","TX","Category",12,"Category2","Technical Institutes")</f>
        <v>0</v>
      </c>
      <c r="AH111" s="109">
        <f>+GETPIVOTDATA(" Tot # Instr. Old",'OLD Counts Pivot Table'!$A$3,"State","TX","Category",13,"Category2","Technical Institutes")</f>
        <v>0</v>
      </c>
      <c r="AI111" s="110">
        <f>+GETPIVOTDATA(" Tot # Instr. Old",'OLD Counts Pivot Table'!$A$3,"State","TX","Category",14,"Category2","Technical Institutes")</f>
        <v>0</v>
      </c>
      <c r="AJ111" s="108">
        <f>+GETPIVOTDATA(" Tot # Instr. Old",'OLD Counts Pivot Table'!$A$3,"State","AR","Category2","Technical Institutes")</f>
        <v>0</v>
      </c>
    </row>
    <row r="112" spans="1:38">
      <c r="A112" s="30"/>
      <c r="B112" s="38" t="s">
        <v>315</v>
      </c>
      <c r="C112" s="32">
        <f t="shared" si="42"/>
        <v>0.16514940559066082</v>
      </c>
      <c r="D112" s="34">
        <f t="shared" si="42"/>
        <v>0.27005649717514124</v>
      </c>
      <c r="E112" s="34">
        <f t="shared" si="42"/>
        <v>0.19406027078177318</v>
      </c>
      <c r="F112" s="34">
        <f t="shared" si="42"/>
        <v>0.13541666666666666</v>
      </c>
      <c r="G112" s="34">
        <f t="shared" si="42"/>
        <v>0.19310344827586207</v>
      </c>
      <c r="H112" s="68">
        <f t="shared" si="42"/>
        <v>0.42105263157894735</v>
      </c>
      <c r="I112" s="32">
        <f t="shared" si="42"/>
        <v>0.18703415732747064</v>
      </c>
      <c r="J112" s="32">
        <f t="shared" si="42"/>
        <v>0</v>
      </c>
      <c r="K112" s="34">
        <f t="shared" si="42"/>
        <v>7.0878650861542223E-3</v>
      </c>
      <c r="L112" s="236">
        <f t="shared" si="42"/>
        <v>2.0477815699658703E-3</v>
      </c>
      <c r="M112" s="236">
        <f t="shared" si="44"/>
        <v>3.5149384885764497E-3</v>
      </c>
      <c r="N112" s="32">
        <f t="shared" si="43"/>
        <v>5.3195776577738369E-3</v>
      </c>
      <c r="O112" s="32">
        <f t="shared" si="43"/>
        <v>0</v>
      </c>
      <c r="P112" s="34">
        <f t="shared" si="43"/>
        <v>0</v>
      </c>
      <c r="Q112" s="68">
        <f t="shared" si="43"/>
        <v>0</v>
      </c>
      <c r="R112" s="32">
        <f t="shared" si="43"/>
        <v>0</v>
      </c>
      <c r="S112" s="87"/>
      <c r="T112" s="108">
        <f>++GETPIVOTDATA(" Tot # Undes. Old",'OLD Counts Pivot Table'!$A$3,"State","TX","Category",1,"Category2","Four-Year")</f>
        <v>1542</v>
      </c>
      <c r="U112" s="109">
        <f>+GETPIVOTDATA(" Tot # Undes. Old",'OLD Counts Pivot Table'!$A$3,"State","TX","Category",2,"Category2","Four-Year")</f>
        <v>478</v>
      </c>
      <c r="V112" s="109">
        <f>+GETPIVOTDATA(" Tot # Undes. Old",'OLD Counts Pivot Table'!$A$3,"State","TX","Category",3,"Category2","Four-Year")</f>
        <v>1333</v>
      </c>
      <c r="W112" s="109">
        <f>+GETPIVOTDATA(" Tot # Undes. Old",'OLD Counts Pivot Table'!$A$3,"State","TX","Category",4,"Category2","Four-Year")</f>
        <v>39</v>
      </c>
      <c r="X112" s="109">
        <f>+GETPIVOTDATA(" Tot # Undes. Old",'OLD Counts Pivot Table'!$A$3,"State","TX","Category",5,"Category2","Four-Year")</f>
        <v>56</v>
      </c>
      <c r="Y112" s="109">
        <f>+GETPIVOTDATA(" Tot # Undes. Old",'OLD Counts Pivot Table'!$A$3,"State","TX","Category",6,"Category2","Four-Year")</f>
        <v>40</v>
      </c>
      <c r="Z112" s="111">
        <f>+GETPIVOTDATA(" Tot # Undes. Old",'OLD Counts Pivot Table'!$A$3,"State","TX","Category2","Four-Year")</f>
        <v>3488</v>
      </c>
      <c r="AA112" s="108">
        <f>+GETPIVOTDATA(" Tot # Undes. Old",'OLD Counts Pivot Table'!$A$3,"State","TX","Category",7,"Category2","Group2")</f>
        <v>0</v>
      </c>
      <c r="AB112" s="109">
        <f>+GETPIVOTDATA(" Tot # Undes. Old",'OLD Counts Pivot Table'!$A$3,"State","TX","Category",8,"Category2","Group2")</f>
        <v>58</v>
      </c>
      <c r="AC112" s="109">
        <f>+GETPIVOTDATA(" Tot # Undes. Old",'OLD Counts Pivot Table'!$A$3,"State","TX","Category",9,"Category2","Group2")</f>
        <v>6</v>
      </c>
      <c r="AD112" s="109">
        <f>+GETPIVOTDATA(" Tot # Undes. Old",'OLD Counts Pivot Table'!$A$3,"State","TX","Category",10,"Category2","Group2")</f>
        <v>2</v>
      </c>
      <c r="AE112" s="109">
        <f>+GETPIVOTDATA(" Tot # Undes. Old",'OLD Counts Pivot Table'!$A$3,"State","TX","Category","11","Category2","Group2")</f>
        <v>0</v>
      </c>
      <c r="AF112" s="111">
        <f>+GETPIVOTDATA(" Tot # Undes. Old",'OLD Counts Pivot Table'!$A$3,"State","TX","Category2","Group2")</f>
        <v>66</v>
      </c>
      <c r="AG112" s="108">
        <f>+GETPIVOTDATA(" Tot # Undes. Old",'OLD Counts Pivot Table'!$A$3,"State","TX","Category",12,"Category2","Technical Institutes")</f>
        <v>0</v>
      </c>
      <c r="AH112" s="109">
        <f>+GETPIVOTDATA(" Tot # Undes. Old",'OLD Counts Pivot Table'!$A$3,"State","TX","Category",13,"Category2","Technical Institutes")</f>
        <v>0</v>
      </c>
      <c r="AI112" s="110">
        <f>+GETPIVOTDATA(" Tot # Undes. Old",'OLD Counts Pivot Table'!$A$3,"State","TX","Category",14,"Category2","Technical Institutes")</f>
        <v>0</v>
      </c>
      <c r="AJ112" s="108">
        <f>+GETPIVOTDATA(" Tot # Undes. Old",'OLD Counts Pivot Table'!$A$3,"State","AR","Category2","Technical Institutes")</f>
        <v>0</v>
      </c>
    </row>
    <row r="113" spans="1:38">
      <c r="A113" s="30"/>
      <c r="B113" s="38" t="s">
        <v>314</v>
      </c>
      <c r="C113" s="32">
        <f t="shared" si="42"/>
        <v>0</v>
      </c>
      <c r="D113" s="34">
        <f t="shared" si="42"/>
        <v>0</v>
      </c>
      <c r="E113" s="34">
        <f t="shared" si="42"/>
        <v>0</v>
      </c>
      <c r="F113" s="34">
        <f t="shared" si="42"/>
        <v>0</v>
      </c>
      <c r="G113" s="34">
        <f t="shared" si="42"/>
        <v>0</v>
      </c>
      <c r="H113" s="68">
        <f t="shared" si="42"/>
        <v>0</v>
      </c>
      <c r="I113" s="32">
        <f t="shared" si="42"/>
        <v>0</v>
      </c>
      <c r="J113" s="32">
        <f t="shared" si="42"/>
        <v>9.655172413793104E-3</v>
      </c>
      <c r="K113" s="34">
        <f t="shared" si="42"/>
        <v>0.41488451668092385</v>
      </c>
      <c r="L113" s="34">
        <f t="shared" si="42"/>
        <v>0.66313993174061436</v>
      </c>
      <c r="M113" s="34">
        <f t="shared" si="44"/>
        <v>0.18101933216168717</v>
      </c>
      <c r="N113" s="32">
        <f t="shared" si="43"/>
        <v>0.43910695575078584</v>
      </c>
      <c r="O113" s="32">
        <f t="shared" si="43"/>
        <v>0</v>
      </c>
      <c r="P113" s="34">
        <f t="shared" si="43"/>
        <v>0</v>
      </c>
      <c r="Q113" s="68">
        <f t="shared" si="43"/>
        <v>0</v>
      </c>
      <c r="R113" s="32">
        <f t="shared" si="43"/>
        <v>0</v>
      </c>
      <c r="S113" s="87"/>
      <c r="T113" s="108">
        <f>+GETPIVOTDATA(" Tot # Single Rnk Old",'OLD Counts Pivot Table'!$A$3,"State","TX","Category",1,"Category2","Four-Year")</f>
        <v>0</v>
      </c>
      <c r="U113" s="109">
        <f>+GETPIVOTDATA(" Tot # Single Rnk Old",'OLD Counts Pivot Table'!$A$3,"State","TX","Category",2,"Category2","Four-Year")</f>
        <v>0</v>
      </c>
      <c r="V113" s="109">
        <f>+GETPIVOTDATA(" Tot # Single Rnk Old",'OLD Counts Pivot Table'!$A$3,"State","TX","Category",3,"Category2","Four-Year")</f>
        <v>0</v>
      </c>
      <c r="W113" s="109">
        <f>+GETPIVOTDATA(" Tot # Single Rnk Old",'OLD Counts Pivot Table'!$A$3,"State","TX","Category",4,"Category2","Four-Year")</f>
        <v>0</v>
      </c>
      <c r="X113" s="109">
        <f>+GETPIVOTDATA(" Tot # Single Rnk Old",'OLD Counts Pivot Table'!$A$3,"State","TX","Category",5,"Category2","Four-Year")</f>
        <v>0</v>
      </c>
      <c r="Y113" s="109">
        <f>+GETPIVOTDATA(" Tot # Single Rnk Old",'OLD Counts Pivot Table'!$A$3,"State","TX","Category",6,"Category2","Four-Year")</f>
        <v>0</v>
      </c>
      <c r="Z113" s="111">
        <f>+GETPIVOTDATA(" Tot # Single Rnk Old",'OLD Counts Pivot Table'!$A$3,"State","TX","Category2","Four-Year")</f>
        <v>0</v>
      </c>
      <c r="AA113" s="108">
        <f>+GETPIVOTDATA(" Tot # Single Rnk Old",'OLD Counts Pivot Table'!$A$3,"State","TX","Category",7,"Category2","Group2")</f>
        <v>7</v>
      </c>
      <c r="AB113" s="109">
        <f>+GETPIVOTDATA(" Tot # Single Rnk Old",'OLD Counts Pivot Table'!$A$3,"State","TX","Category",8,"Category2","Group2")</f>
        <v>3395</v>
      </c>
      <c r="AC113" s="109">
        <f>+GETPIVOTDATA(" Tot # Single Rnk Old",'OLD Counts Pivot Table'!$A$3,"State","TX","Category",9,"Category2","Group2")</f>
        <v>1943</v>
      </c>
      <c r="AD113" s="109">
        <f>+GETPIVOTDATA(" Tot # Single Rnk Old",'OLD Counts Pivot Table'!$A$3,"State","TX","Category",10,"Category2","Group2")</f>
        <v>103</v>
      </c>
      <c r="AE113" s="109">
        <f>+GETPIVOTDATA(" Tot # Single Rnk Old",'OLD Counts Pivot Table'!$A$3,"State","TX","Category","11","Category2","Group2")</f>
        <v>0</v>
      </c>
      <c r="AF113" s="111">
        <f>+GETPIVOTDATA(" Tot # Single Rnk Old",'OLD Counts Pivot Table'!$A$3,"State","TX","Category2","Group2")</f>
        <v>5448</v>
      </c>
      <c r="AG113" s="108">
        <f>+GETPIVOTDATA(" Tot # Single Rnk Old",'OLD Counts Pivot Table'!$A$3,"State","TX","Category",12,"Category2","Technical Institutes")</f>
        <v>0</v>
      </c>
      <c r="AH113" s="109">
        <f>+GETPIVOTDATA(" Tot # Single Rnk Old",'OLD Counts Pivot Table'!$A$3,"State","TX","Category",13,"Category2","Technical Institutes")</f>
        <v>0</v>
      </c>
      <c r="AI113" s="110">
        <f>+GETPIVOTDATA(" Tot # Single Rnk Old",'OLD Counts Pivot Table'!$A$3,"State","TX","Category",14,"Category2","Technical Institutes")</f>
        <v>0</v>
      </c>
      <c r="AJ113" s="108">
        <f>+GETPIVOTDATA(" Tot # Single Rnk Old",'OLD Counts Pivot Table'!$A$3,"State","AR","Category2","Technical Institutes")</f>
        <v>0</v>
      </c>
    </row>
    <row r="114" spans="1:38" s="54" customFormat="1">
      <c r="A114" s="191"/>
      <c r="B114" s="192" t="s">
        <v>316</v>
      </c>
      <c r="C114" s="33">
        <f t="shared" si="42"/>
        <v>1</v>
      </c>
      <c r="D114" s="31">
        <f t="shared" si="42"/>
        <v>1</v>
      </c>
      <c r="E114" s="31">
        <f t="shared" si="42"/>
        <v>1</v>
      </c>
      <c r="F114" s="31">
        <f t="shared" si="42"/>
        <v>1</v>
      </c>
      <c r="G114" s="31">
        <f t="shared" si="42"/>
        <v>1</v>
      </c>
      <c r="H114" s="69">
        <f t="shared" si="42"/>
        <v>1</v>
      </c>
      <c r="I114" s="33">
        <f t="shared" si="42"/>
        <v>1</v>
      </c>
      <c r="J114" s="33">
        <f t="shared" si="42"/>
        <v>1</v>
      </c>
      <c r="K114" s="31">
        <f t="shared" si="42"/>
        <v>1</v>
      </c>
      <c r="L114" s="31">
        <f t="shared" si="42"/>
        <v>1</v>
      </c>
      <c r="M114" s="31">
        <f t="shared" si="44"/>
        <v>1</v>
      </c>
      <c r="N114" s="33">
        <f t="shared" si="43"/>
        <v>1</v>
      </c>
      <c r="O114" s="33">
        <f t="shared" si="43"/>
        <v>0</v>
      </c>
      <c r="P114" s="31">
        <f t="shared" si="43"/>
        <v>0</v>
      </c>
      <c r="Q114" s="69">
        <f t="shared" si="43"/>
        <v>0</v>
      </c>
      <c r="R114" s="33">
        <f t="shared" si="43"/>
        <v>0</v>
      </c>
      <c r="S114" s="88"/>
      <c r="T114" s="112">
        <f>+GETPIVOTDATA(" All Ranks # Old",'OLD Counts Pivot Table'!$A$3,"State","TX","Category",1,"Category2","Four-Year")</f>
        <v>9337</v>
      </c>
      <c r="U114" s="113">
        <f>+GETPIVOTDATA(" All Ranks # Old",'OLD Counts Pivot Table'!$A$3,"State","TX","Category",2,"Category2","Four-Year")</f>
        <v>1770</v>
      </c>
      <c r="V114" s="113">
        <f>+GETPIVOTDATA(" All Ranks # Old",'OLD Counts Pivot Table'!$A$3,"State","TX","Category",3,"Category2","Four-Year")</f>
        <v>6869</v>
      </c>
      <c r="W114" s="113">
        <f>+GETPIVOTDATA(" All Ranks # Old",'OLD Counts Pivot Table'!$A$3,"State","TX","Category",4,"Category2","Four-Year")</f>
        <v>288</v>
      </c>
      <c r="X114" s="113">
        <f>+GETPIVOTDATA(" All Ranks # Old",'OLD Counts Pivot Table'!$A$3,"State","TX","Category",5,"Category2","Four-Year")</f>
        <v>290</v>
      </c>
      <c r="Y114" s="113">
        <f>+GETPIVOTDATA(" All Ranks # Old",'OLD Counts Pivot Table'!$A$3,"State","TX","Category",6,"Category2","Four-Year")</f>
        <v>95</v>
      </c>
      <c r="Z114" s="115">
        <f>+GETPIVOTDATA(" All Ranks # Old",'OLD Counts Pivot Table'!$A$3,"State","TX","Category2","Four-Year")</f>
        <v>18649</v>
      </c>
      <c r="AA114" s="112">
        <f>+GETPIVOTDATA(" All Ranks # Old",'OLD Counts Pivot Table'!$A$3,"State","TX","Category",7,"Category2","Group2")</f>
        <v>725</v>
      </c>
      <c r="AB114" s="113">
        <f>+GETPIVOTDATA(" All Ranks # Old",'OLD Counts Pivot Table'!$A$3,"State","TX","Category",8,"Category2","Group2")</f>
        <v>8183</v>
      </c>
      <c r="AC114" s="113">
        <f>+GETPIVOTDATA(" All Ranks # Old",'OLD Counts Pivot Table'!$A$3,"State","TX","Category",9,"Category2","Group2")</f>
        <v>2930</v>
      </c>
      <c r="AD114" s="113">
        <f>+GETPIVOTDATA(" All Ranks # Old",'OLD Counts Pivot Table'!$A$3,"State","TX","Category",10,"Category2","Group2")</f>
        <v>569</v>
      </c>
      <c r="AE114" s="113">
        <f>+GETPIVOTDATA(" All Ranks # Old",'OLD Counts Pivot Table'!$A$3,"State","TX","Category","11","Category2","Group2")</f>
        <v>0</v>
      </c>
      <c r="AF114" s="115">
        <f>+GETPIVOTDATA(" All Ranks # Old",'OLD Counts Pivot Table'!$A$3,"State","TX","Category2","Group2")</f>
        <v>12407</v>
      </c>
      <c r="AG114" s="112">
        <f>+GETPIVOTDATA(" All Ranks # Old",'OLD Counts Pivot Table'!$A$3,"State","TX","Category",12,"Category2","Technical Institutes")</f>
        <v>0</v>
      </c>
      <c r="AH114" s="113">
        <f>+GETPIVOTDATA(" All Ranks # Old",'OLD Counts Pivot Table'!$A$3,"State","TX","Category",13,"Category2","Technical Institutes")</f>
        <v>0</v>
      </c>
      <c r="AI114" s="114">
        <f>+GETPIVOTDATA(" All Ranks # Old",'OLD Counts Pivot Table'!$A$3,"State","TX","Category",14,"Category2","Technical Institutes")</f>
        <v>0</v>
      </c>
      <c r="AJ114" s="112">
        <f>+GETPIVOTDATA(" All Ranks # Old",'OLD Counts Pivot Table'!$A$3,"State","AR","Category2","Technical Institutes")</f>
        <v>0</v>
      </c>
      <c r="AK114" s="116"/>
      <c r="AL114" s="116"/>
    </row>
    <row r="115" spans="1:38">
      <c r="A115" s="38" t="s">
        <v>344</v>
      </c>
      <c r="B115" s="35" t="s">
        <v>332</v>
      </c>
      <c r="C115" s="36">
        <f t="shared" ref="C115:M121" si="45">IF(T$121&gt;0,(T115/T$121),0)</f>
        <v>0.34626797534809406</v>
      </c>
      <c r="D115" s="37">
        <f t="shared" si="45"/>
        <v>0.25980105324751318</v>
      </c>
      <c r="E115" s="37">
        <f t="shared" si="45"/>
        <v>0.29506802721088438</v>
      </c>
      <c r="F115" s="37">
        <f t="shared" si="45"/>
        <v>0.26182965299684541</v>
      </c>
      <c r="G115" s="37">
        <f t="shared" si="45"/>
        <v>0.23503649635036497</v>
      </c>
      <c r="H115" s="67">
        <f t="shared" si="45"/>
        <v>0.19354838709677419</v>
      </c>
      <c r="I115" s="36">
        <f t="shared" si="45"/>
        <v>0.30571560267342707</v>
      </c>
      <c r="J115" s="36">
        <f t="shared" si="45"/>
        <v>0</v>
      </c>
      <c r="K115" s="37">
        <f t="shared" si="45"/>
        <v>0</v>
      </c>
      <c r="L115" s="37">
        <f t="shared" si="45"/>
        <v>0</v>
      </c>
      <c r="M115" s="37">
        <f t="shared" si="45"/>
        <v>0.27272727272727271</v>
      </c>
      <c r="N115" s="36">
        <f t="shared" ref="N115:R121" si="46">IF(AF$121&gt;0,(AF115/AF$121),0)</f>
        <v>0.20417422867513613</v>
      </c>
      <c r="O115" s="152">
        <f t="shared" si="46"/>
        <v>0</v>
      </c>
      <c r="P115" s="37">
        <f t="shared" si="46"/>
        <v>0</v>
      </c>
      <c r="Q115" s="67">
        <f t="shared" si="46"/>
        <v>0</v>
      </c>
      <c r="R115" s="152">
        <f t="shared" si="46"/>
        <v>0</v>
      </c>
      <c r="S115" s="117"/>
      <c r="T115" s="104">
        <f>+GETPIVOTDATA(" Total # Prof Old",'OLD Counts Pivot Table'!$A$3,"State","VA","Category",1,"Category2","Four-Year")</f>
        <v>1517</v>
      </c>
      <c r="U115" s="105">
        <f>+GETPIVOTDATA(" Total # Prof Old",'OLD Counts Pivot Table'!$A$3,"State","VA","Category",2,"Category2","Four-Year")</f>
        <v>444</v>
      </c>
      <c r="V115" s="105">
        <f>+GETPIVOTDATA(" Total # Prof Old",'OLD Counts Pivot Table'!$A$3,"State","VA","Category",3,"Category2","Four-Year")</f>
        <v>347</v>
      </c>
      <c r="W115" s="105">
        <f>+GETPIVOTDATA(" Total # Prof Old",'OLD Counts Pivot Table'!$A$3,"State","VA","Category",4,"Category2","Four-Year")</f>
        <v>166</v>
      </c>
      <c r="X115" s="105">
        <f>+GETPIVOTDATA(" Total # Prof Old",'OLD Counts Pivot Table'!$A$3,"State","VA","Category",5,"Category2","Four-Year")</f>
        <v>161</v>
      </c>
      <c r="Y115" s="105">
        <f>+GETPIVOTDATA(" Total # Prof Old",'OLD Counts Pivot Table'!$A$3,"State","VA","Category",6,"Category2","Four-Year")</f>
        <v>18</v>
      </c>
      <c r="Z115" s="107">
        <f>+GETPIVOTDATA(" Total # Prof Old",'OLD Counts Pivot Table'!$A$3,"State","VA","Category2","Four-Year")</f>
        <v>2653</v>
      </c>
      <c r="AA115" s="104">
        <f>+GETPIVOTDATA(" Total # Prof Old",'OLD Counts Pivot Table'!$A$3,"State","VA","Category",7,"Category2","Group2")</f>
        <v>0</v>
      </c>
      <c r="AB115" s="105">
        <f>+GETPIVOTDATA(" Total # Prof Old",'OLD Counts Pivot Table'!$A$3,"State","VA","Category",8,"Category2","Group2")</f>
        <v>0</v>
      </c>
      <c r="AC115" s="105">
        <f>+GETPIVOTDATA(" Total # Prof Old",'OLD Counts Pivot Table'!$A$3,"State","VA","Category",9,"Category2","Group2")</f>
        <v>0</v>
      </c>
      <c r="AD115" s="105">
        <f>+GETPIVOTDATA(" Total # Prof Old",'OLD Counts Pivot Table'!$A$3,"State","VA","Category",10,"Category2","Group2")</f>
        <v>9</v>
      </c>
      <c r="AE115" s="105">
        <f>+GETPIVOTDATA(" Total # Prof Old",'OLD Counts Pivot Table'!$A$3,"State","VA","Category","11","Category2","Group2")</f>
        <v>441</v>
      </c>
      <c r="AF115" s="107">
        <f>+GETPIVOTDATA(" Total # Prof Old",'OLD Counts Pivot Table'!$A$3,"State","VA","Category2","Group2")</f>
        <v>450</v>
      </c>
      <c r="AG115" s="104">
        <f>+GETPIVOTDATA(" Total # Prof Old",'OLD Counts Pivot Table'!$A$3,"State","VA","Category",12,"Category2","Technical Institutes")</f>
        <v>0</v>
      </c>
      <c r="AH115" s="105">
        <f>+GETPIVOTDATA(" Total # Prof Old",'OLD Counts Pivot Table'!$A$3,"State","VA","Category",13,"Category2","Technical Institutes")</f>
        <v>0</v>
      </c>
      <c r="AI115" s="106">
        <f>+GETPIVOTDATA(" Total # Prof Old",'OLD Counts Pivot Table'!$A$3,"State","VA","Category",14,"Category2","Technical Institutes")</f>
        <v>0</v>
      </c>
      <c r="AJ115" s="104">
        <f>+GETPIVOTDATA(" Total # Prof Old",'OLD Counts Pivot Table'!$A$3,"State","AR","Category2","Technical Institutes")</f>
        <v>0</v>
      </c>
    </row>
    <row r="116" spans="1:38">
      <c r="A116" s="30"/>
      <c r="B116" s="38" t="s">
        <v>333</v>
      </c>
      <c r="C116" s="32">
        <f t="shared" si="45"/>
        <v>0.29171422049760326</v>
      </c>
      <c r="D116" s="34">
        <f t="shared" si="45"/>
        <v>0.29373902867173785</v>
      </c>
      <c r="E116" s="34">
        <f t="shared" si="45"/>
        <v>0.24319727891156462</v>
      </c>
      <c r="F116" s="34">
        <f t="shared" si="45"/>
        <v>0.28391167192429023</v>
      </c>
      <c r="G116" s="34">
        <f t="shared" si="45"/>
        <v>0.3197080291970803</v>
      </c>
      <c r="H116" s="68">
        <f t="shared" si="45"/>
        <v>0.27956989247311825</v>
      </c>
      <c r="I116" s="32">
        <f t="shared" si="45"/>
        <v>0.28704770684489511</v>
      </c>
      <c r="J116" s="32">
        <f t="shared" si="45"/>
        <v>0</v>
      </c>
      <c r="K116" s="34">
        <f t="shared" si="45"/>
        <v>0</v>
      </c>
      <c r="L116" s="34">
        <f t="shared" si="45"/>
        <v>0</v>
      </c>
      <c r="M116" s="34">
        <f t="shared" ref="M116:M121" si="47">IF(AD$121&gt;0,(AD116/AD$121),0)</f>
        <v>0.48484848484848486</v>
      </c>
      <c r="N116" s="32">
        <f t="shared" si="46"/>
        <v>0.30081669691470053</v>
      </c>
      <c r="O116" s="32">
        <f t="shared" si="46"/>
        <v>0</v>
      </c>
      <c r="P116" s="34">
        <f t="shared" si="46"/>
        <v>0</v>
      </c>
      <c r="Q116" s="68">
        <f t="shared" si="46"/>
        <v>0</v>
      </c>
      <c r="R116" s="32">
        <f t="shared" si="46"/>
        <v>0</v>
      </c>
      <c r="S116" s="87"/>
      <c r="T116" s="108">
        <f>+GETPIVOTDATA(" Tot # Asc. Prof Old",'OLD Counts Pivot Table'!$A$3,"State","VA","Category",1,"Category2","Four-Year")</f>
        <v>1278</v>
      </c>
      <c r="U116" s="109">
        <f>+GETPIVOTDATA(" Tot # Asc. Prof Old",'OLD Counts Pivot Table'!$A$3,"State","VA","Category",2,"Category2","Four-Year")</f>
        <v>502</v>
      </c>
      <c r="V116" s="109">
        <f>+GETPIVOTDATA(" Tot # Asc. Prof Old",'OLD Counts Pivot Table'!$A$3,"State","VA","Category",3,"Category2","Four-Year")</f>
        <v>286</v>
      </c>
      <c r="W116" s="109">
        <f>+GETPIVOTDATA(" Tot # Asc. Prof Old",'OLD Counts Pivot Table'!$A$3,"State","VA","Category",4,"Category2","Four-Year")</f>
        <v>180</v>
      </c>
      <c r="X116" s="109">
        <f>+GETPIVOTDATA(" Tot # Asc. Prof Old",'OLD Counts Pivot Table'!$A$3,"State","VA","Category",5,"Category2","Four-Year")</f>
        <v>219</v>
      </c>
      <c r="Y116" s="109">
        <f>+GETPIVOTDATA(" Tot # Asc. Prof Old",'OLD Counts Pivot Table'!$A$3,"State","VA","Category",6,"Category2","Four-Year")</f>
        <v>26</v>
      </c>
      <c r="Z116" s="111">
        <f>+GETPIVOTDATA(" Tot # Asc. Prof Old",'OLD Counts Pivot Table'!$A$3,"State","VA","Category2","Four-Year")</f>
        <v>2491</v>
      </c>
      <c r="AA116" s="108">
        <f>+GETPIVOTDATA(" Tot # Asc. Prof Old",'OLD Counts Pivot Table'!$A$3,"State","VA","Category",7,"Category2","Group2")</f>
        <v>0</v>
      </c>
      <c r="AB116" s="109">
        <f>+GETPIVOTDATA(" Tot # Asc. Prof Old",'OLD Counts Pivot Table'!$A$3,"State","VA","Category",8,"Category2","Group2")</f>
        <v>0</v>
      </c>
      <c r="AC116" s="109">
        <f>+GETPIVOTDATA(" Tot # Asc. Prof Old",'OLD Counts Pivot Table'!$A$3,"State","VA","Category",9,"Category2","Group2")</f>
        <v>0</v>
      </c>
      <c r="AD116" s="109">
        <f>+GETPIVOTDATA(" Tot # Asc. Prof Old",'OLD Counts Pivot Table'!$A$3,"State","VA","Category",10,"Category2","Group2")</f>
        <v>16</v>
      </c>
      <c r="AE116" s="109">
        <f>+GETPIVOTDATA(" Tot # Asc. Prof Old",'OLD Counts Pivot Table'!$A$3,"State","VA","Category","11","Category2","Group2")</f>
        <v>647</v>
      </c>
      <c r="AF116" s="111">
        <f>+GETPIVOTDATA(" Tot # Asc. Prof Old",'OLD Counts Pivot Table'!$A$3,"State","VA","Category2","Group2")</f>
        <v>663</v>
      </c>
      <c r="AG116" s="108">
        <f>+GETPIVOTDATA(" Tot # Asc. Prof Old",'OLD Counts Pivot Table'!$A$3,"State","VA","Category",12,"Category2","Technical Institutes")</f>
        <v>0</v>
      </c>
      <c r="AH116" s="109">
        <f>+GETPIVOTDATA(" Tot # Asc. Prof Old",'OLD Counts Pivot Table'!$A$3,"State","VA","Category",13,"Category2","Technical Institutes")</f>
        <v>0</v>
      </c>
      <c r="AI116" s="110">
        <f>+GETPIVOTDATA(" Tot # Asc. Prof Old",'OLD Counts Pivot Table'!$A$3,"State","VA","Category",14,"Category2","Technical Institutes")</f>
        <v>0</v>
      </c>
      <c r="AJ116" s="108">
        <f>+GETPIVOTDATA(" Tot # Asc. Prof Old",'OLD Counts Pivot Table'!$A$3,"State","AR","Category2","Technical Institutes")</f>
        <v>0</v>
      </c>
    </row>
    <row r="117" spans="1:38">
      <c r="A117" s="30"/>
      <c r="B117" s="38" t="s">
        <v>334</v>
      </c>
      <c r="C117" s="32">
        <f t="shared" si="45"/>
        <v>0.24629080118694363</v>
      </c>
      <c r="D117" s="34">
        <f t="shared" si="45"/>
        <v>0.30251609128145113</v>
      </c>
      <c r="E117" s="34">
        <f t="shared" si="45"/>
        <v>0.31717687074829931</v>
      </c>
      <c r="F117" s="34">
        <f t="shared" si="45"/>
        <v>0.34069400630914826</v>
      </c>
      <c r="G117" s="34">
        <f t="shared" si="45"/>
        <v>0.31532846715328466</v>
      </c>
      <c r="H117" s="68">
        <f t="shared" si="45"/>
        <v>0.26881720430107525</v>
      </c>
      <c r="I117" s="32">
        <f t="shared" si="45"/>
        <v>0.27955750172850885</v>
      </c>
      <c r="J117" s="32">
        <f t="shared" si="45"/>
        <v>0</v>
      </c>
      <c r="K117" s="34">
        <f t="shared" si="45"/>
        <v>0</v>
      </c>
      <c r="L117" s="34">
        <f t="shared" si="45"/>
        <v>0</v>
      </c>
      <c r="M117" s="34">
        <f t="shared" si="47"/>
        <v>0.24242424242424243</v>
      </c>
      <c r="N117" s="32">
        <f t="shared" si="46"/>
        <v>0.31170598911070779</v>
      </c>
      <c r="O117" s="32">
        <f t="shared" si="46"/>
        <v>0</v>
      </c>
      <c r="P117" s="34">
        <f t="shared" si="46"/>
        <v>0</v>
      </c>
      <c r="Q117" s="68">
        <f t="shared" si="46"/>
        <v>0</v>
      </c>
      <c r="R117" s="32">
        <f t="shared" si="46"/>
        <v>0</v>
      </c>
      <c r="S117" s="87"/>
      <c r="T117" s="108">
        <f>+GETPIVOTDATA(" Tot # Ast. Prof Old",'OLD Counts Pivot Table'!$A$3,"State","VA","Category",1,"Category2","Four-Year")</f>
        <v>1079</v>
      </c>
      <c r="U117" s="109">
        <f>+GETPIVOTDATA(" Tot # Ast. Prof Old",'OLD Counts Pivot Table'!$A$3,"State","VA","Category",2,"Category2","Four-Year")</f>
        <v>517</v>
      </c>
      <c r="V117" s="109">
        <f>+GETPIVOTDATA(" Tot # Ast. Prof Old",'OLD Counts Pivot Table'!$A$3,"State","VA","Category",3,"Category2","Four-Year")</f>
        <v>373</v>
      </c>
      <c r="W117" s="109">
        <f>+GETPIVOTDATA(" Tot # Ast. Prof Old",'OLD Counts Pivot Table'!$A$3,"State","VA","Category",4,"Category2","Four-Year")</f>
        <v>216</v>
      </c>
      <c r="X117" s="109">
        <f>+GETPIVOTDATA(" Tot # Ast. Prof Old",'OLD Counts Pivot Table'!$A$3,"State","VA","Category",5,"Category2","Four-Year")</f>
        <v>216</v>
      </c>
      <c r="Y117" s="109">
        <f>+GETPIVOTDATA(" Tot # Ast. Prof Old",'OLD Counts Pivot Table'!$A$3,"State","VA","Category",6,"Category2","Four-Year")</f>
        <v>25</v>
      </c>
      <c r="Z117" s="111">
        <f>+GETPIVOTDATA(" Tot # Ast. Prof Old",'OLD Counts Pivot Table'!$A$3,"State","VA","Category2","Four-Year")</f>
        <v>2426</v>
      </c>
      <c r="AA117" s="108">
        <f>+GETPIVOTDATA(" Tot # Ast. Prof Old",'OLD Counts Pivot Table'!$A$3,"State","VA","Category",7,"Category2","Group2")</f>
        <v>0</v>
      </c>
      <c r="AB117" s="109">
        <f>+GETPIVOTDATA(" Tot # Ast. Prof Old",'OLD Counts Pivot Table'!$A$3,"State","VA","Category",8,"Category2","Group2")</f>
        <v>0</v>
      </c>
      <c r="AC117" s="109">
        <f>+GETPIVOTDATA(" Tot # Ast. Prof Old",'OLD Counts Pivot Table'!$A$3,"State","VA","Category",9,"Category2","Group2")</f>
        <v>0</v>
      </c>
      <c r="AD117" s="109">
        <f>+GETPIVOTDATA(" Tot # Ast. Prof Old",'OLD Counts Pivot Table'!$A$3,"State","VA","Category",10,"Category2","Group2")</f>
        <v>8</v>
      </c>
      <c r="AE117" s="109">
        <f>+GETPIVOTDATA(" Tot # Ast. Prof Old",'OLD Counts Pivot Table'!$A$3,"State","VA","Category","11","Category2","Group2")</f>
        <v>679</v>
      </c>
      <c r="AF117" s="111">
        <f>+GETPIVOTDATA(" Tot # Ast. Prof Old",'OLD Counts Pivot Table'!$A$3,"State","VA","Category2","Group2")</f>
        <v>687</v>
      </c>
      <c r="AG117" s="108">
        <f>+GETPIVOTDATA(" Tot # Ast. Prof Old",'OLD Counts Pivot Table'!$A$3,"State","VA","Category",12,"Category2","Technical Institutes")</f>
        <v>0</v>
      </c>
      <c r="AH117" s="109">
        <f>+GETPIVOTDATA(" Tot # Ast. Prof Old",'OLD Counts Pivot Table'!$A$3,"State","VA","Category",13,"Category2","Technical Institutes")</f>
        <v>0</v>
      </c>
      <c r="AI117" s="110">
        <f>+GETPIVOTDATA(" Tot # Ast. Prof Old",'OLD Counts Pivot Table'!$A$3,"State","VA","Category",14,"Category2","Technical Institutes")</f>
        <v>0</v>
      </c>
      <c r="AJ117" s="108">
        <f>+GETPIVOTDATA(" Tot # Ast. Prof Old",'OLD Counts Pivot Table'!$A$3,"State","AR","Category2","Technical Institutes")</f>
        <v>0</v>
      </c>
    </row>
    <row r="118" spans="1:38">
      <c r="A118" s="30"/>
      <c r="B118" s="38" t="s">
        <v>335</v>
      </c>
      <c r="C118" s="32">
        <f t="shared" si="45"/>
        <v>6.2999315224834512E-2</v>
      </c>
      <c r="D118" s="34">
        <f t="shared" si="45"/>
        <v>0.13809245172615564</v>
      </c>
      <c r="E118" s="34">
        <f t="shared" si="45"/>
        <v>0.14455782312925169</v>
      </c>
      <c r="F118" s="34">
        <f t="shared" si="45"/>
        <v>0.11356466876971609</v>
      </c>
      <c r="G118" s="34">
        <f t="shared" si="45"/>
        <v>7.2992700729927001E-2</v>
      </c>
      <c r="H118" s="68">
        <f t="shared" si="45"/>
        <v>0.22580645161290322</v>
      </c>
      <c r="I118" s="32">
        <f t="shared" si="45"/>
        <v>9.5067988015671817E-2</v>
      </c>
      <c r="J118" s="32">
        <f t="shared" si="45"/>
        <v>0</v>
      </c>
      <c r="K118" s="34">
        <f t="shared" si="45"/>
        <v>0</v>
      </c>
      <c r="L118" s="34">
        <f t="shared" si="45"/>
        <v>0</v>
      </c>
      <c r="M118" s="34">
        <f t="shared" si="47"/>
        <v>0</v>
      </c>
      <c r="N118" s="32">
        <f t="shared" si="46"/>
        <v>0.18330308529945555</v>
      </c>
      <c r="O118" s="32">
        <f t="shared" si="46"/>
        <v>0</v>
      </c>
      <c r="P118" s="34">
        <f t="shared" si="46"/>
        <v>0</v>
      </c>
      <c r="Q118" s="68">
        <f t="shared" si="46"/>
        <v>0</v>
      </c>
      <c r="R118" s="32">
        <f t="shared" si="46"/>
        <v>0</v>
      </c>
      <c r="S118" s="87"/>
      <c r="T118" s="108">
        <f>+GETPIVOTDATA(" Tot # Instr. Old",'OLD Counts Pivot Table'!$A$3,"State","VA","Category",1,"Category2","Four-Year")</f>
        <v>276</v>
      </c>
      <c r="U118" s="109">
        <f>+GETPIVOTDATA(" Tot # Instr. Old",'OLD Counts Pivot Table'!$A$3,"State","VA","Category",2,"Category2","Four-Year")</f>
        <v>236</v>
      </c>
      <c r="V118" s="109">
        <f>+GETPIVOTDATA(" Tot # Instr. Old",'OLD Counts Pivot Table'!$A$3,"State","VA","Category",3,"Category2","Four-Year")</f>
        <v>170</v>
      </c>
      <c r="W118" s="109">
        <f>+GETPIVOTDATA(" Tot # Instr. Old",'OLD Counts Pivot Table'!$A$3,"State","VA","Category",4,"Category2","Four-Year")</f>
        <v>72</v>
      </c>
      <c r="X118" s="109">
        <f>+GETPIVOTDATA(" Tot # Instr. Old",'OLD Counts Pivot Table'!$A$3,"State","VA","Category",5,"Category2","Four-Year")</f>
        <v>50</v>
      </c>
      <c r="Y118" s="109">
        <f>+GETPIVOTDATA(" Tot # Instr. Old",'OLD Counts Pivot Table'!$A$3,"State","VA","Category",6,"Category2","Four-Year")</f>
        <v>21</v>
      </c>
      <c r="Z118" s="111">
        <f>+GETPIVOTDATA(" Tot # Instr. Old",'OLD Counts Pivot Table'!$A$3,"State","VA","Category2","Four-Year")</f>
        <v>825</v>
      </c>
      <c r="AA118" s="108">
        <f>+GETPIVOTDATA(" Tot # Instr. Old",'OLD Counts Pivot Table'!$A$3,"State","VA","Category",7,"Category2","Group2")</f>
        <v>0</v>
      </c>
      <c r="AB118" s="109">
        <f>+GETPIVOTDATA(" Tot # Instr. Old",'OLD Counts Pivot Table'!$A$3,"State","VA","Category",8,"Category2","Group2")</f>
        <v>0</v>
      </c>
      <c r="AC118" s="109">
        <f>+GETPIVOTDATA(" Tot # Instr. Old",'OLD Counts Pivot Table'!$A$3,"State","VA","Category",9,"Category2","Group2")</f>
        <v>0</v>
      </c>
      <c r="AD118" s="109">
        <f>+GETPIVOTDATA(" Tot # Instr. Old",'OLD Counts Pivot Table'!$A$3,"State","VA","Category",10,"Category2","Group2")</f>
        <v>0</v>
      </c>
      <c r="AE118" s="109">
        <f>+GETPIVOTDATA(" Tot # Instr. Old",'OLD Counts Pivot Table'!$A$3,"State","VA","Category","11","Category2","Group2")</f>
        <v>404</v>
      </c>
      <c r="AF118" s="111">
        <f>+GETPIVOTDATA(" Tot # Instr. Old",'OLD Counts Pivot Table'!$A$3,"State","VA","Category2","Group2")</f>
        <v>404</v>
      </c>
      <c r="AG118" s="108">
        <f>+GETPIVOTDATA(" Tot # Instr. Old",'OLD Counts Pivot Table'!$A$3,"State","VA","Category",12,"Category2","Technical Institutes")</f>
        <v>0</v>
      </c>
      <c r="AH118" s="109">
        <f>+GETPIVOTDATA(" Tot # Instr. Old",'OLD Counts Pivot Table'!$A$3,"State","VA","Category",13,"Category2","Technical Institutes")</f>
        <v>0</v>
      </c>
      <c r="AI118" s="110">
        <f>+GETPIVOTDATA(" Tot # Instr. Old",'OLD Counts Pivot Table'!$A$3,"State","VA","Category",14,"Category2","Technical Institutes")</f>
        <v>0</v>
      </c>
      <c r="AJ118" s="108">
        <f>+GETPIVOTDATA(" Tot # Instr. Old",'OLD Counts Pivot Table'!$A$3,"State","AR","Category2","Technical Institutes")</f>
        <v>0</v>
      </c>
    </row>
    <row r="119" spans="1:38">
      <c r="A119" s="30"/>
      <c r="B119" s="38" t="s">
        <v>315</v>
      </c>
      <c r="C119" s="32">
        <f t="shared" si="45"/>
        <v>5.2727687742524537E-2</v>
      </c>
      <c r="D119" s="34">
        <f t="shared" si="45"/>
        <v>5.8513750731421883E-3</v>
      </c>
      <c r="E119" s="34">
        <f t="shared" si="45"/>
        <v>0</v>
      </c>
      <c r="F119" s="34">
        <f t="shared" si="45"/>
        <v>0</v>
      </c>
      <c r="G119" s="34">
        <f t="shared" si="45"/>
        <v>5.6934306569343063E-2</v>
      </c>
      <c r="H119" s="68">
        <f t="shared" si="45"/>
        <v>3.2258064516129031E-2</v>
      </c>
      <c r="I119" s="32">
        <f t="shared" si="45"/>
        <v>3.2611200737497119E-2</v>
      </c>
      <c r="J119" s="32">
        <f t="shared" si="45"/>
        <v>0</v>
      </c>
      <c r="K119" s="34">
        <f t="shared" si="45"/>
        <v>0</v>
      </c>
      <c r="L119" s="34">
        <f t="shared" si="45"/>
        <v>0</v>
      </c>
      <c r="M119" s="34">
        <f t="shared" si="47"/>
        <v>0</v>
      </c>
      <c r="N119" s="184">
        <f t="shared" si="46"/>
        <v>0</v>
      </c>
      <c r="O119" s="32">
        <f t="shared" si="46"/>
        <v>0</v>
      </c>
      <c r="P119" s="34">
        <f t="shared" si="46"/>
        <v>0</v>
      </c>
      <c r="Q119" s="68">
        <f t="shared" si="46"/>
        <v>0</v>
      </c>
      <c r="R119" s="32">
        <f t="shared" si="46"/>
        <v>0</v>
      </c>
      <c r="S119" s="87"/>
      <c r="T119" s="108">
        <f>++GETPIVOTDATA(" Tot # Undes. Old",'OLD Counts Pivot Table'!$A$3,"State","VA","Category",1,"Category2","Four-Year")</f>
        <v>231</v>
      </c>
      <c r="U119" s="109">
        <f>+GETPIVOTDATA(" Tot # Undes. Old",'OLD Counts Pivot Table'!$A$3,"State","VA","Category",2,"Category2","Four-Year")</f>
        <v>10</v>
      </c>
      <c r="V119" s="109">
        <f>+GETPIVOTDATA(" Tot # Undes. Old",'OLD Counts Pivot Table'!$A$3,"State","VA","Category",3,"Category2","Four-Year")</f>
        <v>0</v>
      </c>
      <c r="W119" s="109">
        <f>+GETPIVOTDATA(" Tot # Undes. Old",'OLD Counts Pivot Table'!$A$3,"State","VA","Category",4,"Category2","Four-Year")</f>
        <v>0</v>
      </c>
      <c r="X119" s="109">
        <f>+GETPIVOTDATA(" Tot # Undes. Old",'OLD Counts Pivot Table'!$A$3,"State","VA","Category",5,"Category2","Four-Year")</f>
        <v>39</v>
      </c>
      <c r="Y119" s="109">
        <f>+GETPIVOTDATA(" Tot # Undes. Old",'OLD Counts Pivot Table'!$A$3,"State","VA","Category",6,"Category2","Four-Year")</f>
        <v>3</v>
      </c>
      <c r="Z119" s="111">
        <f>+GETPIVOTDATA(" Tot # Undes. Old",'OLD Counts Pivot Table'!$A$3,"State","VA","Category2","Four-Year")</f>
        <v>283</v>
      </c>
      <c r="AA119" s="108">
        <f>+GETPIVOTDATA(" Tot # Undes. Old",'OLD Counts Pivot Table'!$A$3,"State","VA","Category",7,"Category2","Group2")</f>
        <v>0</v>
      </c>
      <c r="AB119" s="109">
        <f>+GETPIVOTDATA(" Tot # Undes. Old",'OLD Counts Pivot Table'!$A$3,"State","VA","Category",8,"Category2","Group2")</f>
        <v>0</v>
      </c>
      <c r="AC119" s="109">
        <f>+GETPIVOTDATA(" Tot # Undes. Old",'OLD Counts Pivot Table'!$A$3,"State","VA","Category",9,"Category2","Group2")</f>
        <v>0</v>
      </c>
      <c r="AD119" s="109">
        <f>+GETPIVOTDATA(" Tot # Undes. Old",'OLD Counts Pivot Table'!$A$3,"State","VA","Category",10,"Category2","Group2")</f>
        <v>0</v>
      </c>
      <c r="AE119" s="109">
        <f>+GETPIVOTDATA(" Tot # Undes. Old",'OLD Counts Pivot Table'!$A$3,"State","VA","Category","11","Category2","Group2")</f>
        <v>0</v>
      </c>
      <c r="AF119" s="111">
        <f>+GETPIVOTDATA(" Tot # Undes. Old",'OLD Counts Pivot Table'!$A$3,"State","VA","Category2","Group2")</f>
        <v>0</v>
      </c>
      <c r="AG119" s="108">
        <f>+GETPIVOTDATA(" Tot # Undes. Old",'OLD Counts Pivot Table'!$A$3,"State","VA","Category",12,"Category2","Technical Institutes")</f>
        <v>0</v>
      </c>
      <c r="AH119" s="109">
        <f>+GETPIVOTDATA(" Tot # Undes. Old",'OLD Counts Pivot Table'!$A$3,"State","VA","Category",13,"Category2","Technical Institutes")</f>
        <v>0</v>
      </c>
      <c r="AI119" s="110">
        <f>+GETPIVOTDATA(" Tot # Undes. Old",'OLD Counts Pivot Table'!$A$3,"State","VA","Category",14,"Category2","Technical Institutes")</f>
        <v>0</v>
      </c>
      <c r="AJ119" s="108">
        <f>+GETPIVOTDATA(" Tot # Undes. Old",'OLD Counts Pivot Table'!$A$3,"State","AR","Category2","Technical Institutes")</f>
        <v>0</v>
      </c>
    </row>
    <row r="120" spans="1:38">
      <c r="A120" s="30"/>
      <c r="B120" s="38" t="s">
        <v>314</v>
      </c>
      <c r="C120" s="32">
        <f t="shared" si="45"/>
        <v>0</v>
      </c>
      <c r="D120" s="34">
        <f t="shared" si="45"/>
        <v>0</v>
      </c>
      <c r="E120" s="185">
        <f t="shared" si="45"/>
        <v>0</v>
      </c>
      <c r="F120" s="34">
        <f t="shared" si="45"/>
        <v>0</v>
      </c>
      <c r="G120" s="185">
        <f t="shared" si="45"/>
        <v>0</v>
      </c>
      <c r="H120" s="68">
        <f t="shared" si="45"/>
        <v>0</v>
      </c>
      <c r="I120" s="184">
        <f t="shared" si="45"/>
        <v>0</v>
      </c>
      <c r="J120" s="32">
        <f t="shared" si="45"/>
        <v>0</v>
      </c>
      <c r="K120" s="34">
        <f t="shared" si="45"/>
        <v>0</v>
      </c>
      <c r="L120" s="34">
        <f t="shared" si="45"/>
        <v>0</v>
      </c>
      <c r="M120" s="34">
        <f t="shared" si="47"/>
        <v>0</v>
      </c>
      <c r="N120" s="32">
        <f t="shared" si="46"/>
        <v>0</v>
      </c>
      <c r="O120" s="32">
        <f t="shared" si="46"/>
        <v>0</v>
      </c>
      <c r="P120" s="34">
        <f t="shared" si="46"/>
        <v>0</v>
      </c>
      <c r="Q120" s="68">
        <f t="shared" si="46"/>
        <v>0</v>
      </c>
      <c r="R120" s="32">
        <f t="shared" si="46"/>
        <v>0</v>
      </c>
      <c r="S120" s="87"/>
      <c r="T120" s="108">
        <f>+GETPIVOTDATA(" Tot # Single Rnk Old",'OLD Counts Pivot Table'!$A$3,"State","VA","Category",1,"Category2","Four-Year")</f>
        <v>0</v>
      </c>
      <c r="U120" s="109">
        <f>+GETPIVOTDATA(" Tot # Single Rnk Old",'OLD Counts Pivot Table'!$A$3,"State","VA","Category",2,"Category2","Four-Year")</f>
        <v>0</v>
      </c>
      <c r="V120" s="109">
        <f>+GETPIVOTDATA(" Tot # Single Rnk Old",'OLD Counts Pivot Table'!$A$3,"State","VA","Category",3,"Category2","Four-Year")</f>
        <v>0</v>
      </c>
      <c r="W120" s="109">
        <f>+GETPIVOTDATA(" Tot # Single Rnk Old",'OLD Counts Pivot Table'!$A$3,"State","VA","Category",4,"Category2","Four-Year")</f>
        <v>0</v>
      </c>
      <c r="X120" s="109">
        <f>+GETPIVOTDATA(" Tot # Single Rnk Old",'OLD Counts Pivot Table'!$A$3,"State","VA","Category",5,"Category2","Four-Year")</f>
        <v>0</v>
      </c>
      <c r="Y120" s="109">
        <f>+GETPIVOTDATA(" Tot # Single Rnk Old",'OLD Counts Pivot Table'!$A$3,"State","VA","Category",6,"Category2","Four-Year")</f>
        <v>0</v>
      </c>
      <c r="Z120" s="111">
        <f>+GETPIVOTDATA(" Tot # Single Rnk Old",'OLD Counts Pivot Table'!$A$3,"State","VA","Category2","Four-Year")</f>
        <v>0</v>
      </c>
      <c r="AA120" s="108">
        <f>+GETPIVOTDATA(" Tot # Single Rnk Old",'OLD Counts Pivot Table'!$A$3,"State","VA","Category",7,"Category2","Group2")</f>
        <v>0</v>
      </c>
      <c r="AB120" s="109">
        <f>+GETPIVOTDATA(" Tot # Single Rnk Old",'OLD Counts Pivot Table'!$A$3,"State","VA","Category",8,"Category2","Group2")</f>
        <v>0</v>
      </c>
      <c r="AC120" s="109">
        <f>+GETPIVOTDATA(" Tot # Single Rnk Old",'OLD Counts Pivot Table'!$A$3,"State","VA","Category",9,"Category2","Group2")</f>
        <v>0</v>
      </c>
      <c r="AD120" s="109">
        <f>+GETPIVOTDATA(" Tot # Single Rnk Old",'OLD Counts Pivot Table'!$A$3,"State","VA","Category",10,"Category2","Group2")</f>
        <v>0</v>
      </c>
      <c r="AE120" s="109">
        <f>+GETPIVOTDATA(" Tot # Single Rnk Old",'OLD Counts Pivot Table'!$A$3,"State","VA","Category","11","Category2","Group2")</f>
        <v>0</v>
      </c>
      <c r="AF120" s="111">
        <f>+GETPIVOTDATA(" Tot # Single Rnk Old",'OLD Counts Pivot Table'!$A$3,"State","VA","Category2","Group2")</f>
        <v>0</v>
      </c>
      <c r="AG120" s="108">
        <f>+GETPIVOTDATA(" Tot # Single Rnk Old",'OLD Counts Pivot Table'!$A$3,"State","VA","Category",12,"Category2","Technical Institutes")</f>
        <v>0</v>
      </c>
      <c r="AH120" s="109">
        <f>+GETPIVOTDATA(" Tot # Single Rnk Old",'OLD Counts Pivot Table'!$A$3,"State","VA","Category",13,"Category2","Technical Institutes")</f>
        <v>0</v>
      </c>
      <c r="AI120" s="110">
        <f>+GETPIVOTDATA(" Tot # Single Rnk Old",'OLD Counts Pivot Table'!$A$3,"State","VA","Category",14,"Category2","Technical Institutes")</f>
        <v>0</v>
      </c>
      <c r="AJ120" s="108">
        <f>+GETPIVOTDATA(" Tot # Single Rnk Old",'OLD Counts Pivot Table'!$A$3,"State","AR","Category2","Technical Institutes")</f>
        <v>0</v>
      </c>
    </row>
    <row r="121" spans="1:38" s="54" customFormat="1">
      <c r="A121" s="191"/>
      <c r="B121" s="192" t="s">
        <v>316</v>
      </c>
      <c r="C121" s="33">
        <f t="shared" si="45"/>
        <v>1</v>
      </c>
      <c r="D121" s="31">
        <f t="shared" si="45"/>
        <v>1</v>
      </c>
      <c r="E121" s="31">
        <f t="shared" si="45"/>
        <v>1</v>
      </c>
      <c r="F121" s="31">
        <f t="shared" si="45"/>
        <v>1</v>
      </c>
      <c r="G121" s="31">
        <f t="shared" si="45"/>
        <v>1</v>
      </c>
      <c r="H121" s="69">
        <f t="shared" si="45"/>
        <v>1</v>
      </c>
      <c r="I121" s="33">
        <f t="shared" si="45"/>
        <v>1</v>
      </c>
      <c r="J121" s="33">
        <f t="shared" si="45"/>
        <v>0</v>
      </c>
      <c r="K121" s="31">
        <f t="shared" si="45"/>
        <v>0</v>
      </c>
      <c r="L121" s="31">
        <f t="shared" si="45"/>
        <v>0</v>
      </c>
      <c r="M121" s="31">
        <f t="shared" si="47"/>
        <v>1</v>
      </c>
      <c r="N121" s="33">
        <f t="shared" si="46"/>
        <v>1</v>
      </c>
      <c r="O121" s="33">
        <f t="shared" si="46"/>
        <v>0</v>
      </c>
      <c r="P121" s="31">
        <f t="shared" si="46"/>
        <v>0</v>
      </c>
      <c r="Q121" s="69">
        <f t="shared" si="46"/>
        <v>0</v>
      </c>
      <c r="R121" s="33">
        <f t="shared" si="46"/>
        <v>0</v>
      </c>
      <c r="S121" s="88"/>
      <c r="T121" s="112">
        <f>+GETPIVOTDATA(" All Ranks # Old",'OLD Counts Pivot Table'!$A$3,"State","VA","Category",1,"Category2","Four-Year")</f>
        <v>4381</v>
      </c>
      <c r="U121" s="113">
        <f>+GETPIVOTDATA(" All Ranks # Old",'OLD Counts Pivot Table'!$A$3,"State","VA","Category",2,"Category2","Four-Year")</f>
        <v>1709</v>
      </c>
      <c r="V121" s="113">
        <f>+GETPIVOTDATA(" All Ranks # Old",'OLD Counts Pivot Table'!$A$3,"State","VA","Category",3,"Category2","Four-Year")</f>
        <v>1176</v>
      </c>
      <c r="W121" s="113">
        <f>+GETPIVOTDATA(" All Ranks # Old",'OLD Counts Pivot Table'!$A$3,"State","VA","Category",4,"Category2","Four-Year")</f>
        <v>634</v>
      </c>
      <c r="X121" s="113">
        <f>+GETPIVOTDATA(" All Ranks # Old",'OLD Counts Pivot Table'!$A$3,"State","VA","Category",5,"Category2","Four-Year")</f>
        <v>685</v>
      </c>
      <c r="Y121" s="113">
        <f>+GETPIVOTDATA(" All Ranks # Old",'OLD Counts Pivot Table'!$A$3,"State","VA","Category",6,"Category2","Four-Year")</f>
        <v>93</v>
      </c>
      <c r="Z121" s="115">
        <f>+GETPIVOTDATA(" All Ranks # Old",'OLD Counts Pivot Table'!$A$3,"State","VA","Category2","Four-Year")</f>
        <v>8678</v>
      </c>
      <c r="AA121" s="112">
        <f>+GETPIVOTDATA(" All Ranks # Old",'OLD Counts Pivot Table'!$A$3,"State","VA","Category",7,"Category2","Group2")</f>
        <v>0</v>
      </c>
      <c r="AB121" s="113">
        <f>+GETPIVOTDATA(" All Ranks # Old",'OLD Counts Pivot Table'!$A$3,"State","VA","Category",8,"Category2","Group2")</f>
        <v>0</v>
      </c>
      <c r="AC121" s="113">
        <f>+GETPIVOTDATA(" All Ranks # Old",'OLD Counts Pivot Table'!$A$3,"State","VA","Category",9,"Category2","Group2")</f>
        <v>0</v>
      </c>
      <c r="AD121" s="113">
        <f>+GETPIVOTDATA(" All Ranks # Old",'OLD Counts Pivot Table'!$A$3,"State","VA","Category",10,"Category2","Group2")</f>
        <v>33</v>
      </c>
      <c r="AE121" s="113">
        <f>+GETPIVOTDATA(" All Ranks # Old",'OLD Counts Pivot Table'!$A$3,"State","VA","Category","11","Category2","Group2")</f>
        <v>2171</v>
      </c>
      <c r="AF121" s="115">
        <f>+GETPIVOTDATA(" All Ranks # Old",'OLD Counts Pivot Table'!$A$3,"State","VA","Category2","Group2")</f>
        <v>2204</v>
      </c>
      <c r="AG121" s="112">
        <f>+GETPIVOTDATA(" All Ranks # Old",'OLD Counts Pivot Table'!$A$3,"State","VA","Category",12,"Category2","Technical Institutes")</f>
        <v>0</v>
      </c>
      <c r="AH121" s="113">
        <f>+GETPIVOTDATA(" All Ranks # Old",'OLD Counts Pivot Table'!$A$3,"State","VA","Category",13,"Category2","Technical Institutes")</f>
        <v>0</v>
      </c>
      <c r="AI121" s="114">
        <f>+GETPIVOTDATA(" All Ranks # Old",'OLD Counts Pivot Table'!$A$3,"State","VA","Category",14,"Category2","Technical Institutes")</f>
        <v>0</v>
      </c>
      <c r="AJ121" s="112">
        <f>+GETPIVOTDATA(" All Ranks # Old",'OLD Counts Pivot Table'!$A$3,"State","AR","Category2","Technical Institutes")</f>
        <v>0</v>
      </c>
      <c r="AK121" s="116"/>
      <c r="AL121" s="116"/>
    </row>
    <row r="122" spans="1:38">
      <c r="A122" s="38" t="s">
        <v>343</v>
      </c>
      <c r="B122" s="35" t="s">
        <v>332</v>
      </c>
      <c r="C122" s="36">
        <f t="shared" ref="C122:M128" si="48">IF(T$128&gt;0,(T122/T$128),0)</f>
        <v>0.30517423442449843</v>
      </c>
      <c r="D122" s="37">
        <f t="shared" si="48"/>
        <v>0</v>
      </c>
      <c r="E122" s="37">
        <f t="shared" si="48"/>
        <v>0.41791044776119401</v>
      </c>
      <c r="F122" s="37">
        <f t="shared" si="48"/>
        <v>0</v>
      </c>
      <c r="G122" s="37">
        <f t="shared" si="48"/>
        <v>0.2773972602739726</v>
      </c>
      <c r="H122" s="67">
        <f t="shared" si="48"/>
        <v>0.21754385964912282</v>
      </c>
      <c r="I122" s="36">
        <f t="shared" si="48"/>
        <v>0.30289727831431079</v>
      </c>
      <c r="J122" s="36">
        <f t="shared" si="48"/>
        <v>0.33858267716535434</v>
      </c>
      <c r="K122" s="37">
        <f t="shared" si="48"/>
        <v>0</v>
      </c>
      <c r="L122" s="37">
        <f t="shared" si="48"/>
        <v>0</v>
      </c>
      <c r="M122" s="37">
        <f t="shared" si="48"/>
        <v>0.19506172839506172</v>
      </c>
      <c r="N122" s="36">
        <f t="shared" ref="N122:R128" si="49">IF(AF$128&gt;0,(AF122/AF$128),0)</f>
        <v>0.22932330827067668</v>
      </c>
      <c r="O122" s="152">
        <f t="shared" si="49"/>
        <v>0</v>
      </c>
      <c r="P122" s="37">
        <f t="shared" si="49"/>
        <v>0</v>
      </c>
      <c r="Q122" s="67">
        <f t="shared" si="49"/>
        <v>0</v>
      </c>
      <c r="R122" s="152">
        <f t="shared" si="49"/>
        <v>0</v>
      </c>
      <c r="S122" s="117"/>
      <c r="T122" s="104">
        <f>+GETPIVOTDATA(" Total # Prof Old",'OLD Counts Pivot Table'!$A$3,"State","WV","Category",1,"Category2","Four-Year")</f>
        <v>289</v>
      </c>
      <c r="U122" s="105">
        <f>+GETPIVOTDATA(" Total # Prof Old",'OLD Counts Pivot Table'!$A$3,"State","WV","Category",2,"Category2","Four-Year")</f>
        <v>0</v>
      </c>
      <c r="V122" s="105">
        <f>+GETPIVOTDATA(" Total # Prof Old",'OLD Counts Pivot Table'!$A$3,"State","WV","Category",3,"Category2","Four-Year")</f>
        <v>196</v>
      </c>
      <c r="W122" s="105">
        <f>+GETPIVOTDATA(" Total # Prof Old",'OLD Counts Pivot Table'!$A$3,"State","WV","Category",4,"Category2","Four-Year")</f>
        <v>0</v>
      </c>
      <c r="X122" s="105">
        <f>+GETPIVOTDATA(" Total # Prof Old",'OLD Counts Pivot Table'!$A$3,"State","WV","Category",5,"Category2","Four-Year")</f>
        <v>81</v>
      </c>
      <c r="Y122" s="105">
        <f>+GETPIVOTDATA(" Total # Prof Old",'OLD Counts Pivot Table'!$A$3,"State","WV","Category",6,"Category2","Four-Year")</f>
        <v>124</v>
      </c>
      <c r="Z122" s="107">
        <f>+GETPIVOTDATA(" Total # Prof Old",'OLD Counts Pivot Table'!$A$3,"State","WV","Category2","Four-Year")</f>
        <v>690</v>
      </c>
      <c r="AA122" s="104">
        <f>+GETPIVOTDATA(" Total # Prof Old",'OLD Counts Pivot Table'!$A$3,"State","WV","Category",7,"Category2","Group2")</f>
        <v>43</v>
      </c>
      <c r="AB122" s="105">
        <f>+GETPIVOTDATA(" Total # Prof Old",'OLD Counts Pivot Table'!$A$3,"State","WV","Category",8,"Category2","Group2")</f>
        <v>0</v>
      </c>
      <c r="AC122" s="105">
        <f>+GETPIVOTDATA(" Total # Prof Old",'OLD Counts Pivot Table'!$A$3,"State","WV","Category",9,"Category2","Group2")</f>
        <v>0</v>
      </c>
      <c r="AD122" s="105">
        <f>+GETPIVOTDATA(" Total # Prof Old",'OLD Counts Pivot Table'!$A$3,"State","WV","Category",10,"Category2","Group2")</f>
        <v>79</v>
      </c>
      <c r="AE122" s="105">
        <f>+GETPIVOTDATA(" Total # Prof Old",'OLD Counts Pivot Table'!$A$3,"State","WV","Category","11","Category2","Group2")</f>
        <v>0</v>
      </c>
      <c r="AF122" s="107">
        <f>+GETPIVOTDATA(" Total # Prof Old",'OLD Counts Pivot Table'!$A$3,"State","WV","Category2","Group2")</f>
        <v>122</v>
      </c>
      <c r="AG122" s="104">
        <f>+GETPIVOTDATA(" Total # Prof Old",'OLD Counts Pivot Table'!$A$3,"State","WV","Category",12,"Category2","Technical Institutes")</f>
        <v>0</v>
      </c>
      <c r="AH122" s="105">
        <f>+GETPIVOTDATA(" Total # Prof Old",'OLD Counts Pivot Table'!$A$3,"State","WV","Category",13,"Category2","Technical Institutes")</f>
        <v>0</v>
      </c>
      <c r="AI122" s="106">
        <f>+GETPIVOTDATA(" Total # Prof Old",'OLD Counts Pivot Table'!$A$3,"State","WV","Category",14,"Category2","Technical Institutes")</f>
        <v>0</v>
      </c>
      <c r="AJ122" s="104">
        <f>+GETPIVOTDATA(" Total # Prof Old",'OLD Counts Pivot Table'!$A$3,"State","AR","Category2","Technical Institutes")</f>
        <v>0</v>
      </c>
    </row>
    <row r="123" spans="1:38">
      <c r="A123" s="30"/>
      <c r="B123" s="38" t="s">
        <v>333</v>
      </c>
      <c r="C123" s="32">
        <f t="shared" si="48"/>
        <v>0.25976768743400214</v>
      </c>
      <c r="D123" s="34">
        <f t="shared" si="48"/>
        <v>0</v>
      </c>
      <c r="E123" s="34">
        <f t="shared" si="48"/>
        <v>0.26865671641791045</v>
      </c>
      <c r="F123" s="34">
        <f t="shared" si="48"/>
        <v>0</v>
      </c>
      <c r="G123" s="34">
        <f t="shared" si="48"/>
        <v>0.24315068493150685</v>
      </c>
      <c r="H123" s="68">
        <f t="shared" si="48"/>
        <v>0.26315789473684209</v>
      </c>
      <c r="I123" s="32">
        <f t="shared" si="48"/>
        <v>0.26031606672519753</v>
      </c>
      <c r="J123" s="32">
        <f t="shared" si="48"/>
        <v>0.12598425196850394</v>
      </c>
      <c r="K123" s="34">
        <f t="shared" si="48"/>
        <v>0</v>
      </c>
      <c r="L123" s="34">
        <f t="shared" si="48"/>
        <v>0</v>
      </c>
      <c r="M123" s="34">
        <f t="shared" ref="M123:M128" si="50">IF(AD$128&gt;0,(AD123/AD$128),0)</f>
        <v>0.14074074074074075</v>
      </c>
      <c r="N123" s="32">
        <f t="shared" si="49"/>
        <v>0.13721804511278196</v>
      </c>
      <c r="O123" s="32">
        <f t="shared" si="49"/>
        <v>0</v>
      </c>
      <c r="P123" s="34">
        <f t="shared" si="49"/>
        <v>0</v>
      </c>
      <c r="Q123" s="68">
        <f t="shared" si="49"/>
        <v>0</v>
      </c>
      <c r="R123" s="32">
        <f t="shared" si="49"/>
        <v>0</v>
      </c>
      <c r="S123" s="87"/>
      <c r="T123" s="108">
        <f>+GETPIVOTDATA(" Tot # Asc. Prof Old",'OLD Counts Pivot Table'!$A$3,"State","WV","Category",1,"Category2","Four-Year")</f>
        <v>246</v>
      </c>
      <c r="U123" s="109">
        <f>+GETPIVOTDATA(" Tot # Asc. Prof Old",'OLD Counts Pivot Table'!$A$3,"State","WV","Category",2,"Category2","Four-Year")</f>
        <v>0</v>
      </c>
      <c r="V123" s="109">
        <f>+GETPIVOTDATA(" Tot # Asc. Prof Old",'OLD Counts Pivot Table'!$A$3,"State","WV","Category",3,"Category2","Four-Year")</f>
        <v>126</v>
      </c>
      <c r="W123" s="109">
        <f>+GETPIVOTDATA(" Tot # Asc. Prof Old",'OLD Counts Pivot Table'!$A$3,"State","WV","Category",4,"Category2","Four-Year")</f>
        <v>0</v>
      </c>
      <c r="X123" s="109">
        <f>+GETPIVOTDATA(" Tot # Asc. Prof Old",'OLD Counts Pivot Table'!$A$3,"State","WV","Category",5,"Category2","Four-Year")</f>
        <v>71</v>
      </c>
      <c r="Y123" s="109">
        <f>+GETPIVOTDATA(" Tot # Asc. Prof Old",'OLD Counts Pivot Table'!$A$3,"State","WV","Category",6,"Category2","Four-Year")</f>
        <v>150</v>
      </c>
      <c r="Z123" s="111">
        <f>+GETPIVOTDATA(" Tot # Asc. Prof Old",'OLD Counts Pivot Table'!$A$3,"State","WV","Category2","Four-Year")</f>
        <v>593</v>
      </c>
      <c r="AA123" s="108">
        <f>+GETPIVOTDATA(" Tot # Asc. Prof Old",'OLD Counts Pivot Table'!$A$3,"State","WV","Category",7,"Category2","Group2")</f>
        <v>16</v>
      </c>
      <c r="AB123" s="109">
        <f>+GETPIVOTDATA(" Tot # Asc. Prof Old",'OLD Counts Pivot Table'!$A$3,"State","WV","Category",8,"Category2","Group2")</f>
        <v>0</v>
      </c>
      <c r="AC123" s="109">
        <f>+GETPIVOTDATA(" Tot # Asc. Prof Old",'OLD Counts Pivot Table'!$A$3,"State","WV","Category",9,"Category2","Group2")</f>
        <v>0</v>
      </c>
      <c r="AD123" s="109">
        <f>+GETPIVOTDATA(" Tot # Asc. Prof Old",'OLD Counts Pivot Table'!$A$3,"State","WV","Category",10,"Category2","Group2")</f>
        <v>57</v>
      </c>
      <c r="AE123" s="109">
        <f>+GETPIVOTDATA(" Tot # Asc. Prof Old",'OLD Counts Pivot Table'!$A$3,"State","WV","Category","11","Category2","Group2")</f>
        <v>0</v>
      </c>
      <c r="AF123" s="111">
        <f>+GETPIVOTDATA(" Tot # Asc. Prof Old",'OLD Counts Pivot Table'!$A$3,"State","WV","Category2","Group2")</f>
        <v>73</v>
      </c>
      <c r="AG123" s="108">
        <f>+GETPIVOTDATA(" Tot # Asc. Prof Old",'OLD Counts Pivot Table'!$A$3,"State","WV","Category",12,"Category2","Technical Institutes")</f>
        <v>0</v>
      </c>
      <c r="AH123" s="109">
        <f>+GETPIVOTDATA(" Tot # Asc. Prof Old",'OLD Counts Pivot Table'!$A$3,"State","WV","Category",13,"Category2","Technical Institutes")</f>
        <v>0</v>
      </c>
      <c r="AI123" s="110">
        <f>+GETPIVOTDATA(" Tot # Asc. Prof Old",'OLD Counts Pivot Table'!$A$3,"State","WV","Category",14,"Category2","Technical Institutes")</f>
        <v>0</v>
      </c>
      <c r="AJ123" s="108">
        <f>+GETPIVOTDATA(" Tot # Asc. Prof Old",'OLD Counts Pivot Table'!$A$3,"State","AR","Category2","Technical Institutes")</f>
        <v>0</v>
      </c>
    </row>
    <row r="124" spans="1:38">
      <c r="A124" s="30"/>
      <c r="B124" s="38" t="s">
        <v>334</v>
      </c>
      <c r="C124" s="32">
        <f t="shared" si="48"/>
        <v>0.36325237592397042</v>
      </c>
      <c r="D124" s="34">
        <f t="shared" si="48"/>
        <v>0</v>
      </c>
      <c r="E124" s="34">
        <f t="shared" si="48"/>
        <v>0.2537313432835821</v>
      </c>
      <c r="F124" s="34">
        <f t="shared" si="48"/>
        <v>0</v>
      </c>
      <c r="G124" s="34">
        <f t="shared" si="48"/>
        <v>0.38356164383561642</v>
      </c>
      <c r="H124" s="68">
        <f t="shared" si="48"/>
        <v>0.35263157894736841</v>
      </c>
      <c r="I124" s="32">
        <f t="shared" si="48"/>
        <v>0.34064969271290607</v>
      </c>
      <c r="J124" s="32">
        <f t="shared" si="48"/>
        <v>0.17322834645669291</v>
      </c>
      <c r="K124" s="34">
        <f t="shared" si="48"/>
        <v>0</v>
      </c>
      <c r="L124" s="34">
        <f t="shared" si="48"/>
        <v>0</v>
      </c>
      <c r="M124" s="34">
        <f t="shared" si="50"/>
        <v>0.2617283950617284</v>
      </c>
      <c r="N124" s="32">
        <f t="shared" si="49"/>
        <v>0.24060150375939848</v>
      </c>
      <c r="O124" s="32">
        <f t="shared" si="49"/>
        <v>0</v>
      </c>
      <c r="P124" s="34">
        <f t="shared" si="49"/>
        <v>0</v>
      </c>
      <c r="Q124" s="68">
        <f t="shared" si="49"/>
        <v>0</v>
      </c>
      <c r="R124" s="32">
        <f t="shared" si="49"/>
        <v>0</v>
      </c>
      <c r="S124" s="87"/>
      <c r="T124" s="108">
        <f>+GETPIVOTDATA(" Tot # Ast. Prof Old",'OLD Counts Pivot Table'!$A$3,"State","WV","Category",1,"Category2","Four-Year")</f>
        <v>344</v>
      </c>
      <c r="U124" s="109">
        <f>+GETPIVOTDATA(" Tot # Ast. Prof Old",'OLD Counts Pivot Table'!$A$3,"State","WV","Category",2,"Category2","Four-Year")</f>
        <v>0</v>
      </c>
      <c r="V124" s="109">
        <f>+GETPIVOTDATA(" Tot # Ast. Prof Old",'OLD Counts Pivot Table'!$A$3,"State","WV","Category",3,"Category2","Four-Year")</f>
        <v>119</v>
      </c>
      <c r="W124" s="109">
        <f>+GETPIVOTDATA(" Tot # Ast. Prof Old",'OLD Counts Pivot Table'!$A$3,"State","WV","Category",4,"Category2","Four-Year")</f>
        <v>0</v>
      </c>
      <c r="X124" s="109">
        <f>+GETPIVOTDATA(" Tot # Ast. Prof Old",'OLD Counts Pivot Table'!$A$3,"State","WV","Category",5,"Category2","Four-Year")</f>
        <v>112</v>
      </c>
      <c r="Y124" s="109">
        <f>+GETPIVOTDATA(" Tot # Ast. Prof Old",'OLD Counts Pivot Table'!$A$3,"State","WV","Category",6,"Category2","Four-Year")</f>
        <v>201</v>
      </c>
      <c r="Z124" s="111">
        <f>+GETPIVOTDATA(" Tot # Ast. Prof Old",'OLD Counts Pivot Table'!$A$3,"State","WV","Category2","Four-Year")</f>
        <v>776</v>
      </c>
      <c r="AA124" s="108">
        <f>+GETPIVOTDATA(" Tot # Ast. Prof Old",'OLD Counts Pivot Table'!$A$3,"State","WV","Category",7,"Category2","Group2")</f>
        <v>22</v>
      </c>
      <c r="AB124" s="109">
        <f>+GETPIVOTDATA(" Tot # Ast. Prof Old",'OLD Counts Pivot Table'!$A$3,"State","WV","Category",8,"Category2","Group2")</f>
        <v>0</v>
      </c>
      <c r="AC124" s="109">
        <f>+GETPIVOTDATA(" Tot # Ast. Prof Old",'OLD Counts Pivot Table'!$A$3,"State","WV","Category",9,"Category2","Group2")</f>
        <v>0</v>
      </c>
      <c r="AD124" s="109">
        <f>+GETPIVOTDATA(" Tot # Ast. Prof Old",'OLD Counts Pivot Table'!$A$3,"State","WV","Category",10,"Category2","Group2")</f>
        <v>106</v>
      </c>
      <c r="AE124" s="109">
        <f>+GETPIVOTDATA(" Tot # Ast. Prof Old",'OLD Counts Pivot Table'!$A$3,"State","WV","Category","11","Category2","Group2")</f>
        <v>0</v>
      </c>
      <c r="AF124" s="111">
        <f>+GETPIVOTDATA(" Tot # Ast. Prof Old",'OLD Counts Pivot Table'!$A$3,"State","WV","Category2","Group2")</f>
        <v>128</v>
      </c>
      <c r="AG124" s="108">
        <f>+GETPIVOTDATA(" Tot # Ast. Prof Old",'OLD Counts Pivot Table'!$A$3,"State","WV","Category",12,"Category2","Technical Institutes")</f>
        <v>0</v>
      </c>
      <c r="AH124" s="109">
        <f>+GETPIVOTDATA(" Tot # Ast. Prof Old",'OLD Counts Pivot Table'!$A$3,"State","WV","Category",13,"Category2","Technical Institutes")</f>
        <v>0</v>
      </c>
      <c r="AI124" s="110">
        <f>+GETPIVOTDATA(" Tot # Ast. Prof Old",'OLD Counts Pivot Table'!$A$3,"State","WV","Category",14,"Category2","Technical Institutes")</f>
        <v>0</v>
      </c>
      <c r="AJ124" s="108">
        <f>+GETPIVOTDATA(" Tot # Ast. Prof Old",'OLD Counts Pivot Table'!$A$3,"State","AR","Category2","Technical Institutes")</f>
        <v>0</v>
      </c>
    </row>
    <row r="125" spans="1:38">
      <c r="A125" s="30"/>
      <c r="B125" s="38" t="s">
        <v>335</v>
      </c>
      <c r="C125" s="32">
        <f t="shared" si="48"/>
        <v>5.1742344244984161E-2</v>
      </c>
      <c r="D125" s="34">
        <f t="shared" si="48"/>
        <v>0</v>
      </c>
      <c r="E125" s="34">
        <f t="shared" si="48"/>
        <v>5.9701492537313432E-2</v>
      </c>
      <c r="F125" s="34">
        <f t="shared" si="48"/>
        <v>0</v>
      </c>
      <c r="G125" s="34">
        <f t="shared" si="48"/>
        <v>4.7945205479452052E-2</v>
      </c>
      <c r="H125" s="68">
        <f t="shared" si="48"/>
        <v>0.14385964912280702</v>
      </c>
      <c r="I125" s="32">
        <f t="shared" si="48"/>
        <v>7.5943810359964878E-2</v>
      </c>
      <c r="J125" s="32">
        <f t="shared" si="48"/>
        <v>0.3543307086614173</v>
      </c>
      <c r="K125" s="34">
        <f t="shared" si="48"/>
        <v>0</v>
      </c>
      <c r="L125" s="34">
        <f t="shared" si="48"/>
        <v>0</v>
      </c>
      <c r="M125" s="34">
        <f t="shared" si="50"/>
        <v>0.32345679012345679</v>
      </c>
      <c r="N125" s="32">
        <f t="shared" si="49"/>
        <v>0.33082706766917291</v>
      </c>
      <c r="O125" s="32">
        <f t="shared" si="49"/>
        <v>0</v>
      </c>
      <c r="P125" s="34">
        <f t="shared" si="49"/>
        <v>0</v>
      </c>
      <c r="Q125" s="68">
        <f t="shared" si="49"/>
        <v>0</v>
      </c>
      <c r="R125" s="32">
        <f t="shared" si="49"/>
        <v>0</v>
      </c>
      <c r="S125" s="87"/>
      <c r="T125" s="108">
        <f>+GETPIVOTDATA(" Tot # Instr. Old",'OLD Counts Pivot Table'!$A$3,"State","WV","Category",1,"Category2","Four-Year")</f>
        <v>49</v>
      </c>
      <c r="U125" s="109">
        <f>+GETPIVOTDATA(" Tot # Instr. Old",'OLD Counts Pivot Table'!$A$3,"State","WV","Category",2,"Category2","Four-Year")</f>
        <v>0</v>
      </c>
      <c r="V125" s="109">
        <f>+GETPIVOTDATA(" Tot # Instr. Old",'OLD Counts Pivot Table'!$A$3,"State","WV","Category",3,"Category2","Four-Year")</f>
        <v>28</v>
      </c>
      <c r="W125" s="109">
        <f>+GETPIVOTDATA(" Tot # Instr. Old",'OLD Counts Pivot Table'!$A$3,"State","WV","Category",4,"Category2","Four-Year")</f>
        <v>0</v>
      </c>
      <c r="X125" s="109">
        <f>+GETPIVOTDATA(" Tot # Instr. Old",'OLD Counts Pivot Table'!$A$3,"State","WV","Category",5,"Category2","Four-Year")</f>
        <v>14</v>
      </c>
      <c r="Y125" s="109">
        <f>+GETPIVOTDATA(" Tot # Instr. Old",'OLD Counts Pivot Table'!$A$3,"State","WV","Category",6,"Category2","Four-Year")</f>
        <v>82</v>
      </c>
      <c r="Z125" s="111">
        <f>+GETPIVOTDATA(" Tot # Instr. Old",'OLD Counts Pivot Table'!$A$3,"State","WV","Category2","Four-Year")</f>
        <v>173</v>
      </c>
      <c r="AA125" s="108">
        <f>+GETPIVOTDATA(" Tot # Instr. Old",'OLD Counts Pivot Table'!$A$3,"State","WV","Category",7,"Category2","Group2")</f>
        <v>45</v>
      </c>
      <c r="AB125" s="109">
        <f>+GETPIVOTDATA(" Tot # Instr. Old",'OLD Counts Pivot Table'!$A$3,"State","WV","Category",8,"Category2","Group2")</f>
        <v>0</v>
      </c>
      <c r="AC125" s="109">
        <f>+GETPIVOTDATA(" Tot # Instr. Old",'OLD Counts Pivot Table'!$A$3,"State","WV","Category",9,"Category2","Group2")</f>
        <v>0</v>
      </c>
      <c r="AD125" s="109">
        <f>+GETPIVOTDATA(" Tot # Instr. Old",'OLD Counts Pivot Table'!$A$3,"State","WV","Category",10,"Category2","Group2")</f>
        <v>131</v>
      </c>
      <c r="AE125" s="109">
        <f>+GETPIVOTDATA(" Tot # Instr. Old",'OLD Counts Pivot Table'!$A$3,"State","WV","Category","11","Category2","Group2")</f>
        <v>0</v>
      </c>
      <c r="AF125" s="111">
        <f>+GETPIVOTDATA(" Tot # Instr. Old",'OLD Counts Pivot Table'!$A$3,"State","WV","Category2","Group2")</f>
        <v>176</v>
      </c>
      <c r="AG125" s="108">
        <f>+GETPIVOTDATA(" Tot # Instr. Old",'OLD Counts Pivot Table'!$A$3,"State","WV","Category",12,"Category2","Technical Institutes")</f>
        <v>0</v>
      </c>
      <c r="AH125" s="109">
        <f>+GETPIVOTDATA(" Tot # Instr. Old",'OLD Counts Pivot Table'!$A$3,"State","WV","Category",13,"Category2","Technical Institutes")</f>
        <v>0</v>
      </c>
      <c r="AI125" s="110">
        <f>+GETPIVOTDATA(" Tot # Instr. Old",'OLD Counts Pivot Table'!$A$3,"State","WV","Category",14,"Category2","Technical Institutes")</f>
        <v>0</v>
      </c>
      <c r="AJ125" s="108">
        <f>+GETPIVOTDATA(" Tot # Instr. Old",'OLD Counts Pivot Table'!$A$3,"State","AR","Category2","Technical Institutes")</f>
        <v>0</v>
      </c>
    </row>
    <row r="126" spans="1:38">
      <c r="A126" s="30"/>
      <c r="B126" s="38" t="s">
        <v>315</v>
      </c>
      <c r="C126" s="32">
        <f t="shared" si="48"/>
        <v>2.0063357972544878E-2</v>
      </c>
      <c r="D126" s="34">
        <f t="shared" si="48"/>
        <v>0</v>
      </c>
      <c r="E126" s="34">
        <f t="shared" si="48"/>
        <v>0</v>
      </c>
      <c r="F126" s="34">
        <f t="shared" si="48"/>
        <v>0</v>
      </c>
      <c r="G126" s="34">
        <f t="shared" si="48"/>
        <v>4.7945205479452052E-2</v>
      </c>
      <c r="H126" s="68">
        <f t="shared" si="48"/>
        <v>2.2807017543859651E-2</v>
      </c>
      <c r="I126" s="32">
        <f t="shared" si="48"/>
        <v>2.0193151887620719E-2</v>
      </c>
      <c r="J126" s="32">
        <f t="shared" si="48"/>
        <v>7.874015748031496E-3</v>
      </c>
      <c r="K126" s="34">
        <f t="shared" si="48"/>
        <v>0</v>
      </c>
      <c r="L126" s="34">
        <f t="shared" si="48"/>
        <v>0</v>
      </c>
      <c r="M126" s="34">
        <f t="shared" si="50"/>
        <v>7.9012345679012344E-2</v>
      </c>
      <c r="N126" s="32">
        <f t="shared" si="49"/>
        <v>6.2030075187969921E-2</v>
      </c>
      <c r="O126" s="32">
        <f t="shared" si="49"/>
        <v>0</v>
      </c>
      <c r="P126" s="34">
        <f t="shared" si="49"/>
        <v>0</v>
      </c>
      <c r="Q126" s="68">
        <f t="shared" si="49"/>
        <v>0</v>
      </c>
      <c r="R126" s="32">
        <f t="shared" si="49"/>
        <v>0</v>
      </c>
      <c r="S126" s="87"/>
      <c r="T126" s="108">
        <f>++GETPIVOTDATA(" Tot # Undes. Old",'OLD Counts Pivot Table'!$A$3,"State","WV","Category",1,"Category2","Four-Year")</f>
        <v>19</v>
      </c>
      <c r="U126" s="109">
        <f>+GETPIVOTDATA(" Tot # Undes. Old",'OLD Counts Pivot Table'!$A$3,"State","WV","Category",2,"Category2","Four-Year")</f>
        <v>0</v>
      </c>
      <c r="V126" s="109">
        <f>+GETPIVOTDATA(" Tot # Undes. Old",'OLD Counts Pivot Table'!$A$3,"State","WV","Category",3,"Category2","Four-Year")</f>
        <v>0</v>
      </c>
      <c r="W126" s="109">
        <f>+GETPIVOTDATA(" Tot # Undes. Old",'OLD Counts Pivot Table'!$A$3,"State","WV","Category",4,"Category2","Four-Year")</f>
        <v>0</v>
      </c>
      <c r="X126" s="109">
        <f>+GETPIVOTDATA(" Tot # Undes. Old",'OLD Counts Pivot Table'!$A$3,"State","WV","Category",5,"Category2","Four-Year")</f>
        <v>14</v>
      </c>
      <c r="Y126" s="109">
        <f>+GETPIVOTDATA(" Tot # Undes. Old",'OLD Counts Pivot Table'!$A$3,"State","WV","Category",6,"Category2","Four-Year")</f>
        <v>13</v>
      </c>
      <c r="Z126" s="111">
        <f>+GETPIVOTDATA(" Tot # Undes. Old",'OLD Counts Pivot Table'!$A$3,"State","WV","Category2","Four-Year")</f>
        <v>46</v>
      </c>
      <c r="AA126" s="108">
        <f>+GETPIVOTDATA(" Tot # Undes. Old",'OLD Counts Pivot Table'!$A$3,"State","WV","Category",7,"Category2","Group2")</f>
        <v>1</v>
      </c>
      <c r="AB126" s="109">
        <f>+GETPIVOTDATA(" Tot # Undes. Old",'OLD Counts Pivot Table'!$A$3,"State","WV","Category",8,"Category2","Group2")</f>
        <v>0</v>
      </c>
      <c r="AC126" s="109">
        <f>+GETPIVOTDATA(" Tot # Undes. Old",'OLD Counts Pivot Table'!$A$3,"State","WV","Category",9,"Category2","Group2")</f>
        <v>0</v>
      </c>
      <c r="AD126" s="109">
        <f>+GETPIVOTDATA(" Tot # Undes. Old",'OLD Counts Pivot Table'!$A$3,"State","WV","Category",10,"Category2","Group2")</f>
        <v>32</v>
      </c>
      <c r="AE126" s="109">
        <f>+GETPIVOTDATA(" Tot # Undes. Old",'OLD Counts Pivot Table'!$A$3,"State","WV","Category","11","Category2","Group2")</f>
        <v>0</v>
      </c>
      <c r="AF126" s="111">
        <f>+GETPIVOTDATA(" Tot # Undes. Old",'OLD Counts Pivot Table'!$A$3,"State","WV","Category2","Group2")</f>
        <v>33</v>
      </c>
      <c r="AG126" s="108">
        <f>+GETPIVOTDATA(" Tot # Undes. Old",'OLD Counts Pivot Table'!$A$3,"State","WV","Category",12,"Category2","Technical Institutes")</f>
        <v>0</v>
      </c>
      <c r="AH126" s="109">
        <f>+GETPIVOTDATA(" Tot # Undes. Old",'OLD Counts Pivot Table'!$A$3,"State","WV","Category",13,"Category2","Technical Institutes")</f>
        <v>0</v>
      </c>
      <c r="AI126" s="110">
        <f>+GETPIVOTDATA(" Tot # Undes. Old",'OLD Counts Pivot Table'!$A$3,"State","WV","Category",14,"Category2","Technical Institutes")</f>
        <v>0</v>
      </c>
      <c r="AJ126" s="108">
        <f>+GETPIVOTDATA(" Tot # Undes. Old",'OLD Counts Pivot Table'!$A$3,"State","AR","Category2","Technical Institutes")</f>
        <v>0</v>
      </c>
    </row>
    <row r="127" spans="1:38">
      <c r="A127" s="30"/>
      <c r="B127" s="38" t="s">
        <v>314</v>
      </c>
      <c r="C127" s="32">
        <f t="shared" si="48"/>
        <v>0</v>
      </c>
      <c r="D127" s="34">
        <f t="shared" si="48"/>
        <v>0</v>
      </c>
      <c r="E127" s="185">
        <f t="shared" si="48"/>
        <v>0</v>
      </c>
      <c r="F127" s="34">
        <f t="shared" si="48"/>
        <v>0</v>
      </c>
      <c r="G127" s="185">
        <f t="shared" si="48"/>
        <v>0</v>
      </c>
      <c r="H127" s="68">
        <f t="shared" si="48"/>
        <v>0</v>
      </c>
      <c r="I127" s="184">
        <f t="shared" si="48"/>
        <v>0</v>
      </c>
      <c r="J127" s="32">
        <f t="shared" si="48"/>
        <v>0</v>
      </c>
      <c r="K127" s="34">
        <f t="shared" si="48"/>
        <v>0</v>
      </c>
      <c r="L127" s="34">
        <f t="shared" si="48"/>
        <v>0</v>
      </c>
      <c r="M127" s="34">
        <f t="shared" si="50"/>
        <v>0</v>
      </c>
      <c r="N127" s="32">
        <f t="shared" si="49"/>
        <v>0</v>
      </c>
      <c r="O127" s="32">
        <f t="shared" si="49"/>
        <v>0</v>
      </c>
      <c r="P127" s="34">
        <f t="shared" si="49"/>
        <v>0</v>
      </c>
      <c r="Q127" s="68">
        <f t="shared" si="49"/>
        <v>0</v>
      </c>
      <c r="R127" s="32">
        <f t="shared" si="49"/>
        <v>0</v>
      </c>
      <c r="S127" s="87"/>
      <c r="T127" s="108">
        <f>+GETPIVOTDATA(" Tot # Single Rnk Old",'OLD Counts Pivot Table'!$A$3,"State","WV","Category",1,"Category2","Four-Year")</f>
        <v>0</v>
      </c>
      <c r="U127" s="109">
        <f>+GETPIVOTDATA(" Tot # Single Rnk Old",'OLD Counts Pivot Table'!$A$3,"State","WV","Category",2,"Category2","Four-Year")</f>
        <v>0</v>
      </c>
      <c r="V127" s="109">
        <f>+GETPIVOTDATA(" Tot # Single Rnk Old",'OLD Counts Pivot Table'!$A$3,"State","WV","Category",3,"Category2","Four-Year")</f>
        <v>0</v>
      </c>
      <c r="W127" s="109">
        <f>+GETPIVOTDATA(" Tot # Single Rnk Old",'OLD Counts Pivot Table'!$A$3,"State","WV","Category",4,"Category2","Four-Year")</f>
        <v>0</v>
      </c>
      <c r="X127" s="109">
        <f>+GETPIVOTDATA(" Tot # Single Rnk Old",'OLD Counts Pivot Table'!$A$3,"State","WV","Category",5,"Category2","Four-Year")</f>
        <v>0</v>
      </c>
      <c r="Y127" s="109">
        <f>+GETPIVOTDATA(" Tot # Single Rnk Old",'OLD Counts Pivot Table'!$A$3,"State","WV","Category",6,"Category2","Four-Year")</f>
        <v>0</v>
      </c>
      <c r="Z127" s="111">
        <f>+GETPIVOTDATA(" Tot # Single Rnk Old",'OLD Counts Pivot Table'!$A$3,"State","WV","Category2","Four-Year")</f>
        <v>0</v>
      </c>
      <c r="AA127" s="108">
        <f>+GETPIVOTDATA(" Tot # Single Rnk Old",'OLD Counts Pivot Table'!$A$3,"State","WV","Category",7,"Category2","Group2")</f>
        <v>0</v>
      </c>
      <c r="AB127" s="109">
        <f>+GETPIVOTDATA(" Tot # Single Rnk Old",'OLD Counts Pivot Table'!$A$3,"State","WV","Category",8,"Category2","Group2")</f>
        <v>0</v>
      </c>
      <c r="AC127" s="109">
        <f>+GETPIVOTDATA(" Tot # Single Rnk Old",'OLD Counts Pivot Table'!$A$3,"State","WV","Category",9,"Category2","Group2")</f>
        <v>0</v>
      </c>
      <c r="AD127" s="109">
        <f>+GETPIVOTDATA(" Tot # Single Rnk Old",'OLD Counts Pivot Table'!$A$3,"State","WV","Category",10,"Category2","Group2")</f>
        <v>0</v>
      </c>
      <c r="AE127" s="109">
        <f>+GETPIVOTDATA(" Tot # Single Rnk Old",'OLD Counts Pivot Table'!$A$3,"State","WV","Category","11","Category2","Group2")</f>
        <v>0</v>
      </c>
      <c r="AF127" s="111">
        <f>+GETPIVOTDATA(" Tot # Single Rnk Old",'OLD Counts Pivot Table'!$A$3,"State","WV","Category2","Group2")</f>
        <v>0</v>
      </c>
      <c r="AG127" s="108">
        <f>+GETPIVOTDATA(" Tot # Single Rnk Old",'OLD Counts Pivot Table'!$A$3,"State","WV","Category",12,"Category2","Technical Institutes")</f>
        <v>0</v>
      </c>
      <c r="AH127" s="109">
        <f>+GETPIVOTDATA(" Tot # Single Rnk Old",'OLD Counts Pivot Table'!$A$3,"State","WV","Category",13,"Category2","Technical Institutes")</f>
        <v>0</v>
      </c>
      <c r="AI127" s="110">
        <f>+GETPIVOTDATA(" Tot # Single Rnk Old",'OLD Counts Pivot Table'!$A$3,"State","WV","Category",14,"Category2","Technical Institutes")</f>
        <v>0</v>
      </c>
      <c r="AJ127" s="108">
        <f>+GETPIVOTDATA(" Tot # Single Rnk Old",'OLD Counts Pivot Table'!$A$3,"State","AR","Category2","Technical Institutes")</f>
        <v>0</v>
      </c>
    </row>
    <row r="128" spans="1:38" s="54" customFormat="1">
      <c r="A128" s="191"/>
      <c r="B128" s="192" t="s">
        <v>316</v>
      </c>
      <c r="C128" s="33">
        <f t="shared" si="48"/>
        <v>1</v>
      </c>
      <c r="D128" s="31">
        <f t="shared" si="48"/>
        <v>0</v>
      </c>
      <c r="E128" s="31">
        <f t="shared" si="48"/>
        <v>1</v>
      </c>
      <c r="F128" s="31">
        <f t="shared" si="48"/>
        <v>0</v>
      </c>
      <c r="G128" s="31">
        <f t="shared" si="48"/>
        <v>1</v>
      </c>
      <c r="H128" s="69">
        <f t="shared" si="48"/>
        <v>1</v>
      </c>
      <c r="I128" s="33">
        <f t="shared" si="48"/>
        <v>1</v>
      </c>
      <c r="J128" s="33">
        <f t="shared" si="48"/>
        <v>1</v>
      </c>
      <c r="K128" s="31">
        <f t="shared" si="48"/>
        <v>0</v>
      </c>
      <c r="L128" s="31">
        <f t="shared" si="48"/>
        <v>0</v>
      </c>
      <c r="M128" s="31">
        <f t="shared" si="50"/>
        <v>1</v>
      </c>
      <c r="N128" s="33">
        <f t="shared" si="49"/>
        <v>1</v>
      </c>
      <c r="O128" s="33">
        <f t="shared" si="49"/>
        <v>0</v>
      </c>
      <c r="P128" s="31">
        <f t="shared" si="49"/>
        <v>0</v>
      </c>
      <c r="Q128" s="69">
        <f t="shared" si="49"/>
        <v>0</v>
      </c>
      <c r="R128" s="33">
        <f t="shared" si="49"/>
        <v>0</v>
      </c>
      <c r="S128" s="88"/>
      <c r="T128" s="112">
        <f>+GETPIVOTDATA(" All Ranks # Old",'OLD Counts Pivot Table'!$A$3,"State","WV","Category",1,"Category2","Four-Year")</f>
        <v>947</v>
      </c>
      <c r="U128" s="113">
        <f>+GETPIVOTDATA(" All Ranks # Old",'OLD Counts Pivot Table'!$A$3,"State","WV","Category",2,"Category2","Four-Year")</f>
        <v>0</v>
      </c>
      <c r="V128" s="113">
        <f>+GETPIVOTDATA(" All Ranks # Old",'OLD Counts Pivot Table'!$A$3,"State","WV","Category",3,"Category2","Four-Year")</f>
        <v>469</v>
      </c>
      <c r="W128" s="113">
        <f>+GETPIVOTDATA(" All Ranks # Old",'OLD Counts Pivot Table'!$A$3,"State","WV","Category",4,"Category2","Four-Year")</f>
        <v>0</v>
      </c>
      <c r="X128" s="113">
        <f>+GETPIVOTDATA(" All Ranks # Old",'OLD Counts Pivot Table'!$A$3,"State","WV","Category",5,"Category2","Four-Year")</f>
        <v>292</v>
      </c>
      <c r="Y128" s="113">
        <f>+GETPIVOTDATA(" All Ranks # Old",'OLD Counts Pivot Table'!$A$3,"State","WV","Category",6,"Category2","Four-Year")</f>
        <v>570</v>
      </c>
      <c r="Z128" s="115">
        <f>+GETPIVOTDATA(" All Ranks # Old",'OLD Counts Pivot Table'!$A$3,"State","WV","Category2","Four-Year")</f>
        <v>2278</v>
      </c>
      <c r="AA128" s="112">
        <f>+GETPIVOTDATA(" All Ranks # Old",'OLD Counts Pivot Table'!$A$3,"State","WV","Category",7,"Category2","Group2")</f>
        <v>127</v>
      </c>
      <c r="AB128" s="113">
        <f>+GETPIVOTDATA(" All Ranks # Old",'OLD Counts Pivot Table'!$A$3,"State","WV","Category",8,"Category2","Group2")</f>
        <v>0</v>
      </c>
      <c r="AC128" s="113">
        <f>+GETPIVOTDATA(" All Ranks # Old",'OLD Counts Pivot Table'!$A$3,"State","WV","Category",9,"Category2","Group2")</f>
        <v>0</v>
      </c>
      <c r="AD128" s="113">
        <f>+GETPIVOTDATA(" All Ranks # Old",'OLD Counts Pivot Table'!$A$3,"State","WV","Category",10,"Category2","Group2")</f>
        <v>405</v>
      </c>
      <c r="AE128" s="113">
        <f>+GETPIVOTDATA(" All Ranks # Old",'OLD Counts Pivot Table'!$A$3,"State","WV","Category","11","Category2","Group2")</f>
        <v>0</v>
      </c>
      <c r="AF128" s="115">
        <f>+GETPIVOTDATA(" All Ranks # Old",'OLD Counts Pivot Table'!$A$3,"State","WV","Category2","Group2")</f>
        <v>532</v>
      </c>
      <c r="AG128" s="112">
        <f>+GETPIVOTDATA(" All Ranks # Old",'OLD Counts Pivot Table'!$A$3,"State","WV","Category",12,"Category2","Technical Institutes")</f>
        <v>0</v>
      </c>
      <c r="AH128" s="113">
        <f>+GETPIVOTDATA(" All Ranks # Old",'OLD Counts Pivot Table'!$A$3,"State","WV","Category",13,"Category2","Technical Institutes")</f>
        <v>0</v>
      </c>
      <c r="AI128" s="114">
        <f>+GETPIVOTDATA(" All Ranks # Old",'OLD Counts Pivot Table'!$A$3,"State","WV","Category",14,"Category2","Technical Institutes")</f>
        <v>0</v>
      </c>
      <c r="AJ128" s="112">
        <f>+GETPIVOTDATA(" All Ranks # Old",'OLD Counts Pivot Table'!$A$3,"State","AR","Category2","Technical Institutes")</f>
        <v>0</v>
      </c>
      <c r="AK128" s="116"/>
      <c r="AL128" s="116"/>
    </row>
    <row r="129" spans="18:18">
      <c r="R129" s="664" t="s">
        <v>1166</v>
      </c>
    </row>
  </sheetData>
  <printOptions horizontalCentered="1"/>
  <pageMargins left="0.5" right="0.5" top="1" bottom="0.75" header="0.75" footer="0.5"/>
  <pageSetup firstPageNumber="163" orientation="landscape" useFirstPageNumber="1" r:id="rId1"/>
  <headerFooter alignWithMargins="0">
    <oddHeader>&amp;R&amp;"Arial,Regular"&amp;8SREB-State Data Exchange</oddHeader>
    <oddFooter>&amp;C&amp;"Arial,Regular"&amp;10C-&amp;P</oddFooter>
  </headerFooter>
  <rowBreaks count="5" manualBreakCount="5">
    <brk id="30" max="18" man="1"/>
    <brk id="51" max="18" man="1"/>
    <brk id="72" max="18" man="1"/>
    <brk id="93" max="18" man="1"/>
    <brk id="114" max="18" man="1"/>
  </rowBreaks>
</worksheet>
</file>

<file path=xl/worksheets/sheet7.xml><?xml version="1.0" encoding="utf-8"?>
<worksheet xmlns="http://schemas.openxmlformats.org/spreadsheetml/2006/main" xmlns:r="http://schemas.openxmlformats.org/officeDocument/2006/relationships">
  <dimension ref="A1:C49"/>
  <sheetViews>
    <sheetView workbookViewId="0"/>
  </sheetViews>
  <sheetFormatPr defaultRowHeight="15.75"/>
  <cols>
    <col min="1" max="1" width="14.375" bestFit="1" customWidth="1"/>
    <col min="2" max="2" width="20.375" bestFit="1" customWidth="1"/>
    <col min="3" max="3" width="147.5" bestFit="1" customWidth="1"/>
  </cols>
  <sheetData>
    <row r="1" spans="1:3" ht="16.5">
      <c r="A1" s="258" t="s">
        <v>816</v>
      </c>
    </row>
    <row r="2" spans="1:3">
      <c r="A2" s="259" t="s">
        <v>817</v>
      </c>
      <c r="B2" s="259" t="s">
        <v>818</v>
      </c>
      <c r="C2" s="259" t="s">
        <v>819</v>
      </c>
    </row>
    <row r="3" spans="1:3">
      <c r="A3">
        <v>1</v>
      </c>
      <c r="B3" t="s">
        <v>822</v>
      </c>
      <c r="C3" t="s">
        <v>823</v>
      </c>
    </row>
    <row r="4" spans="1:3">
      <c r="A4">
        <v>2</v>
      </c>
      <c r="B4" t="s">
        <v>824</v>
      </c>
      <c r="C4" t="s">
        <v>825</v>
      </c>
    </row>
    <row r="5" spans="1:3">
      <c r="A5">
        <v>3</v>
      </c>
      <c r="B5" t="s">
        <v>826</v>
      </c>
      <c r="C5" t="s">
        <v>827</v>
      </c>
    </row>
    <row r="6" spans="1:3">
      <c r="A6">
        <v>4</v>
      </c>
      <c r="B6" t="s">
        <v>828</v>
      </c>
      <c r="C6" t="s">
        <v>829</v>
      </c>
    </row>
    <row r="7" spans="1:3">
      <c r="A7">
        <v>5</v>
      </c>
      <c r="B7" t="s">
        <v>830</v>
      </c>
      <c r="C7" t="s">
        <v>831</v>
      </c>
    </row>
    <row r="8" spans="1:3">
      <c r="A8">
        <v>6</v>
      </c>
      <c r="B8" t="s">
        <v>832</v>
      </c>
      <c r="C8" t="s">
        <v>833</v>
      </c>
    </row>
    <row r="9" spans="1:3">
      <c r="A9">
        <v>7</v>
      </c>
      <c r="B9" t="s">
        <v>834</v>
      </c>
      <c r="C9" t="s">
        <v>835</v>
      </c>
    </row>
    <row r="10" spans="1:3">
      <c r="A10">
        <v>8</v>
      </c>
      <c r="B10" t="s">
        <v>836</v>
      </c>
      <c r="C10" t="s">
        <v>837</v>
      </c>
    </row>
    <row r="11" spans="1:3">
      <c r="A11">
        <v>9</v>
      </c>
      <c r="B11" t="s">
        <v>838</v>
      </c>
      <c r="C11" t="s">
        <v>839</v>
      </c>
    </row>
    <row r="12" spans="1:3">
      <c r="A12">
        <v>10</v>
      </c>
      <c r="B12" t="s">
        <v>840</v>
      </c>
      <c r="C12" t="s">
        <v>841</v>
      </c>
    </row>
    <row r="13" spans="1:3">
      <c r="A13">
        <v>11</v>
      </c>
      <c r="B13" t="s">
        <v>842</v>
      </c>
      <c r="C13" t="s">
        <v>843</v>
      </c>
    </row>
    <row r="14" spans="1:3">
      <c r="A14">
        <v>12</v>
      </c>
      <c r="B14" t="s">
        <v>844</v>
      </c>
      <c r="C14" t="s">
        <v>845</v>
      </c>
    </row>
    <row r="15" spans="1:3">
      <c r="A15">
        <v>13</v>
      </c>
      <c r="B15" t="s">
        <v>846</v>
      </c>
      <c r="C15" t="s">
        <v>847</v>
      </c>
    </row>
    <row r="16" spans="1:3">
      <c r="A16">
        <v>14</v>
      </c>
      <c r="B16" t="s">
        <v>848</v>
      </c>
      <c r="C16" t="s">
        <v>849</v>
      </c>
    </row>
    <row r="17" spans="1:3">
      <c r="A17">
        <v>15</v>
      </c>
      <c r="B17" t="s">
        <v>850</v>
      </c>
      <c r="C17" t="s">
        <v>851</v>
      </c>
    </row>
    <row r="18" spans="1:3">
      <c r="A18">
        <v>16</v>
      </c>
      <c r="B18" t="s">
        <v>852</v>
      </c>
      <c r="C18" t="s">
        <v>853</v>
      </c>
    </row>
    <row r="19" spans="1:3">
      <c r="A19">
        <v>17</v>
      </c>
      <c r="B19" t="s">
        <v>854</v>
      </c>
      <c r="C19" t="s">
        <v>855</v>
      </c>
    </row>
    <row r="20" spans="1:3">
      <c r="A20">
        <v>18</v>
      </c>
      <c r="B20" t="s">
        <v>856</v>
      </c>
      <c r="C20" t="s">
        <v>857</v>
      </c>
    </row>
    <row r="21" spans="1:3">
      <c r="A21">
        <v>19</v>
      </c>
      <c r="B21" t="s">
        <v>858</v>
      </c>
      <c r="C21" t="s">
        <v>859</v>
      </c>
    </row>
    <row r="22" spans="1:3">
      <c r="A22">
        <v>20</v>
      </c>
      <c r="B22" t="s">
        <v>860</v>
      </c>
      <c r="C22" t="s">
        <v>861</v>
      </c>
    </row>
    <row r="23" spans="1:3">
      <c r="A23">
        <v>21</v>
      </c>
      <c r="B23" t="s">
        <v>862</v>
      </c>
      <c r="C23" t="s">
        <v>863</v>
      </c>
    </row>
    <row r="24" spans="1:3">
      <c r="A24">
        <v>22</v>
      </c>
      <c r="B24" t="s">
        <v>864</v>
      </c>
      <c r="C24" t="s">
        <v>865</v>
      </c>
    </row>
    <row r="25" spans="1:3">
      <c r="A25">
        <v>23</v>
      </c>
      <c r="B25" t="s">
        <v>866</v>
      </c>
      <c r="C25" t="s">
        <v>867</v>
      </c>
    </row>
    <row r="26" spans="1:3">
      <c r="A26">
        <v>24</v>
      </c>
      <c r="B26" t="s">
        <v>868</v>
      </c>
      <c r="C26" t="s">
        <v>869</v>
      </c>
    </row>
    <row r="27" spans="1:3">
      <c r="A27">
        <v>25</v>
      </c>
      <c r="B27" t="s">
        <v>870</v>
      </c>
      <c r="C27" t="s">
        <v>871</v>
      </c>
    </row>
    <row r="28" spans="1:3">
      <c r="A28">
        <v>26</v>
      </c>
      <c r="B28" t="s">
        <v>872</v>
      </c>
      <c r="C28" t="s">
        <v>873</v>
      </c>
    </row>
    <row r="29" spans="1:3">
      <c r="A29">
        <v>27</v>
      </c>
      <c r="B29" t="s">
        <v>874</v>
      </c>
      <c r="C29" t="s">
        <v>875</v>
      </c>
    </row>
    <row r="30" spans="1:3">
      <c r="A30">
        <v>28</v>
      </c>
      <c r="B30" t="s">
        <v>876</v>
      </c>
      <c r="C30" t="s">
        <v>877</v>
      </c>
    </row>
    <row r="31" spans="1:3">
      <c r="A31">
        <v>29</v>
      </c>
      <c r="B31" t="s">
        <v>878</v>
      </c>
      <c r="C31" t="s">
        <v>879</v>
      </c>
    </row>
    <row r="32" spans="1:3">
      <c r="A32">
        <v>30</v>
      </c>
      <c r="B32" t="s">
        <v>880</v>
      </c>
      <c r="C32" t="s">
        <v>881</v>
      </c>
    </row>
    <row r="33" spans="1:3">
      <c r="A33">
        <v>31</v>
      </c>
      <c r="B33" t="s">
        <v>882</v>
      </c>
      <c r="C33" t="s">
        <v>883</v>
      </c>
    </row>
    <row r="34" spans="1:3">
      <c r="A34">
        <v>32</v>
      </c>
      <c r="B34" t="s">
        <v>884</v>
      </c>
      <c r="C34" t="s">
        <v>885</v>
      </c>
    </row>
    <row r="35" spans="1:3">
      <c r="A35">
        <v>33</v>
      </c>
      <c r="B35" t="s">
        <v>886</v>
      </c>
      <c r="C35" t="s">
        <v>887</v>
      </c>
    </row>
    <row r="36" spans="1:3">
      <c r="A36">
        <v>34</v>
      </c>
      <c r="B36" t="s">
        <v>888</v>
      </c>
      <c r="C36" t="s">
        <v>889</v>
      </c>
    </row>
    <row r="37" spans="1:3">
      <c r="A37">
        <v>35</v>
      </c>
      <c r="B37" t="s">
        <v>890</v>
      </c>
      <c r="C37" t="s">
        <v>891</v>
      </c>
    </row>
    <row r="38" spans="1:3">
      <c r="A38">
        <v>36</v>
      </c>
      <c r="B38" t="s">
        <v>892</v>
      </c>
      <c r="C38" t="s">
        <v>893</v>
      </c>
    </row>
    <row r="39" spans="1:3">
      <c r="A39">
        <v>37</v>
      </c>
      <c r="B39" t="s">
        <v>894</v>
      </c>
      <c r="C39" t="s">
        <v>895</v>
      </c>
    </row>
    <row r="41" spans="1:3" ht="16.5">
      <c r="A41" s="258" t="s">
        <v>820</v>
      </c>
    </row>
    <row r="42" spans="1:3">
      <c r="A42" s="259" t="s">
        <v>817</v>
      </c>
      <c r="B42" s="259" t="s">
        <v>821</v>
      </c>
      <c r="C42" s="259" t="s">
        <v>819</v>
      </c>
    </row>
    <row r="45" spans="1:3" ht="16.5">
      <c r="A45" s="258" t="s">
        <v>896</v>
      </c>
      <c r="B45" t="s">
        <v>897</v>
      </c>
    </row>
    <row r="46" spans="1:3">
      <c r="B46" t="s">
        <v>898</v>
      </c>
    </row>
    <row r="48" spans="1:3">
      <c r="B48" t="s">
        <v>899</v>
      </c>
    </row>
    <row r="49" spans="2:2">
      <c r="B49" t="s">
        <v>900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5" enableFormatConditionsCalculation="0">
    <tabColor indexed="17"/>
  </sheetPr>
  <dimension ref="A1:X363"/>
  <sheetViews>
    <sheetView showGridLines="0" showZeros="0" zoomScale="90" zoomScaleNormal="90" zoomScaleSheetLayoutView="80" workbookViewId="0">
      <pane xSplit="2" ySplit="5" topLeftCell="C69" activePane="bottomRight" state="frozen"/>
      <selection pane="topRight" activeCell="C1" sqref="C1"/>
      <selection pane="bottomLeft" activeCell="A6" sqref="A6"/>
      <selection pane="bottomRight" sqref="A1:XFD1048576"/>
    </sheetView>
  </sheetViews>
  <sheetFormatPr defaultColWidth="8.625" defaultRowHeight="12.75"/>
  <cols>
    <col min="1" max="1" width="8.625" style="587"/>
    <col min="2" max="2" width="24" style="587" customWidth="1"/>
    <col min="3" max="22" width="8.625" style="587"/>
    <col min="23" max="24" width="8.625" style="186"/>
    <col min="25" max="16384" width="8.625" style="587"/>
  </cols>
  <sheetData>
    <row r="1" spans="1:24">
      <c r="A1" s="586"/>
    </row>
    <row r="2" spans="1:24">
      <c r="A2" s="588"/>
    </row>
    <row r="3" spans="1:24">
      <c r="A3" s="589"/>
      <c r="B3" s="590"/>
      <c r="C3" s="589" t="s">
        <v>288</v>
      </c>
      <c r="D3" s="590" t="s">
        <v>327</v>
      </c>
      <c r="E3" s="590"/>
      <c r="F3" s="590"/>
      <c r="G3" s="590"/>
      <c r="H3" s="590"/>
      <c r="I3" s="590"/>
      <c r="J3" s="590"/>
      <c r="K3" s="590"/>
      <c r="L3" s="590"/>
      <c r="M3" s="590"/>
      <c r="N3" s="590"/>
      <c r="O3" s="590"/>
      <c r="P3" s="590"/>
      <c r="Q3" s="590"/>
      <c r="R3" s="590"/>
      <c r="S3" s="590"/>
      <c r="T3" s="590"/>
      <c r="U3" s="590"/>
      <c r="V3" s="590"/>
      <c r="W3" s="604"/>
      <c r="X3" s="604"/>
    </row>
    <row r="4" spans="1:24">
      <c r="A4" s="591"/>
      <c r="B4" s="592"/>
      <c r="C4" s="589" t="s">
        <v>318</v>
      </c>
      <c r="D4" s="590"/>
      <c r="E4" s="590"/>
      <c r="F4" s="590"/>
      <c r="G4" s="590"/>
      <c r="H4" s="590"/>
      <c r="I4" s="589" t="s">
        <v>426</v>
      </c>
      <c r="J4" s="589" t="s">
        <v>319</v>
      </c>
      <c r="K4" s="590"/>
      <c r="L4" s="590"/>
      <c r="M4" s="590"/>
      <c r="N4" s="589"/>
      <c r="O4" s="589" t="s">
        <v>426</v>
      </c>
      <c r="P4" s="589" t="s">
        <v>289</v>
      </c>
      <c r="Q4" s="590"/>
      <c r="R4" s="589"/>
      <c r="S4" s="589" t="s">
        <v>426</v>
      </c>
      <c r="T4" s="589"/>
      <c r="U4" s="589"/>
      <c r="V4" s="589"/>
      <c r="W4" s="604"/>
      <c r="X4" s="604"/>
    </row>
    <row r="5" spans="1:24">
      <c r="A5" s="589" t="s">
        <v>330</v>
      </c>
      <c r="B5" s="589" t="s">
        <v>244</v>
      </c>
      <c r="C5" s="593">
        <v>1</v>
      </c>
      <c r="D5" s="594">
        <v>2</v>
      </c>
      <c r="E5" s="594">
        <v>3</v>
      </c>
      <c r="F5" s="594">
        <v>4</v>
      </c>
      <c r="G5" s="594">
        <v>5</v>
      </c>
      <c r="H5" s="594">
        <v>6</v>
      </c>
      <c r="I5" s="591"/>
      <c r="J5" s="593">
        <v>7</v>
      </c>
      <c r="K5" s="594">
        <v>8</v>
      </c>
      <c r="L5" s="594">
        <v>9</v>
      </c>
      <c r="M5" s="594">
        <v>10</v>
      </c>
      <c r="N5" s="591" t="s">
        <v>1164</v>
      </c>
      <c r="O5" s="591"/>
      <c r="P5" s="593">
        <v>12</v>
      </c>
      <c r="Q5" s="594">
        <v>13</v>
      </c>
      <c r="R5" s="591">
        <v>14</v>
      </c>
      <c r="S5" s="591"/>
      <c r="T5" s="593"/>
      <c r="U5" s="591"/>
      <c r="V5" s="591"/>
      <c r="W5" s="604"/>
      <c r="X5" s="605"/>
    </row>
    <row r="6" spans="1:24">
      <c r="A6" s="595" t="s">
        <v>329</v>
      </c>
      <c r="B6" s="589" t="s">
        <v>246</v>
      </c>
      <c r="C6" s="596">
        <v>110530.15078506559</v>
      </c>
      <c r="D6" s="597">
        <v>105078.76645</v>
      </c>
      <c r="E6" s="597">
        <v>81706.819965060233</v>
      </c>
      <c r="F6" s="597">
        <v>80036.263789247314</v>
      </c>
      <c r="G6" s="597">
        <v>74400.395833333328</v>
      </c>
      <c r="H6" s="597">
        <v>80979.968942857144</v>
      </c>
      <c r="I6" s="596">
        <v>99641.217242563493</v>
      </c>
      <c r="J6" s="596">
        <v>0</v>
      </c>
      <c r="K6" s="597">
        <v>0</v>
      </c>
      <c r="L6" s="597">
        <v>0</v>
      </c>
      <c r="M6" s="597">
        <v>0</v>
      </c>
      <c r="N6" s="596">
        <v>0</v>
      </c>
      <c r="O6" s="596">
        <v>0</v>
      </c>
      <c r="P6" s="596">
        <v>0</v>
      </c>
      <c r="Q6" s="597">
        <v>0</v>
      </c>
      <c r="R6" s="596">
        <v>0</v>
      </c>
      <c r="S6" s="596">
        <v>0</v>
      </c>
      <c r="T6" s="596"/>
      <c r="U6" s="596"/>
      <c r="V6" s="596"/>
      <c r="W6" s="151"/>
      <c r="X6" s="151"/>
    </row>
    <row r="7" spans="1:24">
      <c r="A7" s="591"/>
      <c r="B7" s="598" t="s">
        <v>248</v>
      </c>
      <c r="C7" s="599">
        <v>113495.82273339981</v>
      </c>
      <c r="D7" s="151">
        <v>109897.95613421053</v>
      </c>
      <c r="E7" s="151">
        <v>81287.027660176987</v>
      </c>
      <c r="F7" s="151">
        <v>80497.263359999997</v>
      </c>
      <c r="G7" s="151">
        <v>69562.213114754093</v>
      </c>
      <c r="H7" s="151">
        <v>84518.760180952377</v>
      </c>
      <c r="I7" s="599">
        <v>101278.95544807122</v>
      </c>
      <c r="J7" s="599">
        <v>0</v>
      </c>
      <c r="K7" s="151">
        <v>0</v>
      </c>
      <c r="L7" s="151">
        <v>0</v>
      </c>
      <c r="M7" s="151">
        <v>0</v>
      </c>
      <c r="N7" s="599">
        <v>0</v>
      </c>
      <c r="O7" s="599">
        <v>0</v>
      </c>
      <c r="P7" s="599">
        <v>0</v>
      </c>
      <c r="Q7" s="151">
        <v>0</v>
      </c>
      <c r="R7" s="599">
        <v>0</v>
      </c>
      <c r="S7" s="599">
        <v>0</v>
      </c>
      <c r="T7" s="599"/>
      <c r="U7" s="599"/>
      <c r="V7" s="599"/>
      <c r="W7" s="151"/>
      <c r="X7" s="151"/>
    </row>
    <row r="8" spans="1:24">
      <c r="A8" s="591"/>
      <c r="B8" s="600" t="s">
        <v>250</v>
      </c>
      <c r="C8" s="602">
        <v>2.6831339026228189</v>
      </c>
      <c r="D8" s="601">
        <v>4.5862640446047358</v>
      </c>
      <c r="E8" s="601">
        <v>-0.51377878255788012</v>
      </c>
      <c r="F8" s="601">
        <v>0.5759883694303799</v>
      </c>
      <c r="G8" s="601">
        <v>-6.5028991638934306</v>
      </c>
      <c r="H8" s="601">
        <v>4.3699587494190721</v>
      </c>
      <c r="I8" s="602">
        <v>1.6436352855072747</v>
      </c>
      <c r="J8" s="602">
        <v>0</v>
      </c>
      <c r="K8" s="601">
        <v>0</v>
      </c>
      <c r="L8" s="601">
        <v>0</v>
      </c>
      <c r="M8" s="601">
        <v>0</v>
      </c>
      <c r="N8" s="602">
        <v>0</v>
      </c>
      <c r="O8" s="602">
        <v>0</v>
      </c>
      <c r="P8" s="602">
        <v>0</v>
      </c>
      <c r="Q8" s="601">
        <v>0</v>
      </c>
      <c r="R8" s="602">
        <v>0</v>
      </c>
      <c r="S8" s="602">
        <v>0</v>
      </c>
      <c r="T8" s="602"/>
      <c r="U8" s="602"/>
      <c r="V8" s="602"/>
      <c r="W8" s="606"/>
      <c r="X8" s="606"/>
    </row>
    <row r="9" spans="1:24">
      <c r="A9" s="591"/>
      <c r="B9" s="589" t="s">
        <v>252</v>
      </c>
      <c r="C9" s="596">
        <v>77232.989429333349</v>
      </c>
      <c r="D9" s="597">
        <v>77672.662505376342</v>
      </c>
      <c r="E9" s="597">
        <v>65135.478459550563</v>
      </c>
      <c r="F9" s="597">
        <v>66321.026991666673</v>
      </c>
      <c r="G9" s="597">
        <v>60900.353846153848</v>
      </c>
      <c r="H9" s="597">
        <v>73834.82849</v>
      </c>
      <c r="I9" s="596">
        <v>72720.743155680408</v>
      </c>
      <c r="J9" s="596">
        <v>0</v>
      </c>
      <c r="K9" s="597">
        <v>0</v>
      </c>
      <c r="L9" s="597">
        <v>0</v>
      </c>
      <c r="M9" s="597">
        <v>0</v>
      </c>
      <c r="N9" s="596">
        <v>0</v>
      </c>
      <c r="O9" s="596">
        <v>0</v>
      </c>
      <c r="P9" s="596">
        <v>0</v>
      </c>
      <c r="Q9" s="597">
        <v>0</v>
      </c>
      <c r="R9" s="596">
        <v>0</v>
      </c>
      <c r="S9" s="596">
        <v>0</v>
      </c>
      <c r="T9" s="596"/>
      <c r="U9" s="596"/>
      <c r="V9" s="596"/>
      <c r="W9" s="151"/>
      <c r="X9" s="151"/>
    </row>
    <row r="10" spans="1:24">
      <c r="A10" s="591"/>
      <c r="B10" s="598" t="s">
        <v>254</v>
      </c>
      <c r="C10" s="599">
        <v>79479.332325327501</v>
      </c>
      <c r="D10" s="151">
        <v>78889.588777528086</v>
      </c>
      <c r="E10" s="151">
        <v>66116.241596022723</v>
      </c>
      <c r="F10" s="151">
        <v>66453.898009356722</v>
      </c>
      <c r="G10" s="151">
        <v>61738.878787878784</v>
      </c>
      <c r="H10" s="151">
        <v>71280.042960000006</v>
      </c>
      <c r="I10" s="599">
        <v>74325.366958983883</v>
      </c>
      <c r="J10" s="599">
        <v>0</v>
      </c>
      <c r="K10" s="151">
        <v>0</v>
      </c>
      <c r="L10" s="151">
        <v>0</v>
      </c>
      <c r="M10" s="151">
        <v>0</v>
      </c>
      <c r="N10" s="599">
        <v>0</v>
      </c>
      <c r="O10" s="599">
        <v>0</v>
      </c>
      <c r="P10" s="599">
        <v>0</v>
      </c>
      <c r="Q10" s="151">
        <v>0</v>
      </c>
      <c r="R10" s="599">
        <v>0</v>
      </c>
      <c r="S10" s="599">
        <v>0</v>
      </c>
      <c r="T10" s="599"/>
      <c r="U10" s="599"/>
      <c r="V10" s="599"/>
      <c r="W10" s="151"/>
      <c r="X10" s="151"/>
    </row>
    <row r="11" spans="1:24">
      <c r="A11" s="591"/>
      <c r="B11" s="600" t="s">
        <v>256</v>
      </c>
      <c r="C11" s="602">
        <v>2.9085277063495143</v>
      </c>
      <c r="D11" s="601">
        <v>1.5667369096141273</v>
      </c>
      <c r="E11" s="601">
        <v>1.5057279990369896</v>
      </c>
      <c r="F11" s="601">
        <v>0.20034523546618921</v>
      </c>
      <c r="G11" s="601">
        <v>1.3768802457916967</v>
      </c>
      <c r="H11" s="601">
        <v>-3.4601360662008003</v>
      </c>
      <c r="I11" s="602">
        <v>2.2065558376766035</v>
      </c>
      <c r="J11" s="602">
        <v>0</v>
      </c>
      <c r="K11" s="601">
        <v>0</v>
      </c>
      <c r="L11" s="601">
        <v>0</v>
      </c>
      <c r="M11" s="601">
        <v>0</v>
      </c>
      <c r="N11" s="602">
        <v>0</v>
      </c>
      <c r="O11" s="602">
        <v>0</v>
      </c>
      <c r="P11" s="602">
        <v>0</v>
      </c>
      <c r="Q11" s="601">
        <v>0</v>
      </c>
      <c r="R11" s="602">
        <v>0</v>
      </c>
      <c r="S11" s="602">
        <v>0</v>
      </c>
      <c r="T11" s="602"/>
      <c r="U11" s="602"/>
      <c r="V11" s="602"/>
      <c r="W11" s="606"/>
      <c r="X11" s="606"/>
    </row>
    <row r="12" spans="1:24">
      <c r="A12" s="591"/>
      <c r="B12" s="589" t="s">
        <v>258</v>
      </c>
      <c r="C12" s="596">
        <v>62223.369255304737</v>
      </c>
      <c r="D12" s="597">
        <v>62166.204025581392</v>
      </c>
      <c r="E12" s="597">
        <v>55269.023699615384</v>
      </c>
      <c r="F12" s="597">
        <v>53957.31351848341</v>
      </c>
      <c r="G12" s="597">
        <v>49526.585585585584</v>
      </c>
      <c r="H12" s="597">
        <v>60706.85365263158</v>
      </c>
      <c r="I12" s="596">
        <v>58534.230897084235</v>
      </c>
      <c r="J12" s="596">
        <v>0</v>
      </c>
      <c r="K12" s="597">
        <v>0</v>
      </c>
      <c r="L12" s="597">
        <v>0</v>
      </c>
      <c r="M12" s="597">
        <v>0</v>
      </c>
      <c r="N12" s="596">
        <v>0</v>
      </c>
      <c r="O12" s="596">
        <v>0</v>
      </c>
      <c r="P12" s="596">
        <v>0</v>
      </c>
      <c r="Q12" s="597">
        <v>0</v>
      </c>
      <c r="R12" s="596">
        <v>0</v>
      </c>
      <c r="S12" s="596">
        <v>0</v>
      </c>
      <c r="T12" s="596"/>
      <c r="U12" s="596"/>
      <c r="V12" s="596"/>
      <c r="W12" s="151"/>
      <c r="X12" s="151"/>
    </row>
    <row r="13" spans="1:24">
      <c r="A13" s="591"/>
      <c r="B13" s="598" t="s">
        <v>260</v>
      </c>
      <c r="C13" s="599">
        <v>63800.64269171271</v>
      </c>
      <c r="D13" s="151">
        <v>64633.125237647058</v>
      </c>
      <c r="E13" s="151">
        <v>55074.335812890626</v>
      </c>
      <c r="F13" s="151">
        <v>54654.428063963969</v>
      </c>
      <c r="G13" s="151">
        <v>49430.659793814433</v>
      </c>
      <c r="H13" s="151">
        <v>61092.721438095243</v>
      </c>
      <c r="I13" s="599">
        <v>59541.282097691896</v>
      </c>
      <c r="J13" s="599">
        <v>0</v>
      </c>
      <c r="K13" s="151">
        <v>0</v>
      </c>
      <c r="L13" s="151">
        <v>0</v>
      </c>
      <c r="M13" s="151">
        <v>0</v>
      </c>
      <c r="N13" s="599">
        <v>0</v>
      </c>
      <c r="O13" s="599">
        <v>0</v>
      </c>
      <c r="P13" s="599">
        <v>0</v>
      </c>
      <c r="Q13" s="151">
        <v>0</v>
      </c>
      <c r="R13" s="599">
        <v>0</v>
      </c>
      <c r="S13" s="599">
        <v>0</v>
      </c>
      <c r="T13" s="599"/>
      <c r="U13" s="599"/>
      <c r="V13" s="599"/>
      <c r="W13" s="151"/>
      <c r="X13" s="151"/>
    </row>
    <row r="14" spans="1:24">
      <c r="A14" s="591"/>
      <c r="B14" s="600" t="s">
        <v>262</v>
      </c>
      <c r="C14" s="602">
        <v>2.5348570083634709</v>
      </c>
      <c r="D14" s="601">
        <v>3.9682674062751659</v>
      </c>
      <c r="E14" s="601">
        <v>-0.35225497700642877</v>
      </c>
      <c r="F14" s="601">
        <v>1.2919741551657464</v>
      </c>
      <c r="G14" s="601">
        <v>-0.19368545325092984</v>
      </c>
      <c r="H14" s="601">
        <v>0.63562474786063239</v>
      </c>
      <c r="I14" s="602">
        <v>1.7204483345450856</v>
      </c>
      <c r="J14" s="602">
        <v>0</v>
      </c>
      <c r="K14" s="601">
        <v>0</v>
      </c>
      <c r="L14" s="601">
        <v>0</v>
      </c>
      <c r="M14" s="601">
        <v>0</v>
      </c>
      <c r="N14" s="602">
        <v>0</v>
      </c>
      <c r="O14" s="602">
        <v>0</v>
      </c>
      <c r="P14" s="602">
        <v>0</v>
      </c>
      <c r="Q14" s="601">
        <v>0</v>
      </c>
      <c r="R14" s="602">
        <v>0</v>
      </c>
      <c r="S14" s="602">
        <v>0</v>
      </c>
      <c r="T14" s="602"/>
      <c r="U14" s="602"/>
      <c r="V14" s="602"/>
      <c r="W14" s="606"/>
      <c r="X14" s="606"/>
    </row>
    <row r="15" spans="1:24">
      <c r="A15" s="591"/>
      <c r="B15" s="589" t="s">
        <v>264</v>
      </c>
      <c r="C15" s="596">
        <v>42038.857241121492</v>
      </c>
      <c r="D15" s="597">
        <v>54054.545454545456</v>
      </c>
      <c r="E15" s="597">
        <v>44959.924382962963</v>
      </c>
      <c r="F15" s="597">
        <v>45469.082057731954</v>
      </c>
      <c r="G15" s="597">
        <v>43031.238095238092</v>
      </c>
      <c r="H15" s="597">
        <v>42650.799999999996</v>
      </c>
      <c r="I15" s="596">
        <v>43804.09698118949</v>
      </c>
      <c r="J15" s="596">
        <v>0</v>
      </c>
      <c r="K15" s="597">
        <v>0</v>
      </c>
      <c r="L15" s="597">
        <v>0</v>
      </c>
      <c r="M15" s="597">
        <v>0</v>
      </c>
      <c r="N15" s="596">
        <v>0</v>
      </c>
      <c r="O15" s="596">
        <v>0</v>
      </c>
      <c r="P15" s="596">
        <v>0</v>
      </c>
      <c r="Q15" s="597">
        <v>0</v>
      </c>
      <c r="R15" s="596">
        <v>0</v>
      </c>
      <c r="S15" s="596">
        <v>0</v>
      </c>
      <c r="T15" s="596"/>
      <c r="U15" s="596"/>
      <c r="V15" s="596"/>
      <c r="W15" s="151"/>
      <c r="X15" s="151"/>
    </row>
    <row r="16" spans="1:24">
      <c r="A16" s="591"/>
      <c r="B16" s="598" t="s">
        <v>266</v>
      </c>
      <c r="C16" s="599">
        <v>42978.5560591623</v>
      </c>
      <c r="D16" s="151">
        <v>49537.538461538461</v>
      </c>
      <c r="E16" s="151">
        <v>45653.412176811595</v>
      </c>
      <c r="F16" s="151">
        <v>45549.651090109888</v>
      </c>
      <c r="G16" s="151">
        <v>41600.083333333336</v>
      </c>
      <c r="H16" s="151">
        <v>48012.133333333331</v>
      </c>
      <c r="I16" s="599">
        <v>44337.701189961394</v>
      </c>
      <c r="J16" s="599">
        <v>0</v>
      </c>
      <c r="K16" s="151">
        <v>0</v>
      </c>
      <c r="L16" s="151">
        <v>0</v>
      </c>
      <c r="M16" s="151">
        <v>0</v>
      </c>
      <c r="N16" s="599">
        <v>0</v>
      </c>
      <c r="O16" s="599">
        <v>0</v>
      </c>
      <c r="P16" s="599">
        <v>0</v>
      </c>
      <c r="Q16" s="151">
        <v>0</v>
      </c>
      <c r="R16" s="599">
        <v>0</v>
      </c>
      <c r="S16" s="599">
        <v>0</v>
      </c>
      <c r="T16" s="599"/>
      <c r="U16" s="599"/>
      <c r="V16" s="599"/>
      <c r="W16" s="151"/>
      <c r="X16" s="151"/>
    </row>
    <row r="17" spans="1:24">
      <c r="A17" s="591"/>
      <c r="B17" s="600" t="s">
        <v>268</v>
      </c>
      <c r="C17" s="602">
        <v>2.2353100909736794</v>
      </c>
      <c r="D17" s="601">
        <v>-8.3563869699086695</v>
      </c>
      <c r="E17" s="601">
        <v>1.5424576517113109</v>
      </c>
      <c r="F17" s="601">
        <v>0.17719520327161264</v>
      </c>
      <c r="G17" s="601">
        <v>-3.3258507662207606</v>
      </c>
      <c r="H17" s="601">
        <v>12.570299580156377</v>
      </c>
      <c r="I17" s="602">
        <v>1.218160504486705</v>
      </c>
      <c r="J17" s="602">
        <v>0</v>
      </c>
      <c r="K17" s="601">
        <v>0</v>
      </c>
      <c r="L17" s="601">
        <v>0</v>
      </c>
      <c r="M17" s="601">
        <v>0</v>
      </c>
      <c r="N17" s="602">
        <v>0</v>
      </c>
      <c r="O17" s="602">
        <v>0</v>
      </c>
      <c r="P17" s="602">
        <v>0</v>
      </c>
      <c r="Q17" s="601">
        <v>0</v>
      </c>
      <c r="R17" s="602">
        <v>0</v>
      </c>
      <c r="S17" s="602">
        <v>0</v>
      </c>
      <c r="T17" s="602"/>
      <c r="U17" s="602"/>
      <c r="V17" s="602"/>
      <c r="W17" s="606"/>
      <c r="X17" s="606"/>
    </row>
    <row r="18" spans="1:24">
      <c r="A18" s="591"/>
      <c r="B18" s="589" t="s">
        <v>270</v>
      </c>
      <c r="C18" s="596">
        <v>60525.153633333335</v>
      </c>
      <c r="D18" s="597">
        <v>42078.142843243244</v>
      </c>
      <c r="E18" s="597">
        <v>40147.37350697675</v>
      </c>
      <c r="F18" s="597">
        <v>119719.024</v>
      </c>
      <c r="G18" s="597">
        <v>28475.588914285712</v>
      </c>
      <c r="H18" s="597">
        <v>0</v>
      </c>
      <c r="I18" s="596">
        <v>45132.858746428574</v>
      </c>
      <c r="J18" s="596">
        <v>0</v>
      </c>
      <c r="K18" s="597">
        <v>0</v>
      </c>
      <c r="L18" s="597">
        <v>0</v>
      </c>
      <c r="M18" s="597">
        <v>0</v>
      </c>
      <c r="N18" s="596">
        <v>0</v>
      </c>
      <c r="O18" s="596">
        <v>0</v>
      </c>
      <c r="P18" s="596">
        <v>0</v>
      </c>
      <c r="Q18" s="597">
        <v>0</v>
      </c>
      <c r="R18" s="596">
        <v>0</v>
      </c>
      <c r="S18" s="596">
        <v>0</v>
      </c>
      <c r="T18" s="596"/>
      <c r="U18" s="596"/>
      <c r="V18" s="596"/>
      <c r="W18" s="151"/>
      <c r="X18" s="151"/>
    </row>
    <row r="19" spans="1:24">
      <c r="A19" s="591"/>
      <c r="B19" s="598" t="s">
        <v>272</v>
      </c>
      <c r="C19" s="599">
        <v>61480.842315384616</v>
      </c>
      <c r="D19" s="151">
        <v>46430.874714999998</v>
      </c>
      <c r="E19" s="151">
        <v>40948.13279428571</v>
      </c>
      <c r="F19" s="151">
        <v>74178.012000000002</v>
      </c>
      <c r="G19" s="151">
        <v>29018.075000000001</v>
      </c>
      <c r="H19" s="151">
        <v>0</v>
      </c>
      <c r="I19" s="599">
        <v>45908.26581095891</v>
      </c>
      <c r="J19" s="599">
        <v>0</v>
      </c>
      <c r="K19" s="151">
        <v>0</v>
      </c>
      <c r="L19" s="151">
        <v>0</v>
      </c>
      <c r="M19" s="151">
        <v>0</v>
      </c>
      <c r="N19" s="599">
        <v>0</v>
      </c>
      <c r="O19" s="599">
        <v>0</v>
      </c>
      <c r="P19" s="599">
        <v>0</v>
      </c>
      <c r="Q19" s="151">
        <v>0</v>
      </c>
      <c r="R19" s="599">
        <v>0</v>
      </c>
      <c r="S19" s="599">
        <v>0</v>
      </c>
      <c r="T19" s="599"/>
      <c r="U19" s="599"/>
      <c r="V19" s="599"/>
      <c r="W19" s="151"/>
      <c r="X19" s="151"/>
    </row>
    <row r="20" spans="1:24">
      <c r="A20" s="591"/>
      <c r="B20" s="600" t="s">
        <v>274</v>
      </c>
      <c r="C20" s="602">
        <v>1.5789942274924678</v>
      </c>
      <c r="D20" s="601">
        <v>10.344401101475182</v>
      </c>
      <c r="E20" s="601">
        <v>1.9945496239493847</v>
      </c>
      <c r="F20" s="601">
        <v>-38.039912520503009</v>
      </c>
      <c r="G20" s="601">
        <v>1.905091716793722</v>
      </c>
      <c r="H20" s="601">
        <v>0</v>
      </c>
      <c r="I20" s="602">
        <v>1.7180543977655647</v>
      </c>
      <c r="J20" s="602">
        <v>0</v>
      </c>
      <c r="K20" s="601">
        <v>0</v>
      </c>
      <c r="L20" s="601">
        <v>0</v>
      </c>
      <c r="M20" s="601">
        <v>0</v>
      </c>
      <c r="N20" s="602">
        <v>0</v>
      </c>
      <c r="O20" s="602">
        <v>0</v>
      </c>
      <c r="P20" s="602">
        <v>0</v>
      </c>
      <c r="Q20" s="601">
        <v>0</v>
      </c>
      <c r="R20" s="602">
        <v>0</v>
      </c>
      <c r="S20" s="602">
        <v>0</v>
      </c>
      <c r="T20" s="602"/>
      <c r="U20" s="602"/>
      <c r="V20" s="602"/>
      <c r="W20" s="606"/>
      <c r="X20" s="606"/>
    </row>
    <row r="21" spans="1:24">
      <c r="A21" s="591"/>
      <c r="B21" s="589" t="s">
        <v>276</v>
      </c>
      <c r="C21" s="596">
        <v>0</v>
      </c>
      <c r="D21" s="597">
        <v>0</v>
      </c>
      <c r="E21" s="597">
        <v>0</v>
      </c>
      <c r="F21" s="597">
        <v>0</v>
      </c>
      <c r="G21" s="597">
        <v>0</v>
      </c>
      <c r="H21" s="597">
        <v>0</v>
      </c>
      <c r="I21" s="596">
        <v>0</v>
      </c>
      <c r="J21" s="596">
        <v>0</v>
      </c>
      <c r="K21" s="597">
        <v>53891.246937627118</v>
      </c>
      <c r="L21" s="597">
        <v>53584.435250413982</v>
      </c>
      <c r="M21" s="597">
        <v>52613.547017010314</v>
      </c>
      <c r="N21" s="596">
        <v>0</v>
      </c>
      <c r="O21" s="596">
        <v>53422.743054463281</v>
      </c>
      <c r="P21" s="596">
        <v>54025.01278918919</v>
      </c>
      <c r="Q21" s="597">
        <v>53407.699217977526</v>
      </c>
      <c r="R21" s="596">
        <v>0</v>
      </c>
      <c r="S21" s="596">
        <v>53687.952004907973</v>
      </c>
      <c r="T21" s="596"/>
      <c r="U21" s="596"/>
      <c r="V21" s="596"/>
      <c r="W21" s="151"/>
      <c r="X21" s="151"/>
    </row>
    <row r="22" spans="1:24">
      <c r="A22" s="591"/>
      <c r="B22" s="598" t="s">
        <v>278</v>
      </c>
      <c r="C22" s="599">
        <v>0</v>
      </c>
      <c r="D22" s="151">
        <v>0</v>
      </c>
      <c r="E22" s="151">
        <v>0</v>
      </c>
      <c r="F22" s="151">
        <v>0</v>
      </c>
      <c r="G22" s="151">
        <v>0</v>
      </c>
      <c r="H22" s="151">
        <v>0</v>
      </c>
      <c r="I22" s="599">
        <v>0</v>
      </c>
      <c r="J22" s="599">
        <v>0</v>
      </c>
      <c r="K22" s="151">
        <v>53456.654580071176</v>
      </c>
      <c r="L22" s="151">
        <v>53202.086543978105</v>
      </c>
      <c r="M22" s="151">
        <v>52201.459242424244</v>
      </c>
      <c r="N22" s="599">
        <v>0</v>
      </c>
      <c r="O22" s="599">
        <v>53018.942272532433</v>
      </c>
      <c r="P22" s="599">
        <v>54504.933505263158</v>
      </c>
      <c r="Q22" s="151">
        <v>52453.511352941176</v>
      </c>
      <c r="R22" s="599">
        <v>0</v>
      </c>
      <c r="S22" s="599">
        <v>53421.884542857144</v>
      </c>
      <c r="T22" s="599"/>
      <c r="U22" s="599"/>
      <c r="V22" s="599"/>
      <c r="W22" s="151"/>
      <c r="X22" s="151"/>
    </row>
    <row r="23" spans="1:24">
      <c r="A23" s="591"/>
      <c r="B23" s="600" t="s">
        <v>280</v>
      </c>
      <c r="C23" s="602">
        <v>0</v>
      </c>
      <c r="D23" s="601">
        <v>0</v>
      </c>
      <c r="E23" s="601">
        <v>0</v>
      </c>
      <c r="F23" s="601">
        <v>0</v>
      </c>
      <c r="G23" s="601">
        <v>0</v>
      </c>
      <c r="H23" s="601">
        <v>0</v>
      </c>
      <c r="I23" s="602">
        <v>0</v>
      </c>
      <c r="J23" s="602">
        <v>0</v>
      </c>
      <c r="K23" s="601">
        <v>-0.80642475773279665</v>
      </c>
      <c r="L23" s="601">
        <v>-0.71354434295903846</v>
      </c>
      <c r="M23" s="601">
        <v>-0.78323511329285589</v>
      </c>
      <c r="N23" s="602">
        <v>0</v>
      </c>
      <c r="O23" s="602">
        <v>-0.75585931916521387</v>
      </c>
      <c r="P23" s="602">
        <v>0.88833059225115751</v>
      </c>
      <c r="Q23" s="601">
        <v>-1.7866110673330822</v>
      </c>
      <c r="R23" s="602">
        <v>0</v>
      </c>
      <c r="S23" s="602">
        <v>-0.49558132153468237</v>
      </c>
      <c r="T23" s="602"/>
      <c r="U23" s="602"/>
      <c r="V23" s="602"/>
      <c r="W23" s="606"/>
      <c r="X23" s="606"/>
    </row>
    <row r="24" spans="1:24">
      <c r="A24" s="591"/>
      <c r="B24" s="589" t="s">
        <v>282</v>
      </c>
      <c r="C24" s="596">
        <v>79795.660453619479</v>
      </c>
      <c r="D24" s="597">
        <v>74941.678860066007</v>
      </c>
      <c r="E24" s="597">
        <v>61091.586803418802</v>
      </c>
      <c r="F24" s="597">
        <v>63263.786931221715</v>
      </c>
      <c r="G24" s="597">
        <v>56072.135406349211</v>
      </c>
      <c r="H24" s="597">
        <v>68440.106785365861</v>
      </c>
      <c r="I24" s="596">
        <v>71754.306204442197</v>
      </c>
      <c r="J24" s="596">
        <v>0</v>
      </c>
      <c r="K24" s="597">
        <v>53891.246937627118</v>
      </c>
      <c r="L24" s="597">
        <v>53584.435250413982</v>
      </c>
      <c r="M24" s="597">
        <v>52613.547017010314</v>
      </c>
      <c r="N24" s="596">
        <v>0</v>
      </c>
      <c r="O24" s="596">
        <v>53422.743054463281</v>
      </c>
      <c r="P24" s="596">
        <v>54025.01278918919</v>
      </c>
      <c r="Q24" s="597">
        <v>53407.699217977526</v>
      </c>
      <c r="R24" s="596">
        <v>0</v>
      </c>
      <c r="S24" s="596">
        <v>53687.952004907973</v>
      </c>
      <c r="T24" s="596"/>
      <c r="U24" s="596"/>
      <c r="V24" s="596"/>
      <c r="W24" s="151"/>
      <c r="X24" s="151"/>
    </row>
    <row r="25" spans="1:24">
      <c r="A25" s="591"/>
      <c r="B25" s="598" t="s">
        <v>284</v>
      </c>
      <c r="C25" s="599">
        <v>81186.655495792089</v>
      </c>
      <c r="D25" s="151">
        <v>77123.619475907588</v>
      </c>
      <c r="E25" s="151">
        <v>61003.22169864428</v>
      </c>
      <c r="F25" s="151">
        <v>63609.936787779436</v>
      </c>
      <c r="G25" s="151">
        <v>56738.445081967213</v>
      </c>
      <c r="H25" s="151">
        <v>68725.878179069769</v>
      </c>
      <c r="I25" s="599">
        <v>72751.781656992593</v>
      </c>
      <c r="J25" s="599">
        <v>0</v>
      </c>
      <c r="K25" s="151">
        <v>53456.654580071176</v>
      </c>
      <c r="L25" s="151">
        <v>53202.086543978105</v>
      </c>
      <c r="M25" s="151">
        <v>52201.459242424244</v>
      </c>
      <c r="N25" s="599">
        <v>0</v>
      </c>
      <c r="O25" s="599">
        <v>53018.942272532433</v>
      </c>
      <c r="P25" s="599">
        <v>54504.933505263158</v>
      </c>
      <c r="Q25" s="151">
        <v>52453.511352941176</v>
      </c>
      <c r="R25" s="599">
        <v>0</v>
      </c>
      <c r="S25" s="599">
        <v>53421.884542857144</v>
      </c>
      <c r="T25" s="599"/>
      <c r="U25" s="599"/>
      <c r="V25" s="599"/>
      <c r="W25" s="151"/>
      <c r="X25" s="151"/>
    </row>
    <row r="26" spans="1:24">
      <c r="A26" s="591"/>
      <c r="B26" s="600" t="s">
        <v>286</v>
      </c>
      <c r="C26" s="602">
        <v>1.7431963521138012</v>
      </c>
      <c r="D26" s="601">
        <v>2.9115181952565865</v>
      </c>
      <c r="E26" s="601">
        <v>-0.14464365618602232</v>
      </c>
      <c r="F26" s="601">
        <v>0.5471532346523027</v>
      </c>
      <c r="G26" s="601">
        <v>1.1883080085845168</v>
      </c>
      <c r="H26" s="601">
        <v>0.41754960231156846</v>
      </c>
      <c r="I26" s="602">
        <v>1.3901262590546011</v>
      </c>
      <c r="J26" s="602">
        <v>0</v>
      </c>
      <c r="K26" s="601">
        <v>-0.80642475773279665</v>
      </c>
      <c r="L26" s="601">
        <v>-0.71354434295903846</v>
      </c>
      <c r="M26" s="601">
        <v>-0.78323511329285589</v>
      </c>
      <c r="N26" s="602">
        <v>0</v>
      </c>
      <c r="O26" s="602">
        <v>-0.75585931916521387</v>
      </c>
      <c r="P26" s="602">
        <v>0.88833059225115751</v>
      </c>
      <c r="Q26" s="601">
        <v>-1.7866110673330822</v>
      </c>
      <c r="R26" s="602">
        <v>0</v>
      </c>
      <c r="S26" s="602">
        <v>-0.49558132153468237</v>
      </c>
      <c r="T26" s="602"/>
      <c r="U26" s="602"/>
      <c r="V26" s="602"/>
      <c r="W26" s="606"/>
      <c r="X26" s="606"/>
    </row>
    <row r="27" spans="1:24">
      <c r="A27" s="595" t="s">
        <v>338</v>
      </c>
      <c r="B27" s="589" t="s">
        <v>246</v>
      </c>
      <c r="C27" s="596">
        <v>100592.21345501434</v>
      </c>
      <c r="D27" s="597">
        <v>0</v>
      </c>
      <c r="E27" s="597">
        <v>77853.987860182373</v>
      </c>
      <c r="F27" s="597">
        <v>66348.073309090905</v>
      </c>
      <c r="G27" s="597">
        <v>65700.90272888889</v>
      </c>
      <c r="H27" s="597">
        <v>62327.095547619057</v>
      </c>
      <c r="I27" s="596">
        <v>84106.527087542854</v>
      </c>
      <c r="J27" s="596">
        <v>0</v>
      </c>
      <c r="K27" s="597">
        <v>0</v>
      </c>
      <c r="L27" s="597">
        <v>56095.540760000004</v>
      </c>
      <c r="M27" s="597">
        <v>0</v>
      </c>
      <c r="N27" s="596">
        <v>0</v>
      </c>
      <c r="O27" s="596">
        <v>56095.540760000004</v>
      </c>
      <c r="P27" s="596">
        <v>0</v>
      </c>
      <c r="Q27" s="597">
        <v>0</v>
      </c>
      <c r="R27" s="596">
        <v>0</v>
      </c>
      <c r="S27" s="596">
        <v>0</v>
      </c>
      <c r="T27" s="596"/>
      <c r="U27" s="596"/>
      <c r="V27" s="596"/>
      <c r="W27" s="151"/>
      <c r="X27" s="151"/>
    </row>
    <row r="28" spans="1:24">
      <c r="A28" s="591"/>
      <c r="B28" s="598" t="s">
        <v>248</v>
      </c>
      <c r="C28" s="599">
        <v>103582.99623398329</v>
      </c>
      <c r="D28" s="151">
        <v>0</v>
      </c>
      <c r="E28" s="151">
        <v>77161.982151884062</v>
      </c>
      <c r="F28" s="151">
        <v>66546.571921818177</v>
      </c>
      <c r="G28" s="151">
        <v>68170.621239024389</v>
      </c>
      <c r="H28" s="151">
        <v>65428.845741463418</v>
      </c>
      <c r="I28" s="599">
        <v>85496.518468750015</v>
      </c>
      <c r="J28" s="599">
        <v>0</v>
      </c>
      <c r="K28" s="151">
        <v>0</v>
      </c>
      <c r="L28" s="151">
        <v>57778.512439999999</v>
      </c>
      <c r="M28" s="151">
        <v>0</v>
      </c>
      <c r="N28" s="599">
        <v>0</v>
      </c>
      <c r="O28" s="599">
        <v>57778.512439999999</v>
      </c>
      <c r="P28" s="599">
        <v>0</v>
      </c>
      <c r="Q28" s="151">
        <v>0</v>
      </c>
      <c r="R28" s="599">
        <v>0</v>
      </c>
      <c r="S28" s="599">
        <v>0</v>
      </c>
      <c r="T28" s="599"/>
      <c r="U28" s="599"/>
      <c r="V28" s="599"/>
      <c r="W28" s="151"/>
      <c r="X28" s="151"/>
    </row>
    <row r="29" spans="1:24">
      <c r="A29" s="591"/>
      <c r="B29" s="600" t="s">
        <v>250</v>
      </c>
      <c r="C29" s="602">
        <v>2.9731752351850274</v>
      </c>
      <c r="D29" s="601">
        <v>0</v>
      </c>
      <c r="E29" s="601">
        <v>-0.88885069001356887</v>
      </c>
      <c r="F29" s="601">
        <v>0.29917765931580331</v>
      </c>
      <c r="G29" s="601">
        <v>3.7590328405785454</v>
      </c>
      <c r="H29" s="601">
        <v>4.9765678419501604</v>
      </c>
      <c r="I29" s="602">
        <v>1.6526557799258299</v>
      </c>
      <c r="J29" s="602">
        <v>0</v>
      </c>
      <c r="K29" s="601">
        <v>0</v>
      </c>
      <c r="L29" s="601">
        <v>3.0001879956919324</v>
      </c>
      <c r="M29" s="601">
        <v>0</v>
      </c>
      <c r="N29" s="602">
        <v>0</v>
      </c>
      <c r="O29" s="602">
        <v>3.0001879956919324</v>
      </c>
      <c r="P29" s="602">
        <v>0</v>
      </c>
      <c r="Q29" s="601">
        <v>0</v>
      </c>
      <c r="R29" s="602">
        <v>0</v>
      </c>
      <c r="S29" s="602">
        <v>0</v>
      </c>
      <c r="T29" s="602"/>
      <c r="U29" s="602"/>
      <c r="V29" s="602"/>
      <c r="W29" s="606"/>
      <c r="X29" s="606"/>
    </row>
    <row r="30" spans="1:24">
      <c r="A30" s="591"/>
      <c r="B30" s="589" t="s">
        <v>252</v>
      </c>
      <c r="C30" s="596">
        <v>72851.858457657654</v>
      </c>
      <c r="D30" s="597">
        <v>0</v>
      </c>
      <c r="E30" s="597">
        <v>63063.139910364145</v>
      </c>
      <c r="F30" s="597">
        <v>50906.063436036042</v>
      </c>
      <c r="G30" s="597">
        <v>56934.978285714293</v>
      </c>
      <c r="H30" s="597">
        <v>61876.694060273978</v>
      </c>
      <c r="I30" s="596">
        <v>63488.049473849882</v>
      </c>
      <c r="J30" s="596">
        <v>0</v>
      </c>
      <c r="K30" s="597">
        <v>0</v>
      </c>
      <c r="L30" s="597">
        <v>55361.756099999999</v>
      </c>
      <c r="M30" s="597">
        <v>0</v>
      </c>
      <c r="N30" s="596">
        <v>0</v>
      </c>
      <c r="O30" s="596">
        <v>55361.756099999999</v>
      </c>
      <c r="P30" s="596">
        <v>0</v>
      </c>
      <c r="Q30" s="597">
        <v>0</v>
      </c>
      <c r="R30" s="596">
        <v>0</v>
      </c>
      <c r="S30" s="596">
        <v>0</v>
      </c>
      <c r="T30" s="596"/>
      <c r="U30" s="596"/>
      <c r="V30" s="596"/>
      <c r="W30" s="151"/>
      <c r="X30" s="151"/>
    </row>
    <row r="31" spans="1:24">
      <c r="A31" s="591"/>
      <c r="B31" s="598" t="s">
        <v>254</v>
      </c>
      <c r="C31" s="599">
        <v>73743.659477981651</v>
      </c>
      <c r="D31" s="151">
        <v>0</v>
      </c>
      <c r="E31" s="151">
        <v>62347.008006521741</v>
      </c>
      <c r="F31" s="151">
        <v>57532.257976576577</v>
      </c>
      <c r="G31" s="151">
        <v>57447.850941538461</v>
      </c>
      <c r="H31" s="151">
        <v>62852.339460975607</v>
      </c>
      <c r="I31" s="599">
        <v>64329.264804502367</v>
      </c>
      <c r="J31" s="599">
        <v>0</v>
      </c>
      <c r="K31" s="151">
        <v>0</v>
      </c>
      <c r="L31" s="151">
        <v>56579.617133333333</v>
      </c>
      <c r="M31" s="151">
        <v>0</v>
      </c>
      <c r="N31" s="599">
        <v>0</v>
      </c>
      <c r="O31" s="599">
        <v>56579.617133333333</v>
      </c>
      <c r="P31" s="599">
        <v>0</v>
      </c>
      <c r="Q31" s="151">
        <v>0</v>
      </c>
      <c r="R31" s="599">
        <v>0</v>
      </c>
      <c r="S31" s="599">
        <v>0</v>
      </c>
      <c r="T31" s="599"/>
      <c r="U31" s="599"/>
      <c r="V31" s="599"/>
      <c r="W31" s="151"/>
      <c r="X31" s="151"/>
    </row>
    <row r="32" spans="1:24">
      <c r="A32" s="591"/>
      <c r="B32" s="600" t="s">
        <v>256</v>
      </c>
      <c r="C32" s="602">
        <v>1.2241294034280847</v>
      </c>
      <c r="D32" s="601">
        <v>0</v>
      </c>
      <c r="E32" s="601">
        <v>-1.1355792065861146</v>
      </c>
      <c r="F32" s="601">
        <v>13.016513344950376</v>
      </c>
      <c r="G32" s="601">
        <v>0.90080416514860606</v>
      </c>
      <c r="H32" s="601">
        <v>1.576757477946793</v>
      </c>
      <c r="I32" s="602">
        <v>1.3249979131883294</v>
      </c>
      <c r="J32" s="602">
        <v>0</v>
      </c>
      <c r="K32" s="601">
        <v>0</v>
      </c>
      <c r="L32" s="601">
        <v>2.1998237034488408</v>
      </c>
      <c r="M32" s="601">
        <v>0</v>
      </c>
      <c r="N32" s="602">
        <v>0</v>
      </c>
      <c r="O32" s="602">
        <v>2.1998237034488408</v>
      </c>
      <c r="P32" s="602">
        <v>0</v>
      </c>
      <c r="Q32" s="601">
        <v>0</v>
      </c>
      <c r="R32" s="602">
        <v>0</v>
      </c>
      <c r="S32" s="602">
        <v>0</v>
      </c>
      <c r="T32" s="602"/>
      <c r="U32" s="602"/>
      <c r="V32" s="602"/>
      <c r="W32" s="606"/>
      <c r="X32" s="606"/>
    </row>
    <row r="33" spans="1:24">
      <c r="A33" s="591"/>
      <c r="B33" s="589" t="s">
        <v>258</v>
      </c>
      <c r="C33" s="596">
        <v>68676.963821794867</v>
      </c>
      <c r="D33" s="597">
        <v>0</v>
      </c>
      <c r="E33" s="597">
        <v>52931.165151101319</v>
      </c>
      <c r="F33" s="597">
        <v>48143.633215492955</v>
      </c>
      <c r="G33" s="597">
        <v>47704.670287619054</v>
      </c>
      <c r="H33" s="597">
        <v>51869.245792307695</v>
      </c>
      <c r="I33" s="596">
        <v>53979.609057453104</v>
      </c>
      <c r="J33" s="596">
        <v>0</v>
      </c>
      <c r="K33" s="597">
        <v>0</v>
      </c>
      <c r="L33" s="597">
        <v>45883.24435135135</v>
      </c>
      <c r="M33" s="597">
        <v>42650.515368749999</v>
      </c>
      <c r="N33" s="596">
        <v>0</v>
      </c>
      <c r="O33" s="596">
        <v>44384.00772173913</v>
      </c>
      <c r="P33" s="596">
        <v>0</v>
      </c>
      <c r="Q33" s="597">
        <v>0</v>
      </c>
      <c r="R33" s="596">
        <v>0</v>
      </c>
      <c r="S33" s="596">
        <v>0</v>
      </c>
      <c r="T33" s="596"/>
      <c r="U33" s="596"/>
      <c r="V33" s="596"/>
      <c r="W33" s="151"/>
      <c r="X33" s="151"/>
    </row>
    <row r="34" spans="1:24">
      <c r="A34" s="591"/>
      <c r="B34" s="598" t="s">
        <v>260</v>
      </c>
      <c r="C34" s="599">
        <v>69920.66671294118</v>
      </c>
      <c r="D34" s="151">
        <v>0</v>
      </c>
      <c r="E34" s="151">
        <v>54823.894230769234</v>
      </c>
      <c r="F34" s="151">
        <v>48596.535106206895</v>
      </c>
      <c r="G34" s="151">
        <v>48479.764236363641</v>
      </c>
      <c r="H34" s="151">
        <v>51253.953162913909</v>
      </c>
      <c r="I34" s="599">
        <v>55323.244611267604</v>
      </c>
      <c r="J34" s="599">
        <v>0</v>
      </c>
      <c r="K34" s="151">
        <v>0</v>
      </c>
      <c r="L34" s="151">
        <v>46697.386723529409</v>
      </c>
      <c r="M34" s="151">
        <v>42794.331193749997</v>
      </c>
      <c r="N34" s="599">
        <v>0</v>
      </c>
      <c r="O34" s="599">
        <v>44804.996163636359</v>
      </c>
      <c r="P34" s="599">
        <v>0</v>
      </c>
      <c r="Q34" s="151">
        <v>0</v>
      </c>
      <c r="R34" s="599">
        <v>0</v>
      </c>
      <c r="S34" s="599">
        <v>0</v>
      </c>
      <c r="T34" s="599"/>
      <c r="U34" s="599"/>
      <c r="V34" s="599"/>
      <c r="W34" s="151"/>
      <c r="X34" s="151"/>
    </row>
    <row r="35" spans="1:24">
      <c r="A35" s="591"/>
      <c r="B35" s="600" t="s">
        <v>262</v>
      </c>
      <c r="C35" s="602">
        <v>1.8109462357327157</v>
      </c>
      <c r="D35" s="601">
        <v>0</v>
      </c>
      <c r="E35" s="601">
        <v>3.5758311275876649</v>
      </c>
      <c r="F35" s="601">
        <v>0.94073060229320793</v>
      </c>
      <c r="G35" s="601">
        <v>1.6247758218879238</v>
      </c>
      <c r="H35" s="601">
        <v>-1.1862378563542453</v>
      </c>
      <c r="I35" s="602">
        <v>2.4891539180737743</v>
      </c>
      <c r="J35" s="602">
        <v>0</v>
      </c>
      <c r="K35" s="601">
        <v>0</v>
      </c>
      <c r="L35" s="601">
        <v>1.7743783895135159</v>
      </c>
      <c r="M35" s="601">
        <v>0.33719598404987061</v>
      </c>
      <c r="N35" s="602">
        <v>0</v>
      </c>
      <c r="O35" s="602">
        <v>0.94851380825402598</v>
      </c>
      <c r="P35" s="602">
        <v>0</v>
      </c>
      <c r="Q35" s="601">
        <v>0</v>
      </c>
      <c r="R35" s="602">
        <v>0</v>
      </c>
      <c r="S35" s="602">
        <v>0</v>
      </c>
      <c r="T35" s="602"/>
      <c r="U35" s="602"/>
      <c r="V35" s="602"/>
      <c r="W35" s="606"/>
      <c r="X35" s="606"/>
    </row>
    <row r="36" spans="1:24">
      <c r="A36" s="591"/>
      <c r="B36" s="589" t="s">
        <v>264</v>
      </c>
      <c r="C36" s="596">
        <v>41159.926911864408</v>
      </c>
      <c r="D36" s="597">
        <v>0</v>
      </c>
      <c r="E36" s="597">
        <v>39257.024521172643</v>
      </c>
      <c r="F36" s="597">
        <v>37902.970941176471</v>
      </c>
      <c r="G36" s="597">
        <v>40057.798426470588</v>
      </c>
      <c r="H36" s="597">
        <v>41795.292476363633</v>
      </c>
      <c r="I36" s="596">
        <v>39951.702523099848</v>
      </c>
      <c r="J36" s="596">
        <v>0</v>
      </c>
      <c r="K36" s="597">
        <v>0</v>
      </c>
      <c r="L36" s="597">
        <v>40016.91117428572</v>
      </c>
      <c r="M36" s="597">
        <v>37213.228931578946</v>
      </c>
      <c r="N36" s="596">
        <v>0</v>
      </c>
      <c r="O36" s="596">
        <v>38557.460143835619</v>
      </c>
      <c r="P36" s="596">
        <v>0</v>
      </c>
      <c r="Q36" s="597">
        <v>0</v>
      </c>
      <c r="R36" s="596">
        <v>0</v>
      </c>
      <c r="S36" s="596">
        <v>0</v>
      </c>
      <c r="T36" s="596"/>
      <c r="U36" s="596"/>
      <c r="V36" s="596"/>
      <c r="W36" s="151"/>
      <c r="X36" s="151"/>
    </row>
    <row r="37" spans="1:24">
      <c r="A37" s="591"/>
      <c r="B37" s="598" t="s">
        <v>266</v>
      </c>
      <c r="C37" s="599">
        <v>43014.044648062016</v>
      </c>
      <c r="D37" s="151">
        <v>0</v>
      </c>
      <c r="E37" s="151">
        <v>37737.194078378379</v>
      </c>
      <c r="F37" s="151">
        <v>38117.291109090911</v>
      </c>
      <c r="G37" s="151">
        <v>40577.33016307692</v>
      </c>
      <c r="H37" s="151">
        <v>41210.294220869568</v>
      </c>
      <c r="I37" s="599">
        <v>39685.125020909087</v>
      </c>
      <c r="J37" s="599">
        <v>0</v>
      </c>
      <c r="K37" s="151">
        <v>0</v>
      </c>
      <c r="L37" s="151">
        <v>39812.215172602737</v>
      </c>
      <c r="M37" s="151">
        <v>39614.895417948719</v>
      </c>
      <c r="N37" s="599">
        <v>0</v>
      </c>
      <c r="O37" s="599">
        <v>39710.288411920534</v>
      </c>
      <c r="P37" s="599">
        <v>0</v>
      </c>
      <c r="Q37" s="151">
        <v>0</v>
      </c>
      <c r="R37" s="599">
        <v>0</v>
      </c>
      <c r="S37" s="599">
        <v>0</v>
      </c>
      <c r="T37" s="599"/>
      <c r="U37" s="599"/>
      <c r="V37" s="599"/>
      <c r="W37" s="151"/>
      <c r="X37" s="151"/>
    </row>
    <row r="38" spans="1:24">
      <c r="A38" s="591"/>
      <c r="B38" s="600" t="s">
        <v>268</v>
      </c>
      <c r="C38" s="602">
        <v>4.5046672219992594</v>
      </c>
      <c r="D38" s="601">
        <v>0</v>
      </c>
      <c r="E38" s="601">
        <v>-3.8714865971937531</v>
      </c>
      <c r="F38" s="601">
        <v>0.56544424511486091</v>
      </c>
      <c r="G38" s="601">
        <v>1.2969552921386218</v>
      </c>
      <c r="H38" s="601">
        <v>-1.3996749892943028</v>
      </c>
      <c r="I38" s="602">
        <v>-0.66724941705957974</v>
      </c>
      <c r="J38" s="602">
        <v>0</v>
      </c>
      <c r="K38" s="601">
        <v>0</v>
      </c>
      <c r="L38" s="601">
        <v>-0.51152374252842914</v>
      </c>
      <c r="M38" s="601">
        <v>6.4537976287559724</v>
      </c>
      <c r="N38" s="602">
        <v>0</v>
      </c>
      <c r="O38" s="602">
        <v>2.9898968028090507</v>
      </c>
      <c r="P38" s="602">
        <v>0</v>
      </c>
      <c r="Q38" s="601">
        <v>0</v>
      </c>
      <c r="R38" s="602">
        <v>0</v>
      </c>
      <c r="S38" s="602">
        <v>0</v>
      </c>
      <c r="T38" s="602"/>
      <c r="U38" s="602"/>
      <c r="V38" s="602"/>
      <c r="W38" s="606"/>
      <c r="X38" s="606"/>
    </row>
    <row r="39" spans="1:24">
      <c r="A39" s="591"/>
      <c r="B39" s="589" t="s">
        <v>270</v>
      </c>
      <c r="C39" s="596">
        <v>45072.460987301587</v>
      </c>
      <c r="D39" s="597">
        <v>0</v>
      </c>
      <c r="E39" s="597">
        <v>31972.619271910113</v>
      </c>
      <c r="F39" s="597">
        <v>39792.156264864861</v>
      </c>
      <c r="G39" s="597">
        <v>35458.892986206898</v>
      </c>
      <c r="H39" s="597">
        <v>39917.418285714288</v>
      </c>
      <c r="I39" s="596">
        <v>37692.196947413795</v>
      </c>
      <c r="J39" s="596">
        <v>0</v>
      </c>
      <c r="K39" s="597">
        <v>0</v>
      </c>
      <c r="L39" s="597">
        <v>0</v>
      </c>
      <c r="M39" s="597">
        <v>0</v>
      </c>
      <c r="N39" s="596">
        <v>0</v>
      </c>
      <c r="O39" s="596">
        <v>0</v>
      </c>
      <c r="P39" s="596">
        <v>0</v>
      </c>
      <c r="Q39" s="597">
        <v>0</v>
      </c>
      <c r="R39" s="596">
        <v>0</v>
      </c>
      <c r="S39" s="596">
        <v>0</v>
      </c>
      <c r="T39" s="596"/>
      <c r="U39" s="596"/>
      <c r="V39" s="596"/>
      <c r="W39" s="151"/>
      <c r="X39" s="151"/>
    </row>
    <row r="40" spans="1:24">
      <c r="A40" s="591"/>
      <c r="B40" s="598" t="s">
        <v>272</v>
      </c>
      <c r="C40" s="599">
        <v>45842.215265789477</v>
      </c>
      <c r="D40" s="151">
        <v>0</v>
      </c>
      <c r="E40" s="151">
        <v>39766.503624242425</v>
      </c>
      <c r="F40" s="151">
        <v>36957.885714285716</v>
      </c>
      <c r="G40" s="151">
        <v>36209.531219047625</v>
      </c>
      <c r="H40" s="151">
        <v>40669</v>
      </c>
      <c r="I40" s="599">
        <v>40741.623498230081</v>
      </c>
      <c r="J40" s="599">
        <v>0</v>
      </c>
      <c r="K40" s="151">
        <v>0</v>
      </c>
      <c r="L40" s="151">
        <v>0</v>
      </c>
      <c r="M40" s="151">
        <v>0</v>
      </c>
      <c r="N40" s="599">
        <v>0</v>
      </c>
      <c r="O40" s="599">
        <v>0</v>
      </c>
      <c r="P40" s="599">
        <v>0</v>
      </c>
      <c r="Q40" s="151">
        <v>0</v>
      </c>
      <c r="R40" s="599">
        <v>0</v>
      </c>
      <c r="S40" s="599">
        <v>0</v>
      </c>
      <c r="T40" s="599"/>
      <c r="U40" s="599"/>
      <c r="V40" s="599"/>
      <c r="W40" s="151"/>
      <c r="X40" s="151"/>
    </row>
    <row r="41" spans="1:24">
      <c r="A41" s="591"/>
      <c r="B41" s="600" t="s">
        <v>274</v>
      </c>
      <c r="C41" s="602">
        <v>1.7078150640692884</v>
      </c>
      <c r="D41" s="601">
        <v>0</v>
      </c>
      <c r="E41" s="601">
        <v>24.376746509410047</v>
      </c>
      <c r="F41" s="601">
        <v>-7.1226865207144137</v>
      </c>
      <c r="G41" s="601">
        <v>2.1169251762391927</v>
      </c>
      <c r="H41" s="601">
        <v>1.8828414926691028</v>
      </c>
      <c r="I41" s="602">
        <v>8.090339109367088</v>
      </c>
      <c r="J41" s="602">
        <v>0</v>
      </c>
      <c r="K41" s="601">
        <v>0</v>
      </c>
      <c r="L41" s="601">
        <v>0</v>
      </c>
      <c r="M41" s="601">
        <v>0</v>
      </c>
      <c r="N41" s="602">
        <v>0</v>
      </c>
      <c r="O41" s="602">
        <v>0</v>
      </c>
      <c r="P41" s="602">
        <v>0</v>
      </c>
      <c r="Q41" s="601">
        <v>0</v>
      </c>
      <c r="R41" s="602">
        <v>0</v>
      </c>
      <c r="S41" s="602">
        <v>0</v>
      </c>
      <c r="T41" s="602"/>
      <c r="U41" s="602"/>
      <c r="V41" s="602"/>
      <c r="W41" s="606"/>
      <c r="X41" s="606"/>
    </row>
    <row r="42" spans="1:24">
      <c r="A42" s="591"/>
      <c r="B42" s="589" t="s">
        <v>276</v>
      </c>
      <c r="C42" s="596">
        <v>0</v>
      </c>
      <c r="D42" s="597">
        <v>0</v>
      </c>
      <c r="E42" s="597">
        <v>0</v>
      </c>
      <c r="F42" s="597">
        <v>0</v>
      </c>
      <c r="G42" s="597">
        <v>0</v>
      </c>
      <c r="H42" s="597">
        <v>0</v>
      </c>
      <c r="I42" s="596">
        <v>0</v>
      </c>
      <c r="J42" s="596">
        <v>0</v>
      </c>
      <c r="K42" s="597">
        <v>46162.602924050632</v>
      </c>
      <c r="L42" s="597">
        <v>48153.877058035709</v>
      </c>
      <c r="M42" s="597">
        <v>42315.862752741516</v>
      </c>
      <c r="N42" s="596">
        <v>0</v>
      </c>
      <c r="O42" s="596">
        <v>43984.416891637629</v>
      </c>
      <c r="P42" s="596">
        <v>0</v>
      </c>
      <c r="Q42" s="597">
        <v>0</v>
      </c>
      <c r="R42" s="596">
        <v>0</v>
      </c>
      <c r="S42" s="596">
        <v>0</v>
      </c>
      <c r="T42" s="596"/>
      <c r="U42" s="596"/>
      <c r="V42" s="596"/>
      <c r="W42" s="151"/>
      <c r="X42" s="151"/>
    </row>
    <row r="43" spans="1:24">
      <c r="A43" s="591"/>
      <c r="B43" s="598" t="s">
        <v>278</v>
      </c>
      <c r="C43" s="599">
        <v>0</v>
      </c>
      <c r="D43" s="151">
        <v>0</v>
      </c>
      <c r="E43" s="151">
        <v>0</v>
      </c>
      <c r="F43" s="151">
        <v>0</v>
      </c>
      <c r="G43" s="151">
        <v>0</v>
      </c>
      <c r="H43" s="151">
        <v>0</v>
      </c>
      <c r="I43" s="599">
        <v>0</v>
      </c>
      <c r="J43" s="599">
        <v>0</v>
      </c>
      <c r="K43" s="151">
        <v>47404.103644444447</v>
      </c>
      <c r="L43" s="151">
        <v>47326.607705982904</v>
      </c>
      <c r="M43" s="151">
        <v>42034.877662025319</v>
      </c>
      <c r="N43" s="599">
        <v>0</v>
      </c>
      <c r="O43" s="599">
        <v>43839.398560167363</v>
      </c>
      <c r="P43" s="599">
        <v>0</v>
      </c>
      <c r="Q43" s="151">
        <v>0</v>
      </c>
      <c r="R43" s="599">
        <v>0</v>
      </c>
      <c r="S43" s="599">
        <v>0</v>
      </c>
      <c r="T43" s="599"/>
      <c r="U43" s="599"/>
      <c r="V43" s="599"/>
      <c r="W43" s="151"/>
      <c r="X43" s="151"/>
    </row>
    <row r="44" spans="1:24">
      <c r="A44" s="591"/>
      <c r="B44" s="600" t="s">
        <v>280</v>
      </c>
      <c r="C44" s="602">
        <v>0</v>
      </c>
      <c r="D44" s="601">
        <v>0</v>
      </c>
      <c r="E44" s="601">
        <v>0</v>
      </c>
      <c r="F44" s="601">
        <v>0</v>
      </c>
      <c r="G44" s="601">
        <v>0</v>
      </c>
      <c r="H44" s="601">
        <v>0</v>
      </c>
      <c r="I44" s="602">
        <v>0</v>
      </c>
      <c r="J44" s="602">
        <v>0</v>
      </c>
      <c r="K44" s="601">
        <v>2.6894079660897874</v>
      </c>
      <c r="L44" s="601">
        <v>-1.7179703953136907</v>
      </c>
      <c r="M44" s="601">
        <v>-0.66401834309284435</v>
      </c>
      <c r="N44" s="602">
        <v>0</v>
      </c>
      <c r="O44" s="602">
        <v>-0.32970388541819529</v>
      </c>
      <c r="P44" s="602">
        <v>0</v>
      </c>
      <c r="Q44" s="601">
        <v>0</v>
      </c>
      <c r="R44" s="602">
        <v>0</v>
      </c>
      <c r="S44" s="602">
        <v>0</v>
      </c>
      <c r="T44" s="602"/>
      <c r="U44" s="602"/>
      <c r="V44" s="602"/>
      <c r="W44" s="606"/>
      <c r="X44" s="606"/>
    </row>
    <row r="45" spans="1:24">
      <c r="A45" s="591"/>
      <c r="B45" s="589" t="s">
        <v>282</v>
      </c>
      <c r="C45" s="596">
        <v>76750.922739427304</v>
      </c>
      <c r="D45" s="597">
        <v>0</v>
      </c>
      <c r="E45" s="597">
        <v>56676.902067578128</v>
      </c>
      <c r="F45" s="597">
        <v>50929.420572222218</v>
      </c>
      <c r="G45" s="597">
        <v>49369.912337419351</v>
      </c>
      <c r="H45" s="597">
        <v>51601.683674430373</v>
      </c>
      <c r="I45" s="596">
        <v>59792.055882499313</v>
      </c>
      <c r="J45" s="596">
        <v>0</v>
      </c>
      <c r="K45" s="597">
        <v>46162.602924050632</v>
      </c>
      <c r="L45" s="597">
        <v>46587.940893063584</v>
      </c>
      <c r="M45" s="597">
        <v>41884.408191304348</v>
      </c>
      <c r="N45" s="596">
        <v>0</v>
      </c>
      <c r="O45" s="596">
        <v>43555.944535703915</v>
      </c>
      <c r="P45" s="596">
        <v>0</v>
      </c>
      <c r="Q45" s="597">
        <v>0</v>
      </c>
      <c r="R45" s="596">
        <v>0</v>
      </c>
      <c r="S45" s="596">
        <v>0</v>
      </c>
      <c r="T45" s="596"/>
      <c r="U45" s="596"/>
      <c r="V45" s="596"/>
      <c r="W45" s="151"/>
      <c r="X45" s="151"/>
    </row>
    <row r="46" spans="1:24">
      <c r="A46" s="591"/>
      <c r="B46" s="598" t="s">
        <v>284</v>
      </c>
      <c r="C46" s="599">
        <v>77922.003020168064</v>
      </c>
      <c r="D46" s="151">
        <v>0</v>
      </c>
      <c r="E46" s="151">
        <v>57765.180917686172</v>
      </c>
      <c r="F46" s="151">
        <v>52944.469623245619</v>
      </c>
      <c r="G46" s="151">
        <v>49637.593632051277</v>
      </c>
      <c r="H46" s="151">
        <v>52019.414833838382</v>
      </c>
      <c r="I46" s="599">
        <v>61129.79961629834</v>
      </c>
      <c r="J46" s="599">
        <v>0</v>
      </c>
      <c r="K46" s="151">
        <v>47404.103644444447</v>
      </c>
      <c r="L46" s="151">
        <v>46102.92443887324</v>
      </c>
      <c r="M46" s="151">
        <v>41852.148659777784</v>
      </c>
      <c r="N46" s="599">
        <v>0</v>
      </c>
      <c r="O46" s="599">
        <v>43576.138634502102</v>
      </c>
      <c r="P46" s="599">
        <v>0</v>
      </c>
      <c r="Q46" s="151">
        <v>0</v>
      </c>
      <c r="R46" s="599">
        <v>0</v>
      </c>
      <c r="S46" s="599">
        <v>0</v>
      </c>
      <c r="T46" s="599"/>
      <c r="U46" s="599"/>
      <c r="V46" s="599"/>
      <c r="W46" s="151"/>
      <c r="X46" s="151"/>
    </row>
    <row r="47" spans="1:24">
      <c r="A47" s="591"/>
      <c r="B47" s="600" t="s">
        <v>286</v>
      </c>
      <c r="C47" s="602">
        <v>1.5258191549261604</v>
      </c>
      <c r="D47" s="601">
        <v>0</v>
      </c>
      <c r="E47" s="601">
        <v>1.9201452627217432</v>
      </c>
      <c r="F47" s="601">
        <v>3.9565520840078903</v>
      </c>
      <c r="G47" s="601">
        <v>0.54219519938065608</v>
      </c>
      <c r="H47" s="601">
        <v>0.80953009604026371</v>
      </c>
      <c r="I47" s="602">
        <v>2.2373268723656219</v>
      </c>
      <c r="J47" s="602">
        <v>0</v>
      </c>
      <c r="K47" s="601">
        <v>2.6894079660897874</v>
      </c>
      <c r="L47" s="601">
        <v>-1.0410772506637156</v>
      </c>
      <c r="M47" s="601">
        <v>-7.7020382809806082E-2</v>
      </c>
      <c r="N47" s="602">
        <v>0</v>
      </c>
      <c r="O47" s="602">
        <v>4.6363588285023703E-2</v>
      </c>
      <c r="P47" s="602">
        <v>0</v>
      </c>
      <c r="Q47" s="601">
        <v>0</v>
      </c>
      <c r="R47" s="602">
        <v>0</v>
      </c>
      <c r="S47" s="602">
        <v>0</v>
      </c>
      <c r="T47" s="602"/>
      <c r="U47" s="602"/>
      <c r="V47" s="602"/>
      <c r="W47" s="606"/>
      <c r="X47" s="606"/>
    </row>
    <row r="48" spans="1:24">
      <c r="A48" s="595" t="s">
        <v>339</v>
      </c>
      <c r="B48" s="589" t="s">
        <v>246</v>
      </c>
      <c r="C48" s="596">
        <v>133148.79136781004</v>
      </c>
      <c r="D48" s="597">
        <v>0</v>
      </c>
      <c r="E48" s="597">
        <v>0</v>
      </c>
      <c r="F48" s="597">
        <v>81722.188240000003</v>
      </c>
      <c r="G48" s="597">
        <v>0</v>
      </c>
      <c r="H48" s="597">
        <v>0</v>
      </c>
      <c r="I48" s="596">
        <v>127690.77924339623</v>
      </c>
      <c r="J48" s="596">
        <v>0</v>
      </c>
      <c r="K48" s="597">
        <v>0</v>
      </c>
      <c r="L48" s="597">
        <v>0</v>
      </c>
      <c r="M48" s="597">
        <v>0</v>
      </c>
      <c r="N48" s="596">
        <v>0</v>
      </c>
      <c r="O48" s="596">
        <v>0</v>
      </c>
      <c r="P48" s="596">
        <v>0</v>
      </c>
      <c r="Q48" s="597">
        <v>0</v>
      </c>
      <c r="R48" s="596">
        <v>0</v>
      </c>
      <c r="S48" s="596">
        <v>0</v>
      </c>
      <c r="T48" s="596"/>
      <c r="U48" s="596"/>
      <c r="V48" s="596"/>
      <c r="W48" s="151"/>
      <c r="X48" s="151"/>
    </row>
    <row r="49" spans="1:24">
      <c r="A49" s="591"/>
      <c r="B49" s="598" t="s">
        <v>248</v>
      </c>
      <c r="C49" s="599">
        <v>134602.56833245384</v>
      </c>
      <c r="D49" s="151">
        <v>0</v>
      </c>
      <c r="E49" s="151">
        <v>0</v>
      </c>
      <c r="F49" s="151">
        <v>79203.881600000008</v>
      </c>
      <c r="G49" s="151">
        <v>0</v>
      </c>
      <c r="H49" s="151">
        <v>0</v>
      </c>
      <c r="I49" s="599">
        <v>129796.89912192771</v>
      </c>
      <c r="J49" s="599">
        <v>0</v>
      </c>
      <c r="K49" s="151">
        <v>0</v>
      </c>
      <c r="L49" s="151">
        <v>0</v>
      </c>
      <c r="M49" s="151">
        <v>0</v>
      </c>
      <c r="N49" s="599">
        <v>0</v>
      </c>
      <c r="O49" s="599">
        <v>0</v>
      </c>
      <c r="P49" s="599">
        <v>0</v>
      </c>
      <c r="Q49" s="151">
        <v>0</v>
      </c>
      <c r="R49" s="599">
        <v>0</v>
      </c>
      <c r="S49" s="599">
        <v>0</v>
      </c>
      <c r="T49" s="599"/>
      <c r="U49" s="599"/>
      <c r="V49" s="599"/>
      <c r="W49" s="151"/>
      <c r="X49" s="151"/>
    </row>
    <row r="50" spans="1:24">
      <c r="A50" s="591"/>
      <c r="B50" s="600" t="s">
        <v>250</v>
      </c>
      <c r="C50" s="602">
        <v>1.0918439061364695</v>
      </c>
      <c r="D50" s="601">
        <v>0</v>
      </c>
      <c r="E50" s="601">
        <v>0</v>
      </c>
      <c r="F50" s="601">
        <v>-3.0815457762881793</v>
      </c>
      <c r="G50" s="601">
        <v>0</v>
      </c>
      <c r="H50" s="601">
        <v>0</v>
      </c>
      <c r="I50" s="602">
        <v>1.649390732056637</v>
      </c>
      <c r="J50" s="602">
        <v>0</v>
      </c>
      <c r="K50" s="601">
        <v>0</v>
      </c>
      <c r="L50" s="601">
        <v>0</v>
      </c>
      <c r="M50" s="601">
        <v>0</v>
      </c>
      <c r="N50" s="602">
        <v>0</v>
      </c>
      <c r="O50" s="602">
        <v>0</v>
      </c>
      <c r="P50" s="602">
        <v>0</v>
      </c>
      <c r="Q50" s="601">
        <v>0</v>
      </c>
      <c r="R50" s="602">
        <v>0</v>
      </c>
      <c r="S50" s="602">
        <v>0</v>
      </c>
      <c r="T50" s="602"/>
      <c r="U50" s="602"/>
      <c r="V50" s="602"/>
      <c r="W50" s="606"/>
      <c r="X50" s="606"/>
    </row>
    <row r="51" spans="1:24">
      <c r="A51" s="591"/>
      <c r="B51" s="589" t="s">
        <v>252</v>
      </c>
      <c r="C51" s="596">
        <v>89724.521129824556</v>
      </c>
      <c r="D51" s="597">
        <v>0</v>
      </c>
      <c r="E51" s="597">
        <v>0</v>
      </c>
      <c r="F51" s="597">
        <v>64304.936280000002</v>
      </c>
      <c r="G51" s="597">
        <v>0</v>
      </c>
      <c r="H51" s="597">
        <v>0</v>
      </c>
      <c r="I51" s="596">
        <v>84905.642485308053</v>
      </c>
      <c r="J51" s="596">
        <v>0</v>
      </c>
      <c r="K51" s="597">
        <v>0</v>
      </c>
      <c r="L51" s="597">
        <v>0</v>
      </c>
      <c r="M51" s="597">
        <v>0</v>
      </c>
      <c r="N51" s="596">
        <v>0</v>
      </c>
      <c r="O51" s="596">
        <v>0</v>
      </c>
      <c r="P51" s="596">
        <v>0</v>
      </c>
      <c r="Q51" s="597">
        <v>0</v>
      </c>
      <c r="R51" s="596">
        <v>0</v>
      </c>
      <c r="S51" s="596">
        <v>0</v>
      </c>
      <c r="T51" s="596"/>
      <c r="U51" s="596"/>
      <c r="V51" s="596"/>
      <c r="W51" s="151"/>
      <c r="X51" s="151"/>
    </row>
    <row r="52" spans="1:24">
      <c r="A52" s="591"/>
      <c r="B52" s="598" t="s">
        <v>254</v>
      </c>
      <c r="C52" s="599">
        <v>91687.289451428573</v>
      </c>
      <c r="D52" s="151">
        <v>0</v>
      </c>
      <c r="E52" s="151">
        <v>0</v>
      </c>
      <c r="F52" s="151">
        <v>64594.062697674417</v>
      </c>
      <c r="G52" s="151">
        <v>0</v>
      </c>
      <c r="H52" s="151">
        <v>0</v>
      </c>
      <c r="I52" s="599">
        <v>86343.212614678909</v>
      </c>
      <c r="J52" s="599">
        <v>0</v>
      </c>
      <c r="K52" s="151">
        <v>0</v>
      </c>
      <c r="L52" s="151">
        <v>0</v>
      </c>
      <c r="M52" s="151">
        <v>0</v>
      </c>
      <c r="N52" s="599">
        <v>0</v>
      </c>
      <c r="O52" s="599">
        <v>0</v>
      </c>
      <c r="P52" s="599">
        <v>0</v>
      </c>
      <c r="Q52" s="151">
        <v>0</v>
      </c>
      <c r="R52" s="599">
        <v>0</v>
      </c>
      <c r="S52" s="599">
        <v>0</v>
      </c>
      <c r="T52" s="599"/>
      <c r="U52" s="599"/>
      <c r="V52" s="599"/>
      <c r="W52" s="151"/>
      <c r="X52" s="151"/>
    </row>
    <row r="53" spans="1:24">
      <c r="A53" s="591"/>
      <c r="B53" s="600" t="s">
        <v>256</v>
      </c>
      <c r="C53" s="602">
        <v>2.1875495091960873</v>
      </c>
      <c r="D53" s="601">
        <v>0</v>
      </c>
      <c r="E53" s="601">
        <v>0</v>
      </c>
      <c r="F53" s="601">
        <v>0.44961776560276112</v>
      </c>
      <c r="G53" s="601">
        <v>0</v>
      </c>
      <c r="H53" s="601">
        <v>0</v>
      </c>
      <c r="I53" s="602">
        <v>1.6931385091628159</v>
      </c>
      <c r="J53" s="602">
        <v>0</v>
      </c>
      <c r="K53" s="601">
        <v>0</v>
      </c>
      <c r="L53" s="601">
        <v>0</v>
      </c>
      <c r="M53" s="601">
        <v>0</v>
      </c>
      <c r="N53" s="602">
        <v>0</v>
      </c>
      <c r="O53" s="602">
        <v>0</v>
      </c>
      <c r="P53" s="602">
        <v>0</v>
      </c>
      <c r="Q53" s="601">
        <v>0</v>
      </c>
      <c r="R53" s="602">
        <v>0</v>
      </c>
      <c r="S53" s="602">
        <v>0</v>
      </c>
      <c r="T53" s="602"/>
      <c r="U53" s="602"/>
      <c r="V53" s="602"/>
      <c r="W53" s="606"/>
      <c r="X53" s="606"/>
    </row>
    <row r="54" spans="1:24">
      <c r="A54" s="591"/>
      <c r="B54" s="589" t="s">
        <v>258</v>
      </c>
      <c r="C54" s="596">
        <v>75828.517864808367</v>
      </c>
      <c r="D54" s="597">
        <v>0</v>
      </c>
      <c r="E54" s="597">
        <v>0</v>
      </c>
      <c r="F54" s="597">
        <v>59619.97</v>
      </c>
      <c r="G54" s="597">
        <v>0</v>
      </c>
      <c r="H54" s="597">
        <v>0</v>
      </c>
      <c r="I54" s="596">
        <v>73025.887110086449</v>
      </c>
      <c r="J54" s="596">
        <v>0</v>
      </c>
      <c r="K54" s="597">
        <v>0</v>
      </c>
      <c r="L54" s="597">
        <v>0</v>
      </c>
      <c r="M54" s="597">
        <v>0</v>
      </c>
      <c r="N54" s="596">
        <v>0</v>
      </c>
      <c r="O54" s="596">
        <v>0</v>
      </c>
      <c r="P54" s="596">
        <v>0</v>
      </c>
      <c r="Q54" s="597">
        <v>0</v>
      </c>
      <c r="R54" s="596">
        <v>0</v>
      </c>
      <c r="S54" s="596">
        <v>0</v>
      </c>
      <c r="T54" s="596"/>
      <c r="U54" s="596"/>
      <c r="V54" s="596"/>
      <c r="W54" s="151"/>
      <c r="X54" s="151"/>
    </row>
    <row r="55" spans="1:24">
      <c r="A55" s="591"/>
      <c r="B55" s="598" t="s">
        <v>260</v>
      </c>
      <c r="C55" s="599">
        <v>77905.654589655169</v>
      </c>
      <c r="D55" s="151">
        <v>0</v>
      </c>
      <c r="E55" s="151">
        <v>0</v>
      </c>
      <c r="F55" s="151">
        <v>59798.311460317462</v>
      </c>
      <c r="G55" s="151">
        <v>0</v>
      </c>
      <c r="H55" s="151">
        <v>0</v>
      </c>
      <c r="I55" s="599">
        <v>74674.032444759214</v>
      </c>
      <c r="J55" s="599">
        <v>0</v>
      </c>
      <c r="K55" s="151">
        <v>0</v>
      </c>
      <c r="L55" s="151">
        <v>0</v>
      </c>
      <c r="M55" s="151">
        <v>0</v>
      </c>
      <c r="N55" s="599">
        <v>0</v>
      </c>
      <c r="O55" s="599">
        <v>0</v>
      </c>
      <c r="P55" s="599">
        <v>0</v>
      </c>
      <c r="Q55" s="151">
        <v>0</v>
      </c>
      <c r="R55" s="599">
        <v>0</v>
      </c>
      <c r="S55" s="599">
        <v>0</v>
      </c>
      <c r="T55" s="599"/>
      <c r="U55" s="599"/>
      <c r="V55" s="599"/>
      <c r="W55" s="151"/>
      <c r="X55" s="151"/>
    </row>
    <row r="56" spans="1:24">
      <c r="A56" s="591"/>
      <c r="B56" s="600" t="s">
        <v>262</v>
      </c>
      <c r="C56" s="602">
        <v>2.7392553399896928</v>
      </c>
      <c r="D56" s="601">
        <v>0</v>
      </c>
      <c r="E56" s="601">
        <v>0</v>
      </c>
      <c r="F56" s="601">
        <v>0.29913040935354479</v>
      </c>
      <c r="G56" s="601">
        <v>0</v>
      </c>
      <c r="H56" s="601">
        <v>0</v>
      </c>
      <c r="I56" s="602">
        <v>2.2569329862274561</v>
      </c>
      <c r="J56" s="602">
        <v>0</v>
      </c>
      <c r="K56" s="601">
        <v>0</v>
      </c>
      <c r="L56" s="601">
        <v>0</v>
      </c>
      <c r="M56" s="601">
        <v>0</v>
      </c>
      <c r="N56" s="602">
        <v>0</v>
      </c>
      <c r="O56" s="602">
        <v>0</v>
      </c>
      <c r="P56" s="602">
        <v>0</v>
      </c>
      <c r="Q56" s="601">
        <v>0</v>
      </c>
      <c r="R56" s="602">
        <v>0</v>
      </c>
      <c r="S56" s="602">
        <v>0</v>
      </c>
      <c r="T56" s="602"/>
      <c r="U56" s="602"/>
      <c r="V56" s="602"/>
      <c r="W56" s="606"/>
      <c r="X56" s="606"/>
    </row>
    <row r="57" spans="1:24">
      <c r="A57" s="591"/>
      <c r="B57" s="589" t="s">
        <v>264</v>
      </c>
      <c r="C57" s="596">
        <v>60107.280878846155</v>
      </c>
      <c r="D57" s="597">
        <v>0</v>
      </c>
      <c r="E57" s="597">
        <v>0</v>
      </c>
      <c r="F57" s="597">
        <v>49781.321600000003</v>
      </c>
      <c r="G57" s="597">
        <v>0</v>
      </c>
      <c r="H57" s="597">
        <v>0</v>
      </c>
      <c r="I57" s="596">
        <v>59724.837942592596</v>
      </c>
      <c r="J57" s="596">
        <v>0</v>
      </c>
      <c r="K57" s="597">
        <v>0</v>
      </c>
      <c r="L57" s="597">
        <v>0</v>
      </c>
      <c r="M57" s="597">
        <v>0</v>
      </c>
      <c r="N57" s="596">
        <v>0</v>
      </c>
      <c r="O57" s="596">
        <v>0</v>
      </c>
      <c r="P57" s="596">
        <v>0</v>
      </c>
      <c r="Q57" s="597">
        <v>0</v>
      </c>
      <c r="R57" s="596">
        <v>0</v>
      </c>
      <c r="S57" s="596">
        <v>0</v>
      </c>
      <c r="T57" s="596"/>
      <c r="U57" s="596"/>
      <c r="V57" s="596"/>
      <c r="W57" s="151"/>
      <c r="X57" s="151"/>
    </row>
    <row r="58" spans="1:24">
      <c r="A58" s="591"/>
      <c r="B58" s="598" t="s">
        <v>266</v>
      </c>
      <c r="C58" s="599">
        <v>60780.762536448601</v>
      </c>
      <c r="D58" s="151">
        <v>0</v>
      </c>
      <c r="E58" s="151">
        <v>0</v>
      </c>
      <c r="F58" s="151">
        <v>56856</v>
      </c>
      <c r="G58" s="151">
        <v>0</v>
      </c>
      <c r="H58" s="151">
        <v>0</v>
      </c>
      <c r="I58" s="599">
        <v>60414.894842372887</v>
      </c>
      <c r="J58" s="599">
        <v>0</v>
      </c>
      <c r="K58" s="151">
        <v>0</v>
      </c>
      <c r="L58" s="151">
        <v>0</v>
      </c>
      <c r="M58" s="151">
        <v>0</v>
      </c>
      <c r="N58" s="599">
        <v>0</v>
      </c>
      <c r="O58" s="599">
        <v>0</v>
      </c>
      <c r="P58" s="599">
        <v>0</v>
      </c>
      <c r="Q58" s="151">
        <v>0</v>
      </c>
      <c r="R58" s="599">
        <v>0</v>
      </c>
      <c r="S58" s="599">
        <v>0</v>
      </c>
      <c r="T58" s="599"/>
      <c r="U58" s="599"/>
      <c r="V58" s="599"/>
      <c r="W58" s="151"/>
      <c r="X58" s="151"/>
    </row>
    <row r="59" spans="1:24">
      <c r="A59" s="591"/>
      <c r="B59" s="600" t="s">
        <v>268</v>
      </c>
      <c r="C59" s="602">
        <v>1.1204660196822638</v>
      </c>
      <c r="D59" s="601">
        <v>0</v>
      </c>
      <c r="E59" s="601">
        <v>0</v>
      </c>
      <c r="F59" s="601">
        <v>14.211511813298255</v>
      </c>
      <c r="G59" s="601">
        <v>0</v>
      </c>
      <c r="H59" s="601">
        <v>0</v>
      </c>
      <c r="I59" s="602">
        <v>1.1553935072098021</v>
      </c>
      <c r="J59" s="602">
        <v>0</v>
      </c>
      <c r="K59" s="601">
        <v>0</v>
      </c>
      <c r="L59" s="601">
        <v>0</v>
      </c>
      <c r="M59" s="601">
        <v>0</v>
      </c>
      <c r="N59" s="602">
        <v>0</v>
      </c>
      <c r="O59" s="602">
        <v>0</v>
      </c>
      <c r="P59" s="602">
        <v>0</v>
      </c>
      <c r="Q59" s="601">
        <v>0</v>
      </c>
      <c r="R59" s="602">
        <v>0</v>
      </c>
      <c r="S59" s="602">
        <v>0</v>
      </c>
      <c r="T59" s="602"/>
      <c r="U59" s="602"/>
      <c r="V59" s="602"/>
      <c r="W59" s="606"/>
      <c r="X59" s="606"/>
    </row>
    <row r="60" spans="1:24">
      <c r="A60" s="591"/>
      <c r="B60" s="589" t="s">
        <v>270</v>
      </c>
      <c r="C60" s="596">
        <v>0</v>
      </c>
      <c r="D60" s="597">
        <v>0</v>
      </c>
      <c r="E60" s="597">
        <v>0</v>
      </c>
      <c r="F60" s="597">
        <v>38786</v>
      </c>
      <c r="G60" s="597">
        <v>0</v>
      </c>
      <c r="H60" s="597">
        <v>0</v>
      </c>
      <c r="I60" s="596">
        <v>38786</v>
      </c>
      <c r="J60" s="596">
        <v>0</v>
      </c>
      <c r="K60" s="597">
        <v>0</v>
      </c>
      <c r="L60" s="597">
        <v>0</v>
      </c>
      <c r="M60" s="597">
        <v>0</v>
      </c>
      <c r="N60" s="596">
        <v>0</v>
      </c>
      <c r="O60" s="596">
        <v>0</v>
      </c>
      <c r="P60" s="596">
        <v>0</v>
      </c>
      <c r="Q60" s="597">
        <v>0</v>
      </c>
      <c r="R60" s="596">
        <v>0</v>
      </c>
      <c r="S60" s="596">
        <v>0</v>
      </c>
      <c r="T60" s="596"/>
      <c r="U60" s="596"/>
      <c r="V60" s="596"/>
      <c r="W60" s="151"/>
      <c r="X60" s="151"/>
    </row>
    <row r="61" spans="1:24">
      <c r="A61" s="591"/>
      <c r="B61" s="598" t="s">
        <v>272</v>
      </c>
      <c r="C61" s="599">
        <v>0</v>
      </c>
      <c r="D61" s="151">
        <v>0</v>
      </c>
      <c r="E61" s="151">
        <v>0</v>
      </c>
      <c r="F61" s="151">
        <v>41893</v>
      </c>
      <c r="G61" s="151">
        <v>0</v>
      </c>
      <c r="H61" s="151">
        <v>0</v>
      </c>
      <c r="I61" s="599">
        <v>41893</v>
      </c>
      <c r="J61" s="599">
        <v>0</v>
      </c>
      <c r="K61" s="151">
        <v>0</v>
      </c>
      <c r="L61" s="151">
        <v>0</v>
      </c>
      <c r="M61" s="151">
        <v>0</v>
      </c>
      <c r="N61" s="599">
        <v>0</v>
      </c>
      <c r="O61" s="599">
        <v>0</v>
      </c>
      <c r="P61" s="599">
        <v>0</v>
      </c>
      <c r="Q61" s="151">
        <v>0</v>
      </c>
      <c r="R61" s="599">
        <v>0</v>
      </c>
      <c r="S61" s="599">
        <v>0</v>
      </c>
      <c r="T61" s="599"/>
      <c r="U61" s="599"/>
      <c r="V61" s="599"/>
      <c r="W61" s="151"/>
      <c r="X61" s="151"/>
    </row>
    <row r="62" spans="1:24">
      <c r="A62" s="591"/>
      <c r="B62" s="600" t="s">
        <v>274</v>
      </c>
      <c r="C62" s="602">
        <v>0</v>
      </c>
      <c r="D62" s="601">
        <v>0</v>
      </c>
      <c r="E62" s="601">
        <v>0</v>
      </c>
      <c r="F62" s="601">
        <v>8.010622389521993</v>
      </c>
      <c r="G62" s="601">
        <v>0</v>
      </c>
      <c r="H62" s="601">
        <v>0</v>
      </c>
      <c r="I62" s="602">
        <v>8.010622389521993</v>
      </c>
      <c r="J62" s="602">
        <v>0</v>
      </c>
      <c r="K62" s="601">
        <v>0</v>
      </c>
      <c r="L62" s="601">
        <v>0</v>
      </c>
      <c r="M62" s="601">
        <v>0</v>
      </c>
      <c r="N62" s="602">
        <v>0</v>
      </c>
      <c r="O62" s="602">
        <v>0</v>
      </c>
      <c r="P62" s="602">
        <v>0</v>
      </c>
      <c r="Q62" s="601">
        <v>0</v>
      </c>
      <c r="R62" s="602">
        <v>0</v>
      </c>
      <c r="S62" s="602">
        <v>0</v>
      </c>
      <c r="T62" s="602"/>
      <c r="U62" s="602"/>
      <c r="V62" s="602"/>
      <c r="W62" s="606"/>
      <c r="X62" s="606"/>
    </row>
    <row r="63" spans="1:24">
      <c r="A63" s="591"/>
      <c r="B63" s="589" t="s">
        <v>276</v>
      </c>
      <c r="C63" s="596">
        <v>0</v>
      </c>
      <c r="D63" s="597">
        <v>0</v>
      </c>
      <c r="E63" s="597">
        <v>0</v>
      </c>
      <c r="F63" s="597">
        <v>0</v>
      </c>
      <c r="G63" s="597">
        <v>0</v>
      </c>
      <c r="H63" s="597">
        <v>0</v>
      </c>
      <c r="I63" s="596">
        <v>0</v>
      </c>
      <c r="J63" s="596">
        <v>0</v>
      </c>
      <c r="K63" s="597">
        <v>0</v>
      </c>
      <c r="L63" s="597">
        <v>62869.172308474575</v>
      </c>
      <c r="M63" s="597">
        <v>62452.983214814813</v>
      </c>
      <c r="N63" s="596">
        <v>0</v>
      </c>
      <c r="O63" s="596">
        <v>62779.514551595748</v>
      </c>
      <c r="P63" s="596">
        <v>0</v>
      </c>
      <c r="Q63" s="597">
        <v>0</v>
      </c>
      <c r="R63" s="596">
        <v>0</v>
      </c>
      <c r="S63" s="596">
        <v>0</v>
      </c>
      <c r="T63" s="596"/>
      <c r="U63" s="596"/>
      <c r="V63" s="596"/>
      <c r="W63" s="151"/>
      <c r="X63" s="151"/>
    </row>
    <row r="64" spans="1:24">
      <c r="A64" s="591"/>
      <c r="B64" s="598" t="s">
        <v>278</v>
      </c>
      <c r="C64" s="599">
        <v>0</v>
      </c>
      <c r="D64" s="151">
        <v>0</v>
      </c>
      <c r="E64" s="151">
        <v>0</v>
      </c>
      <c r="F64" s="151">
        <v>0</v>
      </c>
      <c r="G64" s="151">
        <v>0</v>
      </c>
      <c r="H64" s="151">
        <v>0</v>
      </c>
      <c r="I64" s="599">
        <v>0</v>
      </c>
      <c r="J64" s="599">
        <v>0</v>
      </c>
      <c r="K64" s="151">
        <v>0</v>
      </c>
      <c r="L64" s="151">
        <v>63829.264999999999</v>
      </c>
      <c r="M64" s="151">
        <v>63715.690800000004</v>
      </c>
      <c r="N64" s="599">
        <v>0</v>
      </c>
      <c r="O64" s="599">
        <v>63804.420643749996</v>
      </c>
      <c r="P64" s="599">
        <v>0</v>
      </c>
      <c r="Q64" s="151">
        <v>0</v>
      </c>
      <c r="R64" s="599">
        <v>0</v>
      </c>
      <c r="S64" s="599">
        <v>0</v>
      </c>
      <c r="T64" s="599"/>
      <c r="U64" s="599"/>
      <c r="V64" s="599"/>
      <c r="W64" s="151"/>
      <c r="X64" s="151"/>
    </row>
    <row r="65" spans="1:24">
      <c r="A65" s="591"/>
      <c r="B65" s="600" t="s">
        <v>280</v>
      </c>
      <c r="C65" s="602">
        <v>0</v>
      </c>
      <c r="D65" s="601">
        <v>0</v>
      </c>
      <c r="E65" s="601">
        <v>0</v>
      </c>
      <c r="F65" s="601">
        <v>0</v>
      </c>
      <c r="G65" s="601">
        <v>0</v>
      </c>
      <c r="H65" s="601">
        <v>0</v>
      </c>
      <c r="I65" s="602">
        <v>0</v>
      </c>
      <c r="J65" s="602">
        <v>0</v>
      </c>
      <c r="K65" s="601">
        <v>0</v>
      </c>
      <c r="L65" s="601">
        <v>1.5271279329312983</v>
      </c>
      <c r="M65" s="601">
        <v>2.0218531128320185</v>
      </c>
      <c r="N65" s="602">
        <v>0</v>
      </c>
      <c r="O65" s="602">
        <v>1.6325486099640387</v>
      </c>
      <c r="P65" s="602">
        <v>0</v>
      </c>
      <c r="Q65" s="601">
        <v>0</v>
      </c>
      <c r="R65" s="602">
        <v>0</v>
      </c>
      <c r="S65" s="602">
        <v>0</v>
      </c>
      <c r="T65" s="602"/>
      <c r="U65" s="602"/>
      <c r="V65" s="602"/>
      <c r="W65" s="606"/>
      <c r="X65" s="606"/>
    </row>
    <row r="66" spans="1:24">
      <c r="A66" s="591"/>
      <c r="B66" s="589" t="s">
        <v>282</v>
      </c>
      <c r="C66" s="596">
        <v>98168.273375359713</v>
      </c>
      <c r="D66" s="597">
        <v>0</v>
      </c>
      <c r="E66" s="597">
        <v>0</v>
      </c>
      <c r="F66" s="597">
        <v>66510.541366315796</v>
      </c>
      <c r="G66" s="597">
        <v>0</v>
      </c>
      <c r="H66" s="597">
        <v>0</v>
      </c>
      <c r="I66" s="596">
        <v>93548.481453917047</v>
      </c>
      <c r="J66" s="596">
        <v>0</v>
      </c>
      <c r="K66" s="597">
        <v>0</v>
      </c>
      <c r="L66" s="597">
        <v>62869.172308474575</v>
      </c>
      <c r="M66" s="597">
        <v>62452.983214814813</v>
      </c>
      <c r="N66" s="596">
        <v>0</v>
      </c>
      <c r="O66" s="596">
        <v>62779.514551595748</v>
      </c>
      <c r="P66" s="596">
        <v>0</v>
      </c>
      <c r="Q66" s="597">
        <v>0</v>
      </c>
      <c r="R66" s="596">
        <v>0</v>
      </c>
      <c r="S66" s="596">
        <v>0</v>
      </c>
      <c r="T66" s="596"/>
      <c r="U66" s="596"/>
      <c r="V66" s="596"/>
      <c r="W66" s="151"/>
      <c r="X66" s="151"/>
    </row>
    <row r="67" spans="1:24">
      <c r="A67" s="591"/>
      <c r="B67" s="598" t="s">
        <v>284</v>
      </c>
      <c r="C67" s="599">
        <v>99645.742565186505</v>
      </c>
      <c r="D67" s="151">
        <v>0</v>
      </c>
      <c r="E67" s="151">
        <v>0</v>
      </c>
      <c r="F67" s="151">
        <v>65065.276523232322</v>
      </c>
      <c r="G67" s="151">
        <v>0</v>
      </c>
      <c r="H67" s="151">
        <v>0</v>
      </c>
      <c r="I67" s="599">
        <v>94474.343564954674</v>
      </c>
      <c r="J67" s="599">
        <v>0</v>
      </c>
      <c r="K67" s="151">
        <v>0</v>
      </c>
      <c r="L67" s="151">
        <v>63829.264999999999</v>
      </c>
      <c r="M67" s="151">
        <v>63715.690800000004</v>
      </c>
      <c r="N67" s="599">
        <v>0</v>
      </c>
      <c r="O67" s="599">
        <v>63804.420643749996</v>
      </c>
      <c r="P67" s="599">
        <v>0</v>
      </c>
      <c r="Q67" s="151">
        <v>0</v>
      </c>
      <c r="R67" s="599">
        <v>0</v>
      </c>
      <c r="S67" s="599">
        <v>0</v>
      </c>
      <c r="T67" s="599"/>
      <c r="U67" s="599"/>
      <c r="V67" s="599"/>
      <c r="W67" s="151"/>
      <c r="X67" s="151"/>
    </row>
    <row r="68" spans="1:24">
      <c r="A68" s="591"/>
      <c r="B68" s="600" t="s">
        <v>286</v>
      </c>
      <c r="C68" s="602">
        <v>1.5050373598580959</v>
      </c>
      <c r="D68" s="601">
        <v>0</v>
      </c>
      <c r="E68" s="601">
        <v>0</v>
      </c>
      <c r="F68" s="601">
        <v>-2.1729861363230873</v>
      </c>
      <c r="G68" s="601">
        <v>0</v>
      </c>
      <c r="H68" s="601">
        <v>0</v>
      </c>
      <c r="I68" s="602">
        <v>0.9897136721494677</v>
      </c>
      <c r="J68" s="602">
        <v>0</v>
      </c>
      <c r="K68" s="601">
        <v>0</v>
      </c>
      <c r="L68" s="601">
        <v>1.5271279329312983</v>
      </c>
      <c r="M68" s="601">
        <v>2.0218531128320185</v>
      </c>
      <c r="N68" s="602">
        <v>0</v>
      </c>
      <c r="O68" s="602">
        <v>1.6325486099640387</v>
      </c>
      <c r="P68" s="602">
        <v>0</v>
      </c>
      <c r="Q68" s="601">
        <v>0</v>
      </c>
      <c r="R68" s="602">
        <v>0</v>
      </c>
      <c r="S68" s="602">
        <v>0</v>
      </c>
      <c r="T68" s="602"/>
      <c r="U68" s="602"/>
      <c r="V68" s="602"/>
      <c r="W68" s="606"/>
      <c r="X68" s="606"/>
    </row>
    <row r="69" spans="1:24">
      <c r="A69" s="595" t="s">
        <v>347</v>
      </c>
      <c r="B69" s="589" t="s">
        <v>246</v>
      </c>
      <c r="C69" s="596">
        <v>111587.72045161662</v>
      </c>
      <c r="D69" s="597">
        <v>92222.822972292939</v>
      </c>
      <c r="E69" s="597">
        <v>88679.548257057337</v>
      </c>
      <c r="F69" s="597">
        <v>90204.959920689653</v>
      </c>
      <c r="G69" s="597">
        <v>0</v>
      </c>
      <c r="H69" s="597">
        <v>85990.142857142855</v>
      </c>
      <c r="I69" s="596">
        <v>106498.22720428936</v>
      </c>
      <c r="J69" s="596">
        <v>0</v>
      </c>
      <c r="K69" s="597">
        <v>0</v>
      </c>
      <c r="L69" s="597">
        <v>0</v>
      </c>
      <c r="M69" s="597">
        <v>0</v>
      </c>
      <c r="N69" s="596">
        <v>0</v>
      </c>
      <c r="O69" s="596">
        <v>0</v>
      </c>
      <c r="P69" s="596">
        <v>0</v>
      </c>
      <c r="Q69" s="597">
        <v>0</v>
      </c>
      <c r="R69" s="596">
        <v>0</v>
      </c>
      <c r="S69" s="596">
        <v>0</v>
      </c>
      <c r="T69" s="596"/>
      <c r="U69" s="596"/>
      <c r="V69" s="596"/>
      <c r="W69" s="151"/>
      <c r="X69" s="151"/>
    </row>
    <row r="70" spans="1:24">
      <c r="A70" s="591"/>
      <c r="B70" s="598" t="s">
        <v>248</v>
      </c>
      <c r="C70" s="599">
        <v>114104.2691161142</v>
      </c>
      <c r="D70" s="151">
        <v>96670.059248704652</v>
      </c>
      <c r="E70" s="151">
        <v>88980.04168618421</v>
      </c>
      <c r="F70" s="151">
        <v>88769.625456250011</v>
      </c>
      <c r="G70" s="151">
        <v>0</v>
      </c>
      <c r="H70" s="151">
        <v>82860.049583333326</v>
      </c>
      <c r="I70" s="599">
        <v>108816.0737400261</v>
      </c>
      <c r="J70" s="599">
        <v>0</v>
      </c>
      <c r="K70" s="151">
        <v>0</v>
      </c>
      <c r="L70" s="151">
        <v>0</v>
      </c>
      <c r="M70" s="151">
        <v>0</v>
      </c>
      <c r="N70" s="599">
        <v>0</v>
      </c>
      <c r="O70" s="599">
        <v>0</v>
      </c>
      <c r="P70" s="599">
        <v>0</v>
      </c>
      <c r="Q70" s="151">
        <v>0</v>
      </c>
      <c r="R70" s="599">
        <v>0</v>
      </c>
      <c r="S70" s="599">
        <v>0</v>
      </c>
      <c r="T70" s="599"/>
      <c r="U70" s="599"/>
      <c r="V70" s="599"/>
      <c r="W70" s="151"/>
      <c r="X70" s="151"/>
    </row>
    <row r="71" spans="1:24">
      <c r="A71" s="591"/>
      <c r="B71" s="600" t="s">
        <v>250</v>
      </c>
      <c r="C71" s="602">
        <v>2.2552200675061975</v>
      </c>
      <c r="D71" s="601">
        <v>4.8222729830638817</v>
      </c>
      <c r="E71" s="601">
        <v>0.33885313472259238</v>
      </c>
      <c r="F71" s="601">
        <v>-1.5911923975151947</v>
      </c>
      <c r="G71" s="601">
        <v>0</v>
      </c>
      <c r="H71" s="601">
        <v>-3.6400605578823324</v>
      </c>
      <c r="I71" s="602">
        <v>2.1764179522824811</v>
      </c>
      <c r="J71" s="602">
        <v>0</v>
      </c>
      <c r="K71" s="601">
        <v>0</v>
      </c>
      <c r="L71" s="601">
        <v>0</v>
      </c>
      <c r="M71" s="601">
        <v>0</v>
      </c>
      <c r="N71" s="602">
        <v>0</v>
      </c>
      <c r="O71" s="602">
        <v>0</v>
      </c>
      <c r="P71" s="602">
        <v>0</v>
      </c>
      <c r="Q71" s="601">
        <v>0</v>
      </c>
      <c r="R71" s="602">
        <v>0</v>
      </c>
      <c r="S71" s="602">
        <v>0</v>
      </c>
      <c r="T71" s="602"/>
      <c r="U71" s="602"/>
      <c r="V71" s="602"/>
      <c r="W71" s="606"/>
      <c r="X71" s="606"/>
    </row>
    <row r="72" spans="1:24">
      <c r="A72" s="591"/>
      <c r="B72" s="589" t="s">
        <v>252</v>
      </c>
      <c r="C72" s="596">
        <v>76020.638553505894</v>
      </c>
      <c r="D72" s="597">
        <v>70942.851757450655</v>
      </c>
      <c r="E72" s="597">
        <v>69648.508542786076</v>
      </c>
      <c r="F72" s="597">
        <v>70339.931483870969</v>
      </c>
      <c r="G72" s="597">
        <v>0</v>
      </c>
      <c r="H72" s="597">
        <v>67331.444444444438</v>
      </c>
      <c r="I72" s="596">
        <v>74303.444425425536</v>
      </c>
      <c r="J72" s="596">
        <v>0</v>
      </c>
      <c r="K72" s="597">
        <v>0</v>
      </c>
      <c r="L72" s="597">
        <v>0</v>
      </c>
      <c r="M72" s="597">
        <v>0</v>
      </c>
      <c r="N72" s="596">
        <v>0</v>
      </c>
      <c r="O72" s="596">
        <v>0</v>
      </c>
      <c r="P72" s="596">
        <v>0</v>
      </c>
      <c r="Q72" s="597">
        <v>0</v>
      </c>
      <c r="R72" s="596">
        <v>0</v>
      </c>
      <c r="S72" s="596">
        <v>0</v>
      </c>
      <c r="T72" s="596"/>
      <c r="U72" s="596"/>
      <c r="V72" s="596"/>
      <c r="W72" s="151"/>
      <c r="X72" s="151"/>
    </row>
    <row r="73" spans="1:24">
      <c r="A73" s="591"/>
      <c r="B73" s="598" t="s">
        <v>254</v>
      </c>
      <c r="C73" s="599">
        <v>78401.501458144994</v>
      </c>
      <c r="D73" s="151">
        <v>72367.856142608696</v>
      </c>
      <c r="E73" s="151">
        <v>69937.35787394541</v>
      </c>
      <c r="F73" s="151">
        <v>71373.302698947373</v>
      </c>
      <c r="G73" s="151">
        <v>0</v>
      </c>
      <c r="H73" s="151">
        <v>66594.874639999995</v>
      </c>
      <c r="I73" s="599">
        <v>76213.591940350088</v>
      </c>
      <c r="J73" s="599">
        <v>0</v>
      </c>
      <c r="K73" s="151">
        <v>0</v>
      </c>
      <c r="L73" s="151">
        <v>0</v>
      </c>
      <c r="M73" s="151">
        <v>0</v>
      </c>
      <c r="N73" s="599">
        <v>0</v>
      </c>
      <c r="O73" s="599">
        <v>0</v>
      </c>
      <c r="P73" s="599">
        <v>0</v>
      </c>
      <c r="Q73" s="151">
        <v>0</v>
      </c>
      <c r="R73" s="599">
        <v>0</v>
      </c>
      <c r="S73" s="599">
        <v>0</v>
      </c>
      <c r="T73" s="599"/>
      <c r="U73" s="599"/>
      <c r="V73" s="599"/>
      <c r="W73" s="151"/>
      <c r="X73" s="151"/>
    </row>
    <row r="74" spans="1:24">
      <c r="A74" s="591"/>
      <c r="B74" s="600" t="s">
        <v>256</v>
      </c>
      <c r="C74" s="602">
        <v>3.1318638595272628</v>
      </c>
      <c r="D74" s="601">
        <v>2.0086652141219887</v>
      </c>
      <c r="E74" s="601">
        <v>0.41472435979284406</v>
      </c>
      <c r="F74" s="601">
        <v>1.4691103520812461</v>
      </c>
      <c r="G74" s="601">
        <v>0</v>
      </c>
      <c r="H74" s="601">
        <v>-1.0939462394159558</v>
      </c>
      <c r="I74" s="602">
        <v>2.5707388529500368</v>
      </c>
      <c r="J74" s="602">
        <v>0</v>
      </c>
      <c r="K74" s="601">
        <v>0</v>
      </c>
      <c r="L74" s="601">
        <v>0</v>
      </c>
      <c r="M74" s="601">
        <v>0</v>
      </c>
      <c r="N74" s="602">
        <v>0</v>
      </c>
      <c r="O74" s="602">
        <v>0</v>
      </c>
      <c r="P74" s="602">
        <v>0</v>
      </c>
      <c r="Q74" s="601">
        <v>0</v>
      </c>
      <c r="R74" s="602">
        <v>0</v>
      </c>
      <c r="S74" s="602">
        <v>0</v>
      </c>
      <c r="T74" s="602"/>
      <c r="U74" s="602"/>
      <c r="V74" s="602"/>
      <c r="W74" s="606"/>
      <c r="X74" s="606"/>
    </row>
    <row r="75" spans="1:24">
      <c r="A75" s="591"/>
      <c r="B75" s="589" t="s">
        <v>258</v>
      </c>
      <c r="C75" s="596">
        <v>66855.384912122317</v>
      </c>
      <c r="D75" s="597">
        <v>62075.278617638432</v>
      </c>
      <c r="E75" s="597">
        <v>57139.166796610174</v>
      </c>
      <c r="F75" s="597">
        <v>57588.755133913044</v>
      </c>
      <c r="G75" s="597">
        <v>0</v>
      </c>
      <c r="H75" s="597">
        <v>109469</v>
      </c>
      <c r="I75" s="596">
        <v>64485.363385468285</v>
      </c>
      <c r="J75" s="596">
        <v>0</v>
      </c>
      <c r="K75" s="597">
        <v>0</v>
      </c>
      <c r="L75" s="597">
        <v>0</v>
      </c>
      <c r="M75" s="597">
        <v>0</v>
      </c>
      <c r="N75" s="596">
        <v>0</v>
      </c>
      <c r="O75" s="596">
        <v>0</v>
      </c>
      <c r="P75" s="596">
        <v>0</v>
      </c>
      <c r="Q75" s="597">
        <v>0</v>
      </c>
      <c r="R75" s="596">
        <v>0</v>
      </c>
      <c r="S75" s="596">
        <v>0</v>
      </c>
      <c r="T75" s="596"/>
      <c r="U75" s="596"/>
      <c r="V75" s="596"/>
      <c r="W75" s="151"/>
      <c r="X75" s="151"/>
    </row>
    <row r="76" spans="1:24">
      <c r="A76" s="591"/>
      <c r="B76" s="598" t="s">
        <v>260</v>
      </c>
      <c r="C76" s="599">
        <v>69049.553146133243</v>
      </c>
      <c r="D76" s="151">
        <v>64029.218874698796</v>
      </c>
      <c r="E76" s="151">
        <v>58545.062373195884</v>
      </c>
      <c r="F76" s="151">
        <v>56233.136203225804</v>
      </c>
      <c r="G76" s="151">
        <v>0</v>
      </c>
      <c r="H76" s="151">
        <v>55388.154999999999</v>
      </c>
      <c r="I76" s="599">
        <v>66022.436329974167</v>
      </c>
      <c r="J76" s="599">
        <v>0</v>
      </c>
      <c r="K76" s="151">
        <v>0</v>
      </c>
      <c r="L76" s="151">
        <v>0</v>
      </c>
      <c r="M76" s="151">
        <v>0</v>
      </c>
      <c r="N76" s="599">
        <v>0</v>
      </c>
      <c r="O76" s="599">
        <v>0</v>
      </c>
      <c r="P76" s="599">
        <v>0</v>
      </c>
      <c r="Q76" s="151">
        <v>0</v>
      </c>
      <c r="R76" s="599">
        <v>0</v>
      </c>
      <c r="S76" s="599">
        <v>0</v>
      </c>
      <c r="T76" s="599"/>
      <c r="U76" s="599"/>
      <c r="V76" s="599"/>
      <c r="W76" s="151"/>
      <c r="X76" s="151"/>
    </row>
    <row r="77" spans="1:24">
      <c r="A77" s="591"/>
      <c r="B77" s="600" t="s">
        <v>262</v>
      </c>
      <c r="C77" s="602">
        <v>3.2819618597589972</v>
      </c>
      <c r="D77" s="601">
        <v>3.1476947032262843</v>
      </c>
      <c r="E77" s="601">
        <v>2.460476159181789</v>
      </c>
      <c r="F77" s="601">
        <v>-2.3539646369069351</v>
      </c>
      <c r="G77" s="601">
        <v>0</v>
      </c>
      <c r="H77" s="601">
        <v>-49.402885748476741</v>
      </c>
      <c r="I77" s="602">
        <v>2.3835997252862815</v>
      </c>
      <c r="J77" s="602">
        <v>0</v>
      </c>
      <c r="K77" s="601">
        <v>0</v>
      </c>
      <c r="L77" s="601">
        <v>0</v>
      </c>
      <c r="M77" s="601">
        <v>0</v>
      </c>
      <c r="N77" s="602">
        <v>0</v>
      </c>
      <c r="O77" s="602">
        <v>0</v>
      </c>
      <c r="P77" s="602">
        <v>0</v>
      </c>
      <c r="Q77" s="601">
        <v>0</v>
      </c>
      <c r="R77" s="602">
        <v>0</v>
      </c>
      <c r="S77" s="602">
        <v>0</v>
      </c>
      <c r="T77" s="602"/>
      <c r="U77" s="602"/>
      <c r="V77" s="602"/>
      <c r="W77" s="606"/>
      <c r="X77" s="606"/>
    </row>
    <row r="78" spans="1:24">
      <c r="A78" s="591"/>
      <c r="B78" s="589" t="s">
        <v>264</v>
      </c>
      <c r="C78" s="596">
        <v>48838.408139220737</v>
      </c>
      <c r="D78" s="597">
        <v>45227.150464946106</v>
      </c>
      <c r="E78" s="597">
        <v>46933.031527638195</v>
      </c>
      <c r="F78" s="597">
        <v>44415.801536708859</v>
      </c>
      <c r="G78" s="597">
        <v>0</v>
      </c>
      <c r="H78" s="597">
        <v>42021</v>
      </c>
      <c r="I78" s="596">
        <v>47556.364741666664</v>
      </c>
      <c r="J78" s="596">
        <v>0</v>
      </c>
      <c r="K78" s="597">
        <v>0</v>
      </c>
      <c r="L78" s="597">
        <v>0</v>
      </c>
      <c r="M78" s="597">
        <v>0</v>
      </c>
      <c r="N78" s="596">
        <v>0</v>
      </c>
      <c r="O78" s="596">
        <v>0</v>
      </c>
      <c r="P78" s="596">
        <v>0</v>
      </c>
      <c r="Q78" s="597">
        <v>0</v>
      </c>
      <c r="R78" s="596">
        <v>0</v>
      </c>
      <c r="S78" s="596">
        <v>0</v>
      </c>
      <c r="T78" s="596"/>
      <c r="U78" s="596"/>
      <c r="V78" s="596"/>
      <c r="W78" s="151"/>
      <c r="X78" s="151"/>
    </row>
    <row r="79" spans="1:24">
      <c r="A79" s="591"/>
      <c r="B79" s="598" t="s">
        <v>266</v>
      </c>
      <c r="C79" s="599">
        <v>49270.07460216996</v>
      </c>
      <c r="D79" s="151">
        <v>47799.094380219787</v>
      </c>
      <c r="E79" s="151">
        <v>46776.353515053772</v>
      </c>
      <c r="F79" s="151">
        <v>44103.214886666668</v>
      </c>
      <c r="G79" s="151">
        <v>0</v>
      </c>
      <c r="H79" s="151">
        <v>42020.78</v>
      </c>
      <c r="I79" s="599">
        <v>48193.315039025052</v>
      </c>
      <c r="J79" s="599">
        <v>0</v>
      </c>
      <c r="K79" s="151">
        <v>0</v>
      </c>
      <c r="L79" s="151">
        <v>0</v>
      </c>
      <c r="M79" s="151">
        <v>0</v>
      </c>
      <c r="N79" s="599">
        <v>0</v>
      </c>
      <c r="O79" s="599">
        <v>0</v>
      </c>
      <c r="P79" s="599">
        <v>0</v>
      </c>
      <c r="Q79" s="151">
        <v>0</v>
      </c>
      <c r="R79" s="599">
        <v>0</v>
      </c>
      <c r="S79" s="599">
        <v>0</v>
      </c>
      <c r="T79" s="599"/>
      <c r="U79" s="599"/>
      <c r="V79" s="599"/>
      <c r="W79" s="151"/>
      <c r="X79" s="151"/>
    </row>
    <row r="80" spans="1:24">
      <c r="A80" s="591"/>
      <c r="B80" s="600" t="s">
        <v>268</v>
      </c>
      <c r="C80" s="602">
        <v>0.88386677493397547</v>
      </c>
      <c r="D80" s="601">
        <v>5.6867255372789849</v>
      </c>
      <c r="E80" s="601">
        <v>-0.3338331394428633</v>
      </c>
      <c r="F80" s="601">
        <v>-0.70377352029512186</v>
      </c>
      <c r="G80" s="601">
        <v>0</v>
      </c>
      <c r="H80" s="601">
        <v>-5.2354774993732694E-4</v>
      </c>
      <c r="I80" s="602">
        <v>1.3393586764219627</v>
      </c>
      <c r="J80" s="602">
        <v>0</v>
      </c>
      <c r="K80" s="601">
        <v>0</v>
      </c>
      <c r="L80" s="601">
        <v>0</v>
      </c>
      <c r="M80" s="601">
        <v>0</v>
      </c>
      <c r="N80" s="602">
        <v>0</v>
      </c>
      <c r="O80" s="602">
        <v>0</v>
      </c>
      <c r="P80" s="602">
        <v>0</v>
      </c>
      <c r="Q80" s="601">
        <v>0</v>
      </c>
      <c r="R80" s="602">
        <v>0</v>
      </c>
      <c r="S80" s="602">
        <v>0</v>
      </c>
      <c r="T80" s="602"/>
      <c r="U80" s="602"/>
      <c r="V80" s="602"/>
      <c r="W80" s="606"/>
      <c r="X80" s="606"/>
    </row>
    <row r="81" spans="1:24">
      <c r="A81" s="591"/>
      <c r="B81" s="589" t="s">
        <v>270</v>
      </c>
      <c r="C81" s="596">
        <v>55525.997185152548</v>
      </c>
      <c r="D81" s="597">
        <v>58679.506411500006</v>
      </c>
      <c r="E81" s="597">
        <v>43219.548275757581</v>
      </c>
      <c r="F81" s="597">
        <v>44666.666666666664</v>
      </c>
      <c r="G81" s="597">
        <v>0</v>
      </c>
      <c r="H81" s="597">
        <v>0</v>
      </c>
      <c r="I81" s="596">
        <v>54148.199862851005</v>
      </c>
      <c r="J81" s="596">
        <v>0</v>
      </c>
      <c r="K81" s="597">
        <v>0</v>
      </c>
      <c r="L81" s="597">
        <v>0</v>
      </c>
      <c r="M81" s="597">
        <v>0</v>
      </c>
      <c r="N81" s="596">
        <v>0</v>
      </c>
      <c r="O81" s="596">
        <v>0</v>
      </c>
      <c r="P81" s="596">
        <v>0</v>
      </c>
      <c r="Q81" s="597">
        <v>0</v>
      </c>
      <c r="R81" s="596">
        <v>0</v>
      </c>
      <c r="S81" s="596">
        <v>0</v>
      </c>
      <c r="T81" s="596"/>
      <c r="U81" s="596"/>
      <c r="V81" s="596"/>
      <c r="W81" s="151"/>
      <c r="X81" s="151"/>
    </row>
    <row r="82" spans="1:24">
      <c r="A82" s="591"/>
      <c r="B82" s="598" t="s">
        <v>272</v>
      </c>
      <c r="C82" s="599">
        <v>57198.300282290504</v>
      </c>
      <c r="D82" s="151">
        <v>53629.285800000005</v>
      </c>
      <c r="E82" s="151">
        <v>46160.887551111111</v>
      </c>
      <c r="F82" s="151">
        <v>0</v>
      </c>
      <c r="G82" s="151">
        <v>0</v>
      </c>
      <c r="H82" s="151">
        <v>0</v>
      </c>
      <c r="I82" s="599">
        <v>56330.965895367524</v>
      </c>
      <c r="J82" s="599">
        <v>0</v>
      </c>
      <c r="K82" s="151">
        <v>0</v>
      </c>
      <c r="L82" s="151">
        <v>0</v>
      </c>
      <c r="M82" s="151">
        <v>0</v>
      </c>
      <c r="N82" s="599">
        <v>0</v>
      </c>
      <c r="O82" s="599">
        <v>0</v>
      </c>
      <c r="P82" s="599">
        <v>0</v>
      </c>
      <c r="Q82" s="151">
        <v>0</v>
      </c>
      <c r="R82" s="599">
        <v>0</v>
      </c>
      <c r="S82" s="599">
        <v>0</v>
      </c>
      <c r="T82" s="599"/>
      <c r="U82" s="599"/>
      <c r="V82" s="599"/>
      <c r="W82" s="151"/>
      <c r="X82" s="151"/>
    </row>
    <row r="83" spans="1:24">
      <c r="A83" s="591"/>
      <c r="B83" s="600" t="s">
        <v>274</v>
      </c>
      <c r="C83" s="602">
        <v>3.0117479773692812</v>
      </c>
      <c r="D83" s="601">
        <v>-8.6064469869335145</v>
      </c>
      <c r="E83" s="601">
        <v>6.8055761633292366</v>
      </c>
      <c r="F83" s="601">
        <v>-100</v>
      </c>
      <c r="G83" s="601">
        <v>0</v>
      </c>
      <c r="H83" s="601">
        <v>0</v>
      </c>
      <c r="I83" s="602">
        <v>4.0310962101143302</v>
      </c>
      <c r="J83" s="602">
        <v>0</v>
      </c>
      <c r="K83" s="601">
        <v>0</v>
      </c>
      <c r="L83" s="601">
        <v>0</v>
      </c>
      <c r="M83" s="601">
        <v>0</v>
      </c>
      <c r="N83" s="602">
        <v>0</v>
      </c>
      <c r="O83" s="602">
        <v>0</v>
      </c>
      <c r="P83" s="602">
        <v>0</v>
      </c>
      <c r="Q83" s="601">
        <v>0</v>
      </c>
      <c r="R83" s="602">
        <v>0</v>
      </c>
      <c r="S83" s="602">
        <v>0</v>
      </c>
      <c r="T83" s="602"/>
      <c r="U83" s="602"/>
      <c r="V83" s="602"/>
      <c r="W83" s="606"/>
      <c r="X83" s="606"/>
    </row>
    <row r="84" spans="1:24">
      <c r="A84" s="591"/>
      <c r="B84" s="589" t="s">
        <v>276</v>
      </c>
      <c r="C84" s="596">
        <v>0</v>
      </c>
      <c r="D84" s="597">
        <v>0</v>
      </c>
      <c r="E84" s="597">
        <v>0</v>
      </c>
      <c r="F84" s="597">
        <v>0</v>
      </c>
      <c r="G84" s="597">
        <v>0</v>
      </c>
      <c r="H84" s="597">
        <v>0</v>
      </c>
      <c r="I84" s="596">
        <v>0</v>
      </c>
      <c r="J84" s="596">
        <v>57610.60145888594</v>
      </c>
      <c r="K84" s="597">
        <v>52851.372625866745</v>
      </c>
      <c r="L84" s="597">
        <v>46253.260047281321</v>
      </c>
      <c r="M84" s="597">
        <v>47029.428571428572</v>
      </c>
      <c r="N84" s="596">
        <v>0</v>
      </c>
      <c r="O84" s="596">
        <v>53625.516518784214</v>
      </c>
      <c r="P84" s="596">
        <v>0</v>
      </c>
      <c r="Q84" s="597">
        <v>0</v>
      </c>
      <c r="R84" s="596">
        <v>0</v>
      </c>
      <c r="S84" s="596">
        <v>0</v>
      </c>
      <c r="T84" s="596"/>
      <c r="U84" s="596"/>
      <c r="V84" s="596"/>
      <c r="W84" s="151"/>
      <c r="X84" s="151"/>
    </row>
    <row r="85" spans="1:24">
      <c r="A85" s="591"/>
      <c r="B85" s="598" t="s">
        <v>278</v>
      </c>
      <c r="C85" s="599">
        <v>0</v>
      </c>
      <c r="D85" s="151">
        <v>0</v>
      </c>
      <c r="E85" s="151">
        <v>0</v>
      </c>
      <c r="F85" s="151">
        <v>0</v>
      </c>
      <c r="G85" s="151">
        <v>0</v>
      </c>
      <c r="H85" s="151">
        <v>0</v>
      </c>
      <c r="I85" s="599">
        <v>0</v>
      </c>
      <c r="J85" s="599">
        <v>58779.872367581367</v>
      </c>
      <c r="K85" s="151">
        <v>53262.509313154835</v>
      </c>
      <c r="L85" s="151">
        <v>46161.699769053121</v>
      </c>
      <c r="M85" s="151">
        <v>50101.859649122809</v>
      </c>
      <c r="N85" s="599">
        <v>0</v>
      </c>
      <c r="O85" s="599">
        <v>54243.92208265065</v>
      </c>
      <c r="P85" s="599">
        <v>0</v>
      </c>
      <c r="Q85" s="151">
        <v>0</v>
      </c>
      <c r="R85" s="599">
        <v>0</v>
      </c>
      <c r="S85" s="599">
        <v>0</v>
      </c>
      <c r="T85" s="599"/>
      <c r="U85" s="599"/>
      <c r="V85" s="599"/>
      <c r="W85" s="151"/>
      <c r="X85" s="151"/>
    </row>
    <row r="86" spans="1:24">
      <c r="A86" s="591"/>
      <c r="B86" s="600" t="s">
        <v>280</v>
      </c>
      <c r="C86" s="602">
        <v>0</v>
      </c>
      <c r="D86" s="601">
        <v>0</v>
      </c>
      <c r="E86" s="601">
        <v>0</v>
      </c>
      <c r="F86" s="601">
        <v>0</v>
      </c>
      <c r="G86" s="601">
        <v>0</v>
      </c>
      <c r="H86" s="601">
        <v>0</v>
      </c>
      <c r="I86" s="602">
        <v>0</v>
      </c>
      <c r="J86" s="602">
        <v>2.0296106603398032</v>
      </c>
      <c r="K86" s="601">
        <v>0.77791108699960154</v>
      </c>
      <c r="L86" s="601">
        <v>-0.19795421584252645</v>
      </c>
      <c r="M86" s="601">
        <v>6.532996829905791</v>
      </c>
      <c r="N86" s="602">
        <v>0</v>
      </c>
      <c r="O86" s="602">
        <v>1.1531927410896223</v>
      </c>
      <c r="P86" s="602">
        <v>0</v>
      </c>
      <c r="Q86" s="601">
        <v>0</v>
      </c>
      <c r="R86" s="602">
        <v>0</v>
      </c>
      <c r="S86" s="602">
        <v>0</v>
      </c>
      <c r="T86" s="602"/>
      <c r="U86" s="602"/>
      <c r="V86" s="602"/>
      <c r="W86" s="606"/>
      <c r="X86" s="606"/>
    </row>
    <row r="87" spans="1:24">
      <c r="A87" s="591"/>
      <c r="B87" s="589" t="s">
        <v>282</v>
      </c>
      <c r="C87" s="596">
        <v>80136.293242337037</v>
      </c>
      <c r="D87" s="597">
        <v>68760.949777424903</v>
      </c>
      <c r="E87" s="597">
        <v>65735.091774832137</v>
      </c>
      <c r="F87" s="597">
        <v>63330.62202643678</v>
      </c>
      <c r="G87" s="597">
        <v>0</v>
      </c>
      <c r="H87" s="597">
        <v>81165.366666666669</v>
      </c>
      <c r="I87" s="596">
        <v>76316.768813501709</v>
      </c>
      <c r="J87" s="596">
        <v>57610.60145888594</v>
      </c>
      <c r="K87" s="597">
        <v>52851.372625866745</v>
      </c>
      <c r="L87" s="597">
        <v>46253.260047281321</v>
      </c>
      <c r="M87" s="597">
        <v>47029.428571428572</v>
      </c>
      <c r="N87" s="596">
        <v>0</v>
      </c>
      <c r="O87" s="596">
        <v>53625.516518784214</v>
      </c>
      <c r="P87" s="596">
        <v>0</v>
      </c>
      <c r="Q87" s="597">
        <v>0</v>
      </c>
      <c r="R87" s="596">
        <v>0</v>
      </c>
      <c r="S87" s="596">
        <v>0</v>
      </c>
      <c r="T87" s="596"/>
      <c r="U87" s="596"/>
      <c r="V87" s="596"/>
      <c r="W87" s="151"/>
      <c r="X87" s="151"/>
    </row>
    <row r="88" spans="1:24">
      <c r="A88" s="591"/>
      <c r="B88" s="598" t="s">
        <v>284</v>
      </c>
      <c r="C88" s="599">
        <v>82114.445515932341</v>
      </c>
      <c r="D88" s="151">
        <v>70789.5371002584</v>
      </c>
      <c r="E88" s="151">
        <v>66913.886719607835</v>
      </c>
      <c r="F88" s="151">
        <v>62745.088510991962</v>
      </c>
      <c r="G88" s="151">
        <v>0</v>
      </c>
      <c r="H88" s="151">
        <v>68274.343258591558</v>
      </c>
      <c r="I88" s="599">
        <v>78037.041880881632</v>
      </c>
      <c r="J88" s="599">
        <v>58779.872367581367</v>
      </c>
      <c r="K88" s="151">
        <v>53262.509313154835</v>
      </c>
      <c r="L88" s="151">
        <v>46161.699769053121</v>
      </c>
      <c r="M88" s="151">
        <v>50101.859649122809</v>
      </c>
      <c r="N88" s="599">
        <v>0</v>
      </c>
      <c r="O88" s="599">
        <v>54243.92208265065</v>
      </c>
      <c r="P88" s="599">
        <v>0</v>
      </c>
      <c r="Q88" s="151">
        <v>0</v>
      </c>
      <c r="R88" s="599">
        <v>0</v>
      </c>
      <c r="S88" s="599">
        <v>0</v>
      </c>
      <c r="T88" s="599"/>
      <c r="U88" s="599"/>
      <c r="V88" s="599"/>
      <c r="W88" s="151"/>
      <c r="X88" s="151"/>
    </row>
    <row r="89" spans="1:24">
      <c r="A89" s="591"/>
      <c r="B89" s="600" t="s">
        <v>286</v>
      </c>
      <c r="C89" s="602">
        <v>2.4684848694127277</v>
      </c>
      <c r="D89" s="601">
        <v>2.9502025923142612</v>
      </c>
      <c r="E89" s="601">
        <v>1.7932506260332339</v>
      </c>
      <c r="F89" s="601">
        <v>-0.92456618411294444</v>
      </c>
      <c r="G89" s="601">
        <v>0</v>
      </c>
      <c r="H89" s="601">
        <v>-15.882418742733591</v>
      </c>
      <c r="I89" s="602">
        <v>2.2541219893413231</v>
      </c>
      <c r="J89" s="602">
        <v>2.0296106603398032</v>
      </c>
      <c r="K89" s="601">
        <v>0.77791108699960154</v>
      </c>
      <c r="L89" s="601">
        <v>-0.19795421584252645</v>
      </c>
      <c r="M89" s="601">
        <v>6.532996829905791</v>
      </c>
      <c r="N89" s="602">
        <v>0</v>
      </c>
      <c r="O89" s="602">
        <v>1.1531927410896223</v>
      </c>
      <c r="P89" s="602">
        <v>0</v>
      </c>
      <c r="Q89" s="601">
        <v>0</v>
      </c>
      <c r="R89" s="602">
        <v>0</v>
      </c>
      <c r="S89" s="602">
        <v>0</v>
      </c>
      <c r="T89" s="602"/>
      <c r="U89" s="602"/>
      <c r="V89" s="602"/>
      <c r="W89" s="606"/>
      <c r="X89" s="606"/>
    </row>
    <row r="90" spans="1:24">
      <c r="A90" s="595" t="s">
        <v>345</v>
      </c>
      <c r="B90" s="589" t="s">
        <v>246</v>
      </c>
      <c r="C90" s="596">
        <v>110364.92425900552</v>
      </c>
      <c r="D90" s="597">
        <v>140555.8193678392</v>
      </c>
      <c r="E90" s="597">
        <v>79246.854553551922</v>
      </c>
      <c r="F90" s="597">
        <v>77641.045897023811</v>
      </c>
      <c r="G90" s="597">
        <v>74353.521858479537</v>
      </c>
      <c r="H90" s="597">
        <v>81108.840145098045</v>
      </c>
      <c r="I90" s="596">
        <v>102274.0080089807</v>
      </c>
      <c r="J90" s="596">
        <v>67348.422451999999</v>
      </c>
      <c r="K90" s="597">
        <v>64534.307178378382</v>
      </c>
      <c r="L90" s="597">
        <v>60534.196318518523</v>
      </c>
      <c r="M90" s="597">
        <v>62437.280906666667</v>
      </c>
      <c r="N90" s="596">
        <v>0</v>
      </c>
      <c r="O90" s="596">
        <v>63360.76286120218</v>
      </c>
      <c r="P90" s="596">
        <v>0</v>
      </c>
      <c r="Q90" s="597">
        <v>0</v>
      </c>
      <c r="R90" s="596">
        <v>0</v>
      </c>
      <c r="S90" s="596">
        <v>0</v>
      </c>
      <c r="T90" s="596"/>
      <c r="U90" s="596"/>
      <c r="V90" s="596"/>
      <c r="W90" s="151"/>
      <c r="X90" s="151"/>
    </row>
    <row r="91" spans="1:24">
      <c r="A91" s="591"/>
      <c r="B91" s="598" t="s">
        <v>248</v>
      </c>
      <c r="C91" s="599">
        <v>109932.35000450957</v>
      </c>
      <c r="D91" s="151">
        <v>138407.57790754258</v>
      </c>
      <c r="E91" s="151">
        <v>79855.477259649124</v>
      </c>
      <c r="F91" s="151">
        <v>77533.850428937149</v>
      </c>
      <c r="G91" s="151">
        <v>74867.077662808064</v>
      </c>
      <c r="H91" s="151">
        <v>80513.308803773587</v>
      </c>
      <c r="I91" s="599">
        <v>101168.65917953177</v>
      </c>
      <c r="J91" s="599">
        <v>67160.14907777778</v>
      </c>
      <c r="K91" s="151">
        <v>66354.798276521746</v>
      </c>
      <c r="L91" s="151">
        <v>60943.479387341773</v>
      </c>
      <c r="M91" s="151">
        <v>61046.056900000003</v>
      </c>
      <c r="N91" s="599">
        <v>0</v>
      </c>
      <c r="O91" s="599">
        <v>64010.766101151843</v>
      </c>
      <c r="P91" s="599">
        <v>0</v>
      </c>
      <c r="Q91" s="151">
        <v>0</v>
      </c>
      <c r="R91" s="599">
        <v>0</v>
      </c>
      <c r="S91" s="599">
        <v>0</v>
      </c>
      <c r="T91" s="599"/>
      <c r="U91" s="599"/>
      <c r="V91" s="599"/>
      <c r="W91" s="151"/>
      <c r="X91" s="151"/>
    </row>
    <row r="92" spans="1:24">
      <c r="A92" s="591"/>
      <c r="B92" s="600" t="s">
        <v>250</v>
      </c>
      <c r="C92" s="602">
        <v>-0.39194903398907849</v>
      </c>
      <c r="D92" s="601">
        <v>-1.5283902651334542</v>
      </c>
      <c r="E92" s="601">
        <v>0.76800866043953586</v>
      </c>
      <c r="F92" s="601">
        <v>-0.13806546118510118</v>
      </c>
      <c r="G92" s="601">
        <v>0.69069465909900218</v>
      </c>
      <c r="H92" s="601">
        <v>-0.7342372795112031</v>
      </c>
      <c r="I92" s="602">
        <v>-1.0807719878855977</v>
      </c>
      <c r="J92" s="602">
        <v>-0.27955127583931694</v>
      </c>
      <c r="K92" s="601">
        <v>2.820966363071614</v>
      </c>
      <c r="L92" s="601">
        <v>0.67611877866468439</v>
      </c>
      <c r="M92" s="601">
        <v>-2.228194416003336</v>
      </c>
      <c r="N92" s="602">
        <v>0</v>
      </c>
      <c r="O92" s="602">
        <v>1.0258766002763531</v>
      </c>
      <c r="P92" s="602">
        <v>0</v>
      </c>
      <c r="Q92" s="601">
        <v>0</v>
      </c>
      <c r="R92" s="602">
        <v>0</v>
      </c>
      <c r="S92" s="602">
        <v>0</v>
      </c>
      <c r="T92" s="602"/>
      <c r="U92" s="602"/>
      <c r="V92" s="602"/>
      <c r="W92" s="606"/>
      <c r="X92" s="606"/>
    </row>
    <row r="93" spans="1:24">
      <c r="A93" s="591"/>
      <c r="B93" s="589" t="s">
        <v>252</v>
      </c>
      <c r="C93" s="596">
        <v>78353.591338144324</v>
      </c>
      <c r="D93" s="597">
        <v>95295.542560165966</v>
      </c>
      <c r="E93" s="597">
        <v>64105.628366831683</v>
      </c>
      <c r="F93" s="597">
        <v>63561.250042268046</v>
      </c>
      <c r="G93" s="597">
        <v>60068.989546961318</v>
      </c>
      <c r="H93" s="597">
        <v>63093.705925663722</v>
      </c>
      <c r="I93" s="596">
        <v>72435.153299857353</v>
      </c>
      <c r="J93" s="596">
        <v>52856.335842222223</v>
      </c>
      <c r="K93" s="597">
        <v>56088.968185915495</v>
      </c>
      <c r="L93" s="597">
        <v>51637.044510958905</v>
      </c>
      <c r="M93" s="597">
        <v>52482.431170731703</v>
      </c>
      <c r="N93" s="596">
        <v>0</v>
      </c>
      <c r="O93" s="596">
        <v>53490.434092601434</v>
      </c>
      <c r="P93" s="596">
        <v>0</v>
      </c>
      <c r="Q93" s="597">
        <v>0</v>
      </c>
      <c r="R93" s="596">
        <v>0</v>
      </c>
      <c r="S93" s="596">
        <v>0</v>
      </c>
      <c r="T93" s="596"/>
      <c r="U93" s="596"/>
      <c r="V93" s="596"/>
      <c r="W93" s="151"/>
      <c r="X93" s="151"/>
    </row>
    <row r="94" spans="1:24">
      <c r="A94" s="591"/>
      <c r="B94" s="598" t="s">
        <v>254</v>
      </c>
      <c r="C94" s="599">
        <v>78178.574449187814</v>
      </c>
      <c r="D94" s="151">
        <v>94234.647671369297</v>
      </c>
      <c r="E94" s="151">
        <v>64300.30805295</v>
      </c>
      <c r="F94" s="151">
        <v>63595.956791295277</v>
      </c>
      <c r="G94" s="151">
        <v>60205.362119402984</v>
      </c>
      <c r="H94" s="151">
        <v>60617.42420395161</v>
      </c>
      <c r="I94" s="599">
        <v>71989.985605063499</v>
      </c>
      <c r="J94" s="599">
        <v>53031.17305977011</v>
      </c>
      <c r="K94" s="151">
        <v>56869.633167160493</v>
      </c>
      <c r="L94" s="151">
        <v>51364.515721088435</v>
      </c>
      <c r="M94" s="151">
        <v>52482.337162790704</v>
      </c>
      <c r="N94" s="599">
        <v>0</v>
      </c>
      <c r="O94" s="599">
        <v>53835.801681731209</v>
      </c>
      <c r="P94" s="599">
        <v>0</v>
      </c>
      <c r="Q94" s="151">
        <v>0</v>
      </c>
      <c r="R94" s="599">
        <v>0</v>
      </c>
      <c r="S94" s="599">
        <v>0</v>
      </c>
      <c r="T94" s="599"/>
      <c r="U94" s="599"/>
      <c r="V94" s="599"/>
      <c r="W94" s="151"/>
      <c r="X94" s="151"/>
    </row>
    <row r="95" spans="1:24">
      <c r="A95" s="591"/>
      <c r="B95" s="600" t="s">
        <v>256</v>
      </c>
      <c r="C95" s="602">
        <v>-0.22336804984624614</v>
      </c>
      <c r="D95" s="601">
        <v>-1.1132681133819669</v>
      </c>
      <c r="E95" s="601">
        <v>0.30368579339758089</v>
      </c>
      <c r="F95" s="601">
        <v>5.4603628789791324E-2</v>
      </c>
      <c r="G95" s="601">
        <v>0.22702657972138973</v>
      </c>
      <c r="H95" s="601">
        <v>-3.9247682243132758</v>
      </c>
      <c r="I95" s="602">
        <v>-0.61457410458014539</v>
      </c>
      <c r="J95" s="602">
        <v>0.3307781645511364</v>
      </c>
      <c r="K95" s="601">
        <v>1.3918333791724673</v>
      </c>
      <c r="L95" s="601">
        <v>-0.5277776690194409</v>
      </c>
      <c r="M95" s="601">
        <v>-1.7912268715881554E-4</v>
      </c>
      <c r="N95" s="602">
        <v>0</v>
      </c>
      <c r="O95" s="602">
        <v>0.64566234129243127</v>
      </c>
      <c r="P95" s="602">
        <v>0</v>
      </c>
      <c r="Q95" s="601">
        <v>0</v>
      </c>
      <c r="R95" s="602">
        <v>0</v>
      </c>
      <c r="S95" s="602">
        <v>0</v>
      </c>
      <c r="T95" s="602"/>
      <c r="U95" s="602"/>
      <c r="V95" s="602"/>
      <c r="W95" s="606"/>
      <c r="X95" s="606"/>
    </row>
    <row r="96" spans="1:24">
      <c r="A96" s="591"/>
      <c r="B96" s="589" t="s">
        <v>258</v>
      </c>
      <c r="C96" s="596">
        <v>69698.758312628866</v>
      </c>
      <c r="D96" s="597">
        <v>85264</v>
      </c>
      <c r="E96" s="597">
        <v>55086.681853731345</v>
      </c>
      <c r="F96" s="597">
        <v>53619.708945482387</v>
      </c>
      <c r="G96" s="597">
        <v>51289.319389440992</v>
      </c>
      <c r="H96" s="597">
        <v>49640.725667415732</v>
      </c>
      <c r="I96" s="596">
        <v>60836.626523173429</v>
      </c>
      <c r="J96" s="596">
        <v>43344.060921052631</v>
      </c>
      <c r="K96" s="597">
        <v>45200.325607079649</v>
      </c>
      <c r="L96" s="597">
        <v>45388.898852173916</v>
      </c>
      <c r="M96" s="597">
        <v>44467.721311475412</v>
      </c>
      <c r="N96" s="596">
        <v>0</v>
      </c>
      <c r="O96" s="596">
        <v>44718.232233506045</v>
      </c>
      <c r="P96" s="596">
        <v>0</v>
      </c>
      <c r="Q96" s="597">
        <v>0</v>
      </c>
      <c r="R96" s="596">
        <v>0</v>
      </c>
      <c r="S96" s="596">
        <v>0</v>
      </c>
      <c r="T96" s="596"/>
      <c r="U96" s="596"/>
      <c r="V96" s="596"/>
      <c r="W96" s="151"/>
      <c r="X96" s="151"/>
    </row>
    <row r="97" spans="1:24">
      <c r="A97" s="591"/>
      <c r="B97" s="598" t="s">
        <v>260</v>
      </c>
      <c r="C97" s="599">
        <v>71213.253589595814</v>
      </c>
      <c r="D97" s="151">
        <v>85603.49</v>
      </c>
      <c r="E97" s="151">
        <v>55042.177326992751</v>
      </c>
      <c r="F97" s="151">
        <v>53814.067719978782</v>
      </c>
      <c r="G97" s="151">
        <v>52397.356902140666</v>
      </c>
      <c r="H97" s="151">
        <v>50639.757871249996</v>
      </c>
      <c r="I97" s="599">
        <v>61304.205027633325</v>
      </c>
      <c r="J97" s="599">
        <v>44101.838036363639</v>
      </c>
      <c r="K97" s="151">
        <v>45844.630506896559</v>
      </c>
      <c r="L97" s="151">
        <v>45718.721254945849</v>
      </c>
      <c r="M97" s="151">
        <v>44277.278947368424</v>
      </c>
      <c r="N97" s="599">
        <v>0</v>
      </c>
      <c r="O97" s="599">
        <v>45166.643955088279</v>
      </c>
      <c r="P97" s="599">
        <v>0</v>
      </c>
      <c r="Q97" s="151">
        <v>0</v>
      </c>
      <c r="R97" s="599">
        <v>0</v>
      </c>
      <c r="S97" s="599">
        <v>0</v>
      </c>
      <c r="T97" s="599"/>
      <c r="U97" s="599"/>
      <c r="V97" s="599"/>
      <c r="W97" s="151"/>
      <c r="X97" s="151"/>
    </row>
    <row r="98" spans="1:24">
      <c r="A98" s="591"/>
      <c r="B98" s="600" t="s">
        <v>262</v>
      </c>
      <c r="C98" s="602">
        <v>2.172915721358744</v>
      </c>
      <c r="D98" s="601">
        <v>0.39816335147307796</v>
      </c>
      <c r="E98" s="601">
        <v>-8.0789993590037662E-2</v>
      </c>
      <c r="F98" s="601">
        <v>0.36247636982514891</v>
      </c>
      <c r="G98" s="601">
        <v>2.160366965071848</v>
      </c>
      <c r="H98" s="601">
        <v>2.0125253819366109</v>
      </c>
      <c r="I98" s="602">
        <v>0.76858059228808417</v>
      </c>
      <c r="J98" s="602">
        <v>1.7482836153521284</v>
      </c>
      <c r="K98" s="601">
        <v>1.4254430497199655</v>
      </c>
      <c r="L98" s="601">
        <v>0.72665874500750627</v>
      </c>
      <c r="M98" s="601">
        <v>-0.42827102106948328</v>
      </c>
      <c r="N98" s="602">
        <v>0</v>
      </c>
      <c r="O98" s="602">
        <v>1.0027492125376367</v>
      </c>
      <c r="P98" s="602">
        <v>0</v>
      </c>
      <c r="Q98" s="601">
        <v>0</v>
      </c>
      <c r="R98" s="602">
        <v>0</v>
      </c>
      <c r="S98" s="602">
        <v>0</v>
      </c>
      <c r="T98" s="602"/>
      <c r="U98" s="602"/>
      <c r="V98" s="602"/>
      <c r="W98" s="606"/>
      <c r="X98" s="606"/>
    </row>
    <row r="99" spans="1:24">
      <c r="A99" s="591"/>
      <c r="B99" s="589" t="s">
        <v>264</v>
      </c>
      <c r="C99" s="596">
        <v>50880.656231775705</v>
      </c>
      <c r="D99" s="597">
        <v>33762.976744186046</v>
      </c>
      <c r="E99" s="597">
        <v>39695.966643321299</v>
      </c>
      <c r="F99" s="597">
        <v>42967.943321276594</v>
      </c>
      <c r="G99" s="597">
        <v>40872.711972277226</v>
      </c>
      <c r="H99" s="597">
        <v>48633</v>
      </c>
      <c r="I99" s="596">
        <v>41927.760893439998</v>
      </c>
      <c r="J99" s="596">
        <v>39929.565217391304</v>
      </c>
      <c r="K99" s="597">
        <v>40691.78633333333</v>
      </c>
      <c r="L99" s="597">
        <v>40975.250496551722</v>
      </c>
      <c r="M99" s="597">
        <v>38704.3125</v>
      </c>
      <c r="N99" s="596">
        <v>0</v>
      </c>
      <c r="O99" s="596">
        <v>40506.245136895675</v>
      </c>
      <c r="P99" s="596">
        <v>0</v>
      </c>
      <c r="Q99" s="597">
        <v>0</v>
      </c>
      <c r="R99" s="596">
        <v>0</v>
      </c>
      <c r="S99" s="596">
        <v>0</v>
      </c>
      <c r="T99" s="596"/>
      <c r="U99" s="596"/>
      <c r="V99" s="596"/>
      <c r="W99" s="151"/>
      <c r="X99" s="151"/>
    </row>
    <row r="100" spans="1:24">
      <c r="A100" s="591"/>
      <c r="B100" s="598" t="s">
        <v>266</v>
      </c>
      <c r="C100" s="599">
        <v>52086.671101886786</v>
      </c>
      <c r="D100" s="151">
        <v>49219.849999999991</v>
      </c>
      <c r="E100" s="151">
        <v>39102.52634343892</v>
      </c>
      <c r="F100" s="151">
        <v>43186.014888607599</v>
      </c>
      <c r="G100" s="151">
        <v>42350.0769</v>
      </c>
      <c r="H100" s="151">
        <v>50128.29</v>
      </c>
      <c r="I100" s="599">
        <v>43425.251119778484</v>
      </c>
      <c r="J100" s="599">
        <v>40604.5</v>
      </c>
      <c r="K100" s="151">
        <v>40216.907791858408</v>
      </c>
      <c r="L100" s="151">
        <v>40592.193291928939</v>
      </c>
      <c r="M100" s="151">
        <v>37285.96</v>
      </c>
      <c r="N100" s="599">
        <v>0</v>
      </c>
      <c r="O100" s="599">
        <v>40062.251290211083</v>
      </c>
      <c r="P100" s="599">
        <v>0</v>
      </c>
      <c r="Q100" s="151">
        <v>0</v>
      </c>
      <c r="R100" s="599">
        <v>0</v>
      </c>
      <c r="S100" s="599">
        <v>0</v>
      </c>
      <c r="T100" s="599"/>
      <c r="U100" s="599"/>
      <c r="V100" s="599"/>
      <c r="W100" s="151"/>
      <c r="X100" s="151"/>
    </row>
    <row r="101" spans="1:24">
      <c r="A101" s="591"/>
      <c r="B101" s="600" t="s">
        <v>268</v>
      </c>
      <c r="C101" s="602">
        <v>2.3702816736823205</v>
      </c>
      <c r="D101" s="601">
        <v>45.780540539795872</v>
      </c>
      <c r="E101" s="601">
        <v>-1.4949637206585649</v>
      </c>
      <c r="F101" s="601">
        <v>0.50752153925650167</v>
      </c>
      <c r="G101" s="601">
        <v>3.6145507758937745</v>
      </c>
      <c r="H101" s="601">
        <v>3.074640676084142</v>
      </c>
      <c r="I101" s="602">
        <v>3.5715959889782316</v>
      </c>
      <c r="J101" s="602">
        <v>1.6903133779045718</v>
      </c>
      <c r="K101" s="601">
        <v>-1.1670132581176891</v>
      </c>
      <c r="L101" s="601">
        <v>-0.93485018390557206</v>
      </c>
      <c r="M101" s="601">
        <v>-3.6645851802689968</v>
      </c>
      <c r="N101" s="602">
        <v>0</v>
      </c>
      <c r="O101" s="602">
        <v>-1.0961120814433982</v>
      </c>
      <c r="P101" s="602">
        <v>0</v>
      </c>
      <c r="Q101" s="601">
        <v>0</v>
      </c>
      <c r="R101" s="602">
        <v>0</v>
      </c>
      <c r="S101" s="602">
        <v>0</v>
      </c>
      <c r="T101" s="602"/>
      <c r="U101" s="602"/>
      <c r="V101" s="602"/>
      <c r="W101" s="606"/>
      <c r="X101" s="606"/>
    </row>
    <row r="102" spans="1:24">
      <c r="A102" s="591"/>
      <c r="B102" s="589" t="s">
        <v>270</v>
      </c>
      <c r="C102" s="596">
        <v>50649.577307984793</v>
      </c>
      <c r="D102" s="597">
        <v>67810.412901960794</v>
      </c>
      <c r="E102" s="597">
        <v>44443.012902857146</v>
      </c>
      <c r="F102" s="597">
        <v>47056.089837499996</v>
      </c>
      <c r="G102" s="597">
        <v>40438.353073684208</v>
      </c>
      <c r="H102" s="597">
        <v>48179.088888888888</v>
      </c>
      <c r="I102" s="596">
        <v>49828.168300173311</v>
      </c>
      <c r="J102" s="596">
        <v>0</v>
      </c>
      <c r="K102" s="597">
        <v>57126.806400000001</v>
      </c>
      <c r="L102" s="597">
        <v>42012.777699999999</v>
      </c>
      <c r="M102" s="597">
        <v>35500</v>
      </c>
      <c r="N102" s="596">
        <v>0</v>
      </c>
      <c r="O102" s="596">
        <v>47767.558183333334</v>
      </c>
      <c r="P102" s="596">
        <v>0</v>
      </c>
      <c r="Q102" s="597">
        <v>0</v>
      </c>
      <c r="R102" s="596">
        <v>0</v>
      </c>
      <c r="S102" s="596">
        <v>0</v>
      </c>
      <c r="T102" s="596"/>
      <c r="U102" s="596"/>
      <c r="V102" s="596"/>
      <c r="W102" s="151"/>
      <c r="X102" s="151"/>
    </row>
    <row r="103" spans="1:24">
      <c r="A103" s="591"/>
      <c r="B103" s="598" t="s">
        <v>272</v>
      </c>
      <c r="C103" s="599">
        <v>51315.764477076926</v>
      </c>
      <c r="D103" s="151">
        <v>62667.887383783789</v>
      </c>
      <c r="E103" s="151">
        <v>43699.473141538459</v>
      </c>
      <c r="F103" s="151">
        <v>47609.981512709222</v>
      </c>
      <c r="G103" s="151">
        <v>42471.754081632658</v>
      </c>
      <c r="H103" s="151">
        <v>47942.282972972964</v>
      </c>
      <c r="I103" s="599">
        <v>50140.536737910537</v>
      </c>
      <c r="J103" s="599">
        <v>36945.783333333333</v>
      </c>
      <c r="K103" s="151">
        <v>45637.898786666665</v>
      </c>
      <c r="L103" s="151">
        <v>38823.681400000001</v>
      </c>
      <c r="M103" s="151">
        <v>29999.994999999999</v>
      </c>
      <c r="N103" s="599">
        <v>0</v>
      </c>
      <c r="O103" s="599">
        <v>38164.25372967033</v>
      </c>
      <c r="P103" s="599">
        <v>0</v>
      </c>
      <c r="Q103" s="151">
        <v>0</v>
      </c>
      <c r="R103" s="599">
        <v>0</v>
      </c>
      <c r="S103" s="599">
        <v>0</v>
      </c>
      <c r="T103" s="599"/>
      <c r="U103" s="599"/>
      <c r="V103" s="599"/>
      <c r="W103" s="151"/>
      <c r="X103" s="151"/>
    </row>
    <row r="104" spans="1:24">
      <c r="A104" s="591"/>
      <c r="B104" s="600" t="s">
        <v>274</v>
      </c>
      <c r="C104" s="602">
        <v>1.3152867299192832</v>
      </c>
      <c r="D104" s="601">
        <v>-7.5836811753557454</v>
      </c>
      <c r="E104" s="601">
        <v>-1.6730183503623048</v>
      </c>
      <c r="F104" s="601">
        <v>1.1770881879943589</v>
      </c>
      <c r="G104" s="601">
        <v>5.0283971858184131</v>
      </c>
      <c r="H104" s="601">
        <v>-0.49151181846142433</v>
      </c>
      <c r="I104" s="602">
        <v>0.62689127132963474</v>
      </c>
      <c r="J104" s="602">
        <v>0</v>
      </c>
      <c r="K104" s="601">
        <v>-20.111237328564084</v>
      </c>
      <c r="L104" s="601">
        <v>-7.5907770792312963</v>
      </c>
      <c r="M104" s="601">
        <v>-15.492971830985919</v>
      </c>
      <c r="N104" s="602">
        <v>0</v>
      </c>
      <c r="O104" s="602">
        <v>-20.104239820685894</v>
      </c>
      <c r="P104" s="602">
        <v>0</v>
      </c>
      <c r="Q104" s="601">
        <v>0</v>
      </c>
      <c r="R104" s="602">
        <v>0</v>
      </c>
      <c r="S104" s="602">
        <v>0</v>
      </c>
      <c r="T104" s="602"/>
      <c r="U104" s="602"/>
      <c r="V104" s="602"/>
      <c r="W104" s="606"/>
      <c r="X104" s="606"/>
    </row>
    <row r="105" spans="1:24">
      <c r="A105" s="591"/>
      <c r="B105" s="589" t="s">
        <v>276</v>
      </c>
      <c r="C105" s="596">
        <v>0</v>
      </c>
      <c r="D105" s="597">
        <v>0</v>
      </c>
      <c r="E105" s="597">
        <v>0</v>
      </c>
      <c r="F105" s="597">
        <v>0</v>
      </c>
      <c r="G105" s="597">
        <v>0</v>
      </c>
      <c r="H105" s="597">
        <v>0</v>
      </c>
      <c r="I105" s="596">
        <v>0</v>
      </c>
      <c r="J105" s="596">
        <v>0</v>
      </c>
      <c r="K105" s="597">
        <v>0</v>
      </c>
      <c r="L105" s="597">
        <v>0</v>
      </c>
      <c r="M105" s="597">
        <v>0</v>
      </c>
      <c r="N105" s="596">
        <v>0</v>
      </c>
      <c r="O105" s="596">
        <v>0</v>
      </c>
      <c r="P105" s="596">
        <v>44984.557607792209</v>
      </c>
      <c r="Q105" s="597">
        <v>37568.506393333337</v>
      </c>
      <c r="R105" s="596">
        <v>0</v>
      </c>
      <c r="S105" s="596">
        <v>44879.06612536747</v>
      </c>
      <c r="T105" s="596"/>
      <c r="U105" s="596"/>
      <c r="V105" s="596"/>
      <c r="W105" s="151"/>
      <c r="X105" s="151"/>
    </row>
    <row r="106" spans="1:24">
      <c r="A106" s="591"/>
      <c r="B106" s="598" t="s">
        <v>278</v>
      </c>
      <c r="C106" s="599">
        <v>0</v>
      </c>
      <c r="D106" s="151">
        <v>0</v>
      </c>
      <c r="E106" s="151">
        <v>0</v>
      </c>
      <c r="F106" s="151">
        <v>0</v>
      </c>
      <c r="G106" s="151">
        <v>0</v>
      </c>
      <c r="H106" s="151">
        <v>0</v>
      </c>
      <c r="I106" s="599">
        <v>0</v>
      </c>
      <c r="J106" s="599">
        <v>0</v>
      </c>
      <c r="K106" s="151">
        <v>0</v>
      </c>
      <c r="L106" s="151">
        <v>0</v>
      </c>
      <c r="M106" s="151">
        <v>0</v>
      </c>
      <c r="N106" s="599">
        <v>0</v>
      </c>
      <c r="O106" s="599">
        <v>0</v>
      </c>
      <c r="P106" s="599">
        <v>45125.410549044027</v>
      </c>
      <c r="Q106" s="151">
        <v>37133.188799999996</v>
      </c>
      <c r="R106" s="599">
        <v>0</v>
      </c>
      <c r="S106" s="599">
        <v>45023.665847234421</v>
      </c>
      <c r="T106" s="599"/>
      <c r="U106" s="599"/>
      <c r="V106" s="599"/>
      <c r="W106" s="151"/>
      <c r="X106" s="151"/>
    </row>
    <row r="107" spans="1:24">
      <c r="A107" s="591"/>
      <c r="B107" s="600" t="s">
        <v>280</v>
      </c>
      <c r="C107" s="602">
        <v>0</v>
      </c>
      <c r="D107" s="601">
        <v>0</v>
      </c>
      <c r="E107" s="601">
        <v>0</v>
      </c>
      <c r="F107" s="601">
        <v>0</v>
      </c>
      <c r="G107" s="601">
        <v>0</v>
      </c>
      <c r="H107" s="601">
        <v>0</v>
      </c>
      <c r="I107" s="602">
        <v>0</v>
      </c>
      <c r="J107" s="602">
        <v>0</v>
      </c>
      <c r="K107" s="601">
        <v>0</v>
      </c>
      <c r="L107" s="601">
        <v>0</v>
      </c>
      <c r="M107" s="601">
        <v>0</v>
      </c>
      <c r="N107" s="602">
        <v>0</v>
      </c>
      <c r="O107" s="602">
        <v>0</v>
      </c>
      <c r="P107" s="602">
        <v>0.31311398564786547</v>
      </c>
      <c r="Q107" s="601">
        <v>-1.1587301043476914</v>
      </c>
      <c r="R107" s="602">
        <v>0</v>
      </c>
      <c r="S107" s="602">
        <v>0.32219859803459061</v>
      </c>
      <c r="T107" s="602"/>
      <c r="U107" s="602"/>
      <c r="V107" s="602"/>
      <c r="W107" s="606"/>
      <c r="X107" s="606"/>
    </row>
    <row r="108" spans="1:24">
      <c r="A108" s="591"/>
      <c r="B108" s="589" t="s">
        <v>282</v>
      </c>
      <c r="C108" s="596">
        <v>82608.400718853911</v>
      </c>
      <c r="D108" s="597">
        <v>107062.63898098159</v>
      </c>
      <c r="E108" s="597">
        <v>59610.573359830611</v>
      </c>
      <c r="F108" s="597">
        <v>59928.075391244522</v>
      </c>
      <c r="G108" s="597">
        <v>56293.851802214027</v>
      </c>
      <c r="H108" s="597">
        <v>57927.212865053763</v>
      </c>
      <c r="I108" s="596">
        <v>72787.952532273717</v>
      </c>
      <c r="J108" s="596">
        <v>48963.16156331361</v>
      </c>
      <c r="K108" s="597">
        <v>50094.771843216076</v>
      </c>
      <c r="L108" s="597">
        <v>47119.135242014388</v>
      </c>
      <c r="M108" s="597">
        <v>46285.490368862273</v>
      </c>
      <c r="N108" s="596">
        <v>0</v>
      </c>
      <c r="O108" s="596">
        <v>48163.168765206508</v>
      </c>
      <c r="P108" s="596">
        <v>44984.557607792209</v>
      </c>
      <c r="Q108" s="597">
        <v>37568.506393333337</v>
      </c>
      <c r="R108" s="596">
        <v>0</v>
      </c>
      <c r="S108" s="596">
        <v>44879.06612536747</v>
      </c>
      <c r="T108" s="596"/>
      <c r="U108" s="596"/>
      <c r="V108" s="596"/>
      <c r="W108" s="151"/>
      <c r="X108" s="151"/>
    </row>
    <row r="109" spans="1:24">
      <c r="A109" s="591"/>
      <c r="B109" s="598" t="s">
        <v>284</v>
      </c>
      <c r="C109" s="599">
        <v>82834.245913112536</v>
      </c>
      <c r="D109" s="151">
        <v>107284.9052771282</v>
      </c>
      <c r="E109" s="151">
        <v>60750.07001122785</v>
      </c>
      <c r="F109" s="151">
        <v>59474.124227744156</v>
      </c>
      <c r="G109" s="151">
        <v>57331.743067307099</v>
      </c>
      <c r="H109" s="151">
        <v>57771.364113622047</v>
      </c>
      <c r="I109" s="599">
        <v>72774.068051609604</v>
      </c>
      <c r="J109" s="599">
        <v>49113.038046242778</v>
      </c>
      <c r="K109" s="151">
        <v>50469.596227610629</v>
      </c>
      <c r="L109" s="151">
        <v>46792.740757942782</v>
      </c>
      <c r="M109" s="151">
        <v>44524.043983246076</v>
      </c>
      <c r="N109" s="599">
        <v>0</v>
      </c>
      <c r="O109" s="599">
        <v>47971.754367968664</v>
      </c>
      <c r="P109" s="599">
        <v>45125.410549044027</v>
      </c>
      <c r="Q109" s="151">
        <v>37133.188799999996</v>
      </c>
      <c r="R109" s="599">
        <v>0</v>
      </c>
      <c r="S109" s="599">
        <v>45023.665847234421</v>
      </c>
      <c r="T109" s="599"/>
      <c r="U109" s="599"/>
      <c r="V109" s="599"/>
      <c r="W109" s="151"/>
      <c r="X109" s="151"/>
    </row>
    <row r="110" spans="1:24">
      <c r="A110" s="591"/>
      <c r="B110" s="600" t="s">
        <v>286</v>
      </c>
      <c r="C110" s="602">
        <v>0.27339252702307804</v>
      </c>
      <c r="D110" s="601">
        <v>0.20760397675803144</v>
      </c>
      <c r="E110" s="601">
        <v>1.9115680107937103</v>
      </c>
      <c r="F110" s="601">
        <v>-0.75749331266975362</v>
      </c>
      <c r="G110" s="601">
        <v>1.8437026990792134</v>
      </c>
      <c r="H110" s="601">
        <v>-0.26904237874309478</v>
      </c>
      <c r="I110" s="602">
        <v>-1.9075245533190899E-2</v>
      </c>
      <c r="J110" s="602">
        <v>0.30610050116017379</v>
      </c>
      <c r="K110" s="601">
        <v>0.74823054503104258</v>
      </c>
      <c r="L110" s="601">
        <v>-0.69270049714446558</v>
      </c>
      <c r="M110" s="601">
        <v>-3.8056124534464857</v>
      </c>
      <c r="N110" s="602">
        <v>0</v>
      </c>
      <c r="O110" s="602">
        <v>-0.39742899428187889</v>
      </c>
      <c r="P110" s="602">
        <v>0.31311398564786547</v>
      </c>
      <c r="Q110" s="601">
        <v>-1.1587301043476914</v>
      </c>
      <c r="R110" s="602">
        <v>0</v>
      </c>
      <c r="S110" s="602">
        <v>0.32219859803459061</v>
      </c>
      <c r="T110" s="602"/>
      <c r="U110" s="602"/>
      <c r="V110" s="602"/>
      <c r="W110" s="606"/>
      <c r="X110" s="606"/>
    </row>
    <row r="111" spans="1:24">
      <c r="A111" s="595" t="s">
        <v>348</v>
      </c>
      <c r="B111" s="589" t="s">
        <v>246</v>
      </c>
      <c r="C111" s="596">
        <v>102228.45063302264</v>
      </c>
      <c r="D111" s="597">
        <v>0</v>
      </c>
      <c r="E111" s="597">
        <v>81109.151673536297</v>
      </c>
      <c r="F111" s="597">
        <v>88545.295349090899</v>
      </c>
      <c r="G111" s="597">
        <v>0</v>
      </c>
      <c r="H111" s="597">
        <v>0</v>
      </c>
      <c r="I111" s="596">
        <v>94058.351458385107</v>
      </c>
      <c r="J111" s="596">
        <v>0</v>
      </c>
      <c r="K111" s="597">
        <v>58025.457929870128</v>
      </c>
      <c r="L111" s="597">
        <v>58557.388679551819</v>
      </c>
      <c r="M111" s="597">
        <v>58217.247531313129</v>
      </c>
      <c r="N111" s="596">
        <v>0</v>
      </c>
      <c r="O111" s="596">
        <v>58367.894730163942</v>
      </c>
      <c r="P111" s="596">
        <v>62655.574644444445</v>
      </c>
      <c r="Q111" s="597">
        <v>0</v>
      </c>
      <c r="R111" s="596">
        <v>0</v>
      </c>
      <c r="S111" s="596">
        <v>62655.574644444445</v>
      </c>
      <c r="T111" s="596"/>
      <c r="U111" s="596"/>
      <c r="V111" s="596"/>
      <c r="W111" s="151"/>
      <c r="X111" s="151"/>
    </row>
    <row r="112" spans="1:24">
      <c r="A112" s="591"/>
      <c r="B112" s="598" t="s">
        <v>248</v>
      </c>
      <c r="C112" s="599">
        <v>104880.10045857519</v>
      </c>
      <c r="D112" s="151">
        <v>0</v>
      </c>
      <c r="E112" s="151">
        <v>80386.085236321829</v>
      </c>
      <c r="F112" s="151">
        <v>89722.689160360358</v>
      </c>
      <c r="G112" s="151">
        <v>0</v>
      </c>
      <c r="H112" s="151">
        <v>0</v>
      </c>
      <c r="I112" s="599">
        <v>95418.927701073626</v>
      </c>
      <c r="J112" s="599">
        <v>0</v>
      </c>
      <c r="K112" s="151">
        <v>58478.707629870129</v>
      </c>
      <c r="L112" s="151">
        <v>58357.696383522729</v>
      </c>
      <c r="M112" s="151">
        <v>58227.144441999997</v>
      </c>
      <c r="N112" s="599">
        <v>0</v>
      </c>
      <c r="O112" s="599">
        <v>58366.905191749174</v>
      </c>
      <c r="P112" s="599">
        <v>61578.059739999997</v>
      </c>
      <c r="Q112" s="151">
        <v>0</v>
      </c>
      <c r="R112" s="599">
        <v>0</v>
      </c>
      <c r="S112" s="599">
        <v>61578.059739999997</v>
      </c>
      <c r="T112" s="599"/>
      <c r="U112" s="599"/>
      <c r="V112" s="599"/>
      <c r="W112" s="151"/>
      <c r="X112" s="151"/>
    </row>
    <row r="113" spans="1:24">
      <c r="A113" s="591"/>
      <c r="B113" s="600" t="s">
        <v>250</v>
      </c>
      <c r="C113" s="602">
        <v>2.5938472207422794</v>
      </c>
      <c r="D113" s="601">
        <v>0</v>
      </c>
      <c r="E113" s="601">
        <v>-0.89147330762970389</v>
      </c>
      <c r="F113" s="601">
        <v>1.329707927030533</v>
      </c>
      <c r="G113" s="601">
        <v>0</v>
      </c>
      <c r="H113" s="601">
        <v>0</v>
      </c>
      <c r="I113" s="602">
        <v>1.4465235905080567</v>
      </c>
      <c r="J113" s="602">
        <v>0</v>
      </c>
      <c r="K113" s="601">
        <v>0.78112214219455234</v>
      </c>
      <c r="L113" s="601">
        <v>-0.34101981070549803</v>
      </c>
      <c r="M113" s="601">
        <v>1.6999963252376106E-2</v>
      </c>
      <c r="N113" s="602">
        <v>0</v>
      </c>
      <c r="O113" s="602">
        <v>-1.6953471070735922E-3</v>
      </c>
      <c r="P113" s="602">
        <v>-1.7197430724386298</v>
      </c>
      <c r="Q113" s="601">
        <v>0</v>
      </c>
      <c r="R113" s="602">
        <v>0</v>
      </c>
      <c r="S113" s="602">
        <v>-1.7197430724386298</v>
      </c>
      <c r="T113" s="602"/>
      <c r="U113" s="602"/>
      <c r="V113" s="602"/>
      <c r="W113" s="606"/>
      <c r="X113" s="606"/>
    </row>
    <row r="114" spans="1:24">
      <c r="A114" s="591"/>
      <c r="B114" s="589" t="s">
        <v>252</v>
      </c>
      <c r="C114" s="596">
        <v>75792.599856628483</v>
      </c>
      <c r="D114" s="597">
        <v>0</v>
      </c>
      <c r="E114" s="597">
        <v>63589.120594680848</v>
      </c>
      <c r="F114" s="597">
        <v>68000.423576000001</v>
      </c>
      <c r="G114" s="597">
        <v>0</v>
      </c>
      <c r="H114" s="597">
        <v>0</v>
      </c>
      <c r="I114" s="596">
        <v>69684.16048414816</v>
      </c>
      <c r="J114" s="596">
        <v>0</v>
      </c>
      <c r="K114" s="597">
        <v>49892.844045161291</v>
      </c>
      <c r="L114" s="597">
        <v>47126.719240924089</v>
      </c>
      <c r="M114" s="597">
        <v>47252.940548387101</v>
      </c>
      <c r="N114" s="596">
        <v>0</v>
      </c>
      <c r="O114" s="596">
        <v>48171.521308934709</v>
      </c>
      <c r="P114" s="596">
        <v>50449.382593939394</v>
      </c>
      <c r="Q114" s="597">
        <v>0</v>
      </c>
      <c r="R114" s="596">
        <v>0</v>
      </c>
      <c r="S114" s="596">
        <v>50449.382593939394</v>
      </c>
      <c r="T114" s="596"/>
      <c r="U114" s="596"/>
      <c r="V114" s="596"/>
      <c r="W114" s="151"/>
      <c r="X114" s="151"/>
    </row>
    <row r="115" spans="1:24">
      <c r="A115" s="591"/>
      <c r="B115" s="598" t="s">
        <v>254</v>
      </c>
      <c r="C115" s="599">
        <v>76048.276668932042</v>
      </c>
      <c r="D115" s="151">
        <v>0</v>
      </c>
      <c r="E115" s="151">
        <v>63652.113879715303</v>
      </c>
      <c r="F115" s="151">
        <v>66698.789339583323</v>
      </c>
      <c r="G115" s="151">
        <v>0</v>
      </c>
      <c r="H115" s="151">
        <v>0</v>
      </c>
      <c r="I115" s="599">
        <v>69662.165112973758</v>
      </c>
      <c r="J115" s="599">
        <v>0</v>
      </c>
      <c r="K115" s="151">
        <v>49249.016180733946</v>
      </c>
      <c r="L115" s="151">
        <v>47078.610341250002</v>
      </c>
      <c r="M115" s="151">
        <v>47276.520793103453</v>
      </c>
      <c r="N115" s="599">
        <v>0</v>
      </c>
      <c r="O115" s="599">
        <v>47891.743360067114</v>
      </c>
      <c r="P115" s="599">
        <v>49410.908539999997</v>
      </c>
      <c r="Q115" s="151">
        <v>0</v>
      </c>
      <c r="R115" s="599">
        <v>0</v>
      </c>
      <c r="S115" s="599">
        <v>49410.908539999997</v>
      </c>
      <c r="T115" s="599"/>
      <c r="U115" s="599"/>
      <c r="V115" s="599"/>
      <c r="W115" s="151"/>
      <c r="X115" s="151"/>
    </row>
    <row r="116" spans="1:24">
      <c r="A116" s="591"/>
      <c r="B116" s="600" t="s">
        <v>256</v>
      </c>
      <c r="C116" s="602">
        <v>0.33733743503614322</v>
      </c>
      <c r="D116" s="601">
        <v>0</v>
      </c>
      <c r="E116" s="601">
        <v>9.9062991350323967E-2</v>
      </c>
      <c r="F116" s="601">
        <v>-1.9141560713396424</v>
      </c>
      <c r="G116" s="601">
        <v>0</v>
      </c>
      <c r="H116" s="601">
        <v>0</v>
      </c>
      <c r="I116" s="602">
        <v>-3.156437707160939E-2</v>
      </c>
      <c r="J116" s="602">
        <v>0</v>
      </c>
      <c r="K116" s="601">
        <v>-1.2904212552897849</v>
      </c>
      <c r="L116" s="601">
        <v>-0.10208412647640937</v>
      </c>
      <c r="M116" s="601">
        <v>4.9902174219623917E-2</v>
      </c>
      <c r="N116" s="602">
        <v>0</v>
      </c>
      <c r="O116" s="602">
        <v>-0.58079533563683139</v>
      </c>
      <c r="P116" s="602">
        <v>-2.0584474983528369</v>
      </c>
      <c r="Q116" s="601">
        <v>0</v>
      </c>
      <c r="R116" s="602">
        <v>0</v>
      </c>
      <c r="S116" s="602">
        <v>-2.0584474983528369</v>
      </c>
      <c r="T116" s="602"/>
      <c r="U116" s="602"/>
      <c r="V116" s="602"/>
      <c r="W116" s="606"/>
      <c r="X116" s="606"/>
    </row>
    <row r="117" spans="1:24">
      <c r="A117" s="591"/>
      <c r="B117" s="589" t="s">
        <v>258</v>
      </c>
      <c r="C117" s="596">
        <v>63351.517042907799</v>
      </c>
      <c r="D117" s="597">
        <v>0</v>
      </c>
      <c r="E117" s="597">
        <v>53278.21701966667</v>
      </c>
      <c r="F117" s="597">
        <v>58951.922163546798</v>
      </c>
      <c r="G117" s="597">
        <v>0</v>
      </c>
      <c r="H117" s="597">
        <v>0</v>
      </c>
      <c r="I117" s="596">
        <v>58276.829570738846</v>
      </c>
      <c r="J117" s="596">
        <v>0</v>
      </c>
      <c r="K117" s="597">
        <v>42547.654983333334</v>
      </c>
      <c r="L117" s="597">
        <v>41209.789642465752</v>
      </c>
      <c r="M117" s="597">
        <v>40487.825757142855</v>
      </c>
      <c r="N117" s="596">
        <v>0</v>
      </c>
      <c r="O117" s="596">
        <v>41610.60476814815</v>
      </c>
      <c r="P117" s="596">
        <v>43874.66367894737</v>
      </c>
      <c r="Q117" s="597">
        <v>0</v>
      </c>
      <c r="R117" s="596">
        <v>0</v>
      </c>
      <c r="S117" s="596">
        <v>43874.66367894737</v>
      </c>
      <c r="T117" s="596"/>
      <c r="U117" s="596"/>
      <c r="V117" s="596"/>
      <c r="W117" s="151"/>
      <c r="X117" s="151"/>
    </row>
    <row r="118" spans="1:24">
      <c r="A118" s="591"/>
      <c r="B118" s="598" t="s">
        <v>260</v>
      </c>
      <c r="C118" s="599">
        <v>64989.15304034188</v>
      </c>
      <c r="D118" s="151">
        <v>0</v>
      </c>
      <c r="E118" s="151">
        <v>53997.603959869499</v>
      </c>
      <c r="F118" s="151">
        <v>58875.751162105262</v>
      </c>
      <c r="G118" s="151">
        <v>0</v>
      </c>
      <c r="H118" s="151">
        <v>0</v>
      </c>
      <c r="I118" s="599">
        <v>59297.967202305474</v>
      </c>
      <c r="J118" s="599">
        <v>0</v>
      </c>
      <c r="K118" s="151">
        <v>42873.134978378381</v>
      </c>
      <c r="L118" s="151">
        <v>40333.711737588659</v>
      </c>
      <c r="M118" s="151">
        <v>40467.893691666664</v>
      </c>
      <c r="N118" s="599">
        <v>0</v>
      </c>
      <c r="O118" s="599">
        <v>41133.451012552301</v>
      </c>
      <c r="P118" s="599">
        <v>44244.25603783784</v>
      </c>
      <c r="Q118" s="151">
        <v>0</v>
      </c>
      <c r="R118" s="599">
        <v>0</v>
      </c>
      <c r="S118" s="599">
        <v>44244.25603783784</v>
      </c>
      <c r="T118" s="599"/>
      <c r="U118" s="599"/>
      <c r="V118" s="599"/>
      <c r="W118" s="151"/>
      <c r="X118" s="151"/>
    </row>
    <row r="119" spans="1:24">
      <c r="A119" s="591"/>
      <c r="B119" s="600" t="s">
        <v>262</v>
      </c>
      <c r="C119" s="602">
        <v>2.5849988664437431</v>
      </c>
      <c r="D119" s="601">
        <v>0</v>
      </c>
      <c r="E119" s="601">
        <v>1.35024589868929</v>
      </c>
      <c r="F119" s="601">
        <v>-0.1292086816613375</v>
      </c>
      <c r="G119" s="601">
        <v>0</v>
      </c>
      <c r="H119" s="601">
        <v>0</v>
      </c>
      <c r="I119" s="602">
        <v>1.7522189163141213</v>
      </c>
      <c r="J119" s="602">
        <v>0</v>
      </c>
      <c r="K119" s="601">
        <v>0.76497751796789559</v>
      </c>
      <c r="L119" s="601">
        <v>-2.1258975415257018</v>
      </c>
      <c r="M119" s="601">
        <v>-4.9229774885291441E-2</v>
      </c>
      <c r="N119" s="602">
        <v>0</v>
      </c>
      <c r="O119" s="602">
        <v>-1.1467118977350175</v>
      </c>
      <c r="P119" s="602">
        <v>0.84238220398670172</v>
      </c>
      <c r="Q119" s="601">
        <v>0</v>
      </c>
      <c r="R119" s="602">
        <v>0</v>
      </c>
      <c r="S119" s="602">
        <v>0.84238220398670172</v>
      </c>
      <c r="T119" s="602"/>
      <c r="U119" s="602"/>
      <c r="V119" s="602"/>
      <c r="W119" s="606"/>
      <c r="X119" s="606"/>
    </row>
    <row r="120" spans="1:24">
      <c r="A120" s="591"/>
      <c r="B120" s="589" t="s">
        <v>264</v>
      </c>
      <c r="C120" s="596">
        <v>48847.351597916662</v>
      </c>
      <c r="D120" s="597">
        <v>0</v>
      </c>
      <c r="E120" s="597">
        <v>41584.852684291189</v>
      </c>
      <c r="F120" s="597">
        <v>44120.200378947367</v>
      </c>
      <c r="G120" s="597">
        <v>0</v>
      </c>
      <c r="H120" s="597">
        <v>0</v>
      </c>
      <c r="I120" s="596">
        <v>43567.223700000002</v>
      </c>
      <c r="J120" s="596">
        <v>0</v>
      </c>
      <c r="K120" s="597">
        <v>39790.935521739128</v>
      </c>
      <c r="L120" s="597">
        <v>36533.110205208337</v>
      </c>
      <c r="M120" s="597">
        <v>37504.712305882356</v>
      </c>
      <c r="N120" s="596">
        <v>0</v>
      </c>
      <c r="O120" s="596">
        <v>37407.091284067799</v>
      </c>
      <c r="P120" s="596">
        <v>38988.415929230767</v>
      </c>
      <c r="Q120" s="597">
        <v>0</v>
      </c>
      <c r="R120" s="596">
        <v>0</v>
      </c>
      <c r="S120" s="596">
        <v>38988.415929230767</v>
      </c>
      <c r="T120" s="596"/>
      <c r="U120" s="596"/>
      <c r="V120" s="596"/>
      <c r="W120" s="151"/>
      <c r="X120" s="151"/>
    </row>
    <row r="121" spans="1:24">
      <c r="A121" s="591"/>
      <c r="B121" s="598" t="s">
        <v>266</v>
      </c>
      <c r="C121" s="599">
        <v>50868.498442553195</v>
      </c>
      <c r="D121" s="151">
        <v>0</v>
      </c>
      <c r="E121" s="151">
        <v>42277.778252434458</v>
      </c>
      <c r="F121" s="151">
        <v>43837.6633</v>
      </c>
      <c r="G121" s="151">
        <v>0</v>
      </c>
      <c r="H121" s="151">
        <v>0</v>
      </c>
      <c r="I121" s="599">
        <v>44482.54244432717</v>
      </c>
      <c r="J121" s="599">
        <v>0</v>
      </c>
      <c r="K121" s="151">
        <v>39638.886736363638</v>
      </c>
      <c r="L121" s="151">
        <v>36759.444661333335</v>
      </c>
      <c r="M121" s="151">
        <v>38126.220893023252</v>
      </c>
      <c r="N121" s="599">
        <v>0</v>
      </c>
      <c r="O121" s="599">
        <v>37504.39841856288</v>
      </c>
      <c r="P121" s="599">
        <v>38518.710143661971</v>
      </c>
      <c r="Q121" s="151">
        <v>0</v>
      </c>
      <c r="R121" s="599">
        <v>0</v>
      </c>
      <c r="S121" s="599">
        <v>38518.710143661971</v>
      </c>
      <c r="T121" s="599"/>
      <c r="U121" s="599"/>
      <c r="V121" s="599"/>
      <c r="W121" s="151"/>
      <c r="X121" s="151"/>
    </row>
    <row r="122" spans="1:24">
      <c r="A122" s="591"/>
      <c r="B122" s="600" t="s">
        <v>268</v>
      </c>
      <c r="C122" s="602">
        <v>4.1376794821415341</v>
      </c>
      <c r="D122" s="601">
        <v>0</v>
      </c>
      <c r="E122" s="601">
        <v>1.6662931895031687</v>
      </c>
      <c r="F122" s="601">
        <v>-0.6403803167725054</v>
      </c>
      <c r="G122" s="601">
        <v>0</v>
      </c>
      <c r="H122" s="601">
        <v>0</v>
      </c>
      <c r="I122" s="602">
        <v>2.1009342955382473</v>
      </c>
      <c r="J122" s="602">
        <v>0</v>
      </c>
      <c r="K122" s="601">
        <v>-0.3821191519672113</v>
      </c>
      <c r="L122" s="601">
        <v>0.61953240458768954</v>
      </c>
      <c r="M122" s="601">
        <v>1.6571479926894845</v>
      </c>
      <c r="N122" s="602">
        <v>0</v>
      </c>
      <c r="O122" s="602">
        <v>0.26013018161752893</v>
      </c>
      <c r="P122" s="602">
        <v>-1.2047316475267311</v>
      </c>
      <c r="Q122" s="601">
        <v>0</v>
      </c>
      <c r="R122" s="602">
        <v>0</v>
      </c>
      <c r="S122" s="602">
        <v>-1.2047316475267311</v>
      </c>
      <c r="T122" s="602"/>
      <c r="U122" s="602"/>
      <c r="V122" s="602"/>
      <c r="W122" s="606"/>
      <c r="X122" s="606"/>
    </row>
    <row r="123" spans="1:24">
      <c r="A123" s="591"/>
      <c r="B123" s="589" t="s">
        <v>270</v>
      </c>
      <c r="C123" s="596">
        <v>46445.11940165289</v>
      </c>
      <c r="D123" s="597">
        <v>0</v>
      </c>
      <c r="E123" s="597">
        <v>48534.437566555185</v>
      </c>
      <c r="F123" s="597">
        <v>44222.613709803918</v>
      </c>
      <c r="G123" s="597">
        <v>0</v>
      </c>
      <c r="H123" s="597">
        <v>0</v>
      </c>
      <c r="I123" s="596">
        <v>46941.913049912742</v>
      </c>
      <c r="J123" s="596">
        <v>0</v>
      </c>
      <c r="K123" s="597">
        <v>0</v>
      </c>
      <c r="L123" s="597">
        <v>0</v>
      </c>
      <c r="M123" s="597">
        <v>0</v>
      </c>
      <c r="N123" s="596">
        <v>0</v>
      </c>
      <c r="O123" s="596">
        <v>0</v>
      </c>
      <c r="P123" s="596">
        <v>0</v>
      </c>
      <c r="Q123" s="597">
        <v>0</v>
      </c>
      <c r="R123" s="596">
        <v>0</v>
      </c>
      <c r="S123" s="596">
        <v>0</v>
      </c>
      <c r="T123" s="596"/>
      <c r="U123" s="596"/>
      <c r="V123" s="596"/>
      <c r="W123" s="151"/>
      <c r="X123" s="151"/>
    </row>
    <row r="124" spans="1:24">
      <c r="A124" s="591"/>
      <c r="B124" s="598" t="s">
        <v>272</v>
      </c>
      <c r="C124" s="599">
        <v>48689.083882894738</v>
      </c>
      <c r="D124" s="151">
        <v>0</v>
      </c>
      <c r="E124" s="151">
        <v>48461.324489361708</v>
      </c>
      <c r="F124" s="151">
        <v>44473.221907692307</v>
      </c>
      <c r="G124" s="151">
        <v>0</v>
      </c>
      <c r="H124" s="151">
        <v>0</v>
      </c>
      <c r="I124" s="599">
        <v>47532.937589254769</v>
      </c>
      <c r="J124" s="599">
        <v>0</v>
      </c>
      <c r="K124" s="151">
        <v>0</v>
      </c>
      <c r="L124" s="151">
        <v>0</v>
      </c>
      <c r="M124" s="151">
        <v>0</v>
      </c>
      <c r="N124" s="599">
        <v>0</v>
      </c>
      <c r="O124" s="599">
        <v>0</v>
      </c>
      <c r="P124" s="599">
        <v>0</v>
      </c>
      <c r="Q124" s="151">
        <v>0</v>
      </c>
      <c r="R124" s="599">
        <v>0</v>
      </c>
      <c r="S124" s="599">
        <v>0</v>
      </c>
      <c r="T124" s="599"/>
      <c r="U124" s="599"/>
      <c r="V124" s="599"/>
      <c r="W124" s="151"/>
      <c r="X124" s="151"/>
    </row>
    <row r="125" spans="1:24">
      <c r="A125" s="591"/>
      <c r="B125" s="600" t="s">
        <v>274</v>
      </c>
      <c r="C125" s="602">
        <v>4.831432258438741</v>
      </c>
      <c r="D125" s="601">
        <v>0</v>
      </c>
      <c r="E125" s="601">
        <v>-0.15064164922734904</v>
      </c>
      <c r="F125" s="601">
        <v>0.56669693820659461</v>
      </c>
      <c r="G125" s="601">
        <v>0</v>
      </c>
      <c r="H125" s="601">
        <v>0</v>
      </c>
      <c r="I125" s="602">
        <v>1.2590550766723065</v>
      </c>
      <c r="J125" s="602">
        <v>0</v>
      </c>
      <c r="K125" s="601">
        <v>0</v>
      </c>
      <c r="L125" s="601">
        <v>0</v>
      </c>
      <c r="M125" s="601">
        <v>0</v>
      </c>
      <c r="N125" s="602">
        <v>0</v>
      </c>
      <c r="O125" s="602">
        <v>0</v>
      </c>
      <c r="P125" s="602">
        <v>0</v>
      </c>
      <c r="Q125" s="601">
        <v>0</v>
      </c>
      <c r="R125" s="602">
        <v>0</v>
      </c>
      <c r="S125" s="602">
        <v>0</v>
      </c>
      <c r="T125" s="602"/>
      <c r="U125" s="602"/>
      <c r="V125" s="602"/>
      <c r="W125" s="606"/>
      <c r="X125" s="606"/>
    </row>
    <row r="126" spans="1:24">
      <c r="A126" s="591"/>
      <c r="B126" s="589" t="s">
        <v>276</v>
      </c>
      <c r="C126" s="596">
        <v>0</v>
      </c>
      <c r="D126" s="597">
        <v>0</v>
      </c>
      <c r="E126" s="597">
        <v>0</v>
      </c>
      <c r="F126" s="597">
        <v>0</v>
      </c>
      <c r="G126" s="597">
        <v>0</v>
      </c>
      <c r="H126" s="597">
        <v>0</v>
      </c>
      <c r="I126" s="596">
        <v>0</v>
      </c>
      <c r="J126" s="596">
        <v>0</v>
      </c>
      <c r="K126" s="597">
        <v>0</v>
      </c>
      <c r="L126" s="597">
        <v>0</v>
      </c>
      <c r="M126" s="597">
        <v>0</v>
      </c>
      <c r="N126" s="596">
        <v>0</v>
      </c>
      <c r="O126" s="596">
        <v>0</v>
      </c>
      <c r="P126" s="596">
        <v>0</v>
      </c>
      <c r="Q126" s="597">
        <v>0</v>
      </c>
      <c r="R126" s="596">
        <v>0</v>
      </c>
      <c r="S126" s="596">
        <v>0</v>
      </c>
      <c r="T126" s="596"/>
      <c r="U126" s="596"/>
      <c r="V126" s="596"/>
      <c r="W126" s="151"/>
      <c r="X126" s="151"/>
    </row>
    <row r="127" spans="1:24">
      <c r="A127" s="591"/>
      <c r="B127" s="598" t="s">
        <v>278</v>
      </c>
      <c r="C127" s="599">
        <v>0</v>
      </c>
      <c r="D127" s="151">
        <v>0</v>
      </c>
      <c r="E127" s="151">
        <v>0</v>
      </c>
      <c r="F127" s="151">
        <v>0</v>
      </c>
      <c r="G127" s="151">
        <v>0</v>
      </c>
      <c r="H127" s="151">
        <v>0</v>
      </c>
      <c r="I127" s="599">
        <v>0</v>
      </c>
      <c r="J127" s="599">
        <v>0</v>
      </c>
      <c r="K127" s="151">
        <v>0</v>
      </c>
      <c r="L127" s="151">
        <v>0</v>
      </c>
      <c r="M127" s="151">
        <v>0</v>
      </c>
      <c r="N127" s="599">
        <v>0</v>
      </c>
      <c r="O127" s="599">
        <v>0</v>
      </c>
      <c r="P127" s="599">
        <v>0</v>
      </c>
      <c r="Q127" s="151">
        <v>0</v>
      </c>
      <c r="R127" s="599">
        <v>0</v>
      </c>
      <c r="S127" s="599">
        <v>0</v>
      </c>
      <c r="T127" s="599"/>
      <c r="U127" s="599"/>
      <c r="V127" s="599"/>
      <c r="W127" s="151"/>
      <c r="X127" s="151"/>
    </row>
    <row r="128" spans="1:24">
      <c r="A128" s="591"/>
      <c r="B128" s="600" t="s">
        <v>280</v>
      </c>
      <c r="C128" s="602">
        <v>0</v>
      </c>
      <c r="D128" s="601">
        <v>0</v>
      </c>
      <c r="E128" s="601">
        <v>0</v>
      </c>
      <c r="F128" s="601">
        <v>0</v>
      </c>
      <c r="G128" s="601">
        <v>0</v>
      </c>
      <c r="H128" s="601">
        <v>0</v>
      </c>
      <c r="I128" s="602">
        <v>0</v>
      </c>
      <c r="J128" s="602">
        <v>0</v>
      </c>
      <c r="K128" s="601">
        <v>0</v>
      </c>
      <c r="L128" s="601">
        <v>0</v>
      </c>
      <c r="M128" s="601">
        <v>0</v>
      </c>
      <c r="N128" s="602">
        <v>0</v>
      </c>
      <c r="O128" s="602">
        <v>0</v>
      </c>
      <c r="P128" s="602">
        <v>0</v>
      </c>
      <c r="Q128" s="601">
        <v>0</v>
      </c>
      <c r="R128" s="602">
        <v>0</v>
      </c>
      <c r="S128" s="602">
        <v>0</v>
      </c>
      <c r="T128" s="602"/>
      <c r="U128" s="602"/>
      <c r="V128" s="602"/>
      <c r="W128" s="606"/>
      <c r="X128" s="606"/>
    </row>
    <row r="129" spans="1:24">
      <c r="A129" s="591"/>
      <c r="B129" s="589" t="s">
        <v>282</v>
      </c>
      <c r="C129" s="596">
        <v>78918.481451703221</v>
      </c>
      <c r="D129" s="597">
        <v>0</v>
      </c>
      <c r="E129" s="597">
        <v>59428.287017573217</v>
      </c>
      <c r="F129" s="597">
        <v>62441.87957303031</v>
      </c>
      <c r="G129" s="597">
        <v>0</v>
      </c>
      <c r="H129" s="597">
        <v>0</v>
      </c>
      <c r="I129" s="596">
        <v>68260.838038756556</v>
      </c>
      <c r="J129" s="596">
        <v>0</v>
      </c>
      <c r="K129" s="597">
        <v>49613.464754477616</v>
      </c>
      <c r="L129" s="597">
        <v>48311.994124048098</v>
      </c>
      <c r="M129" s="597">
        <v>49784.794435874435</v>
      </c>
      <c r="N129" s="596">
        <v>0</v>
      </c>
      <c r="O129" s="596">
        <v>48895.956974046676</v>
      </c>
      <c r="P129" s="596">
        <v>44346.303811034486</v>
      </c>
      <c r="Q129" s="597">
        <v>0</v>
      </c>
      <c r="R129" s="596">
        <v>0</v>
      </c>
      <c r="S129" s="596">
        <v>44346.303811034486</v>
      </c>
      <c r="T129" s="596"/>
      <c r="U129" s="596"/>
      <c r="V129" s="596"/>
      <c r="W129" s="151"/>
      <c r="X129" s="151"/>
    </row>
    <row r="130" spans="1:24">
      <c r="A130" s="591"/>
      <c r="B130" s="598" t="s">
        <v>284</v>
      </c>
      <c r="C130" s="599">
        <v>80062.521640869963</v>
      </c>
      <c r="D130" s="151">
        <v>0</v>
      </c>
      <c r="E130" s="151">
        <v>59655.037797591489</v>
      </c>
      <c r="F130" s="151">
        <v>62844.843185015285</v>
      </c>
      <c r="G130" s="151">
        <v>0</v>
      </c>
      <c r="H130" s="151">
        <v>0</v>
      </c>
      <c r="I130" s="599">
        <v>69042.577551673312</v>
      </c>
      <c r="J130" s="599">
        <v>0</v>
      </c>
      <c r="K130" s="151">
        <v>49864.814483203132</v>
      </c>
      <c r="L130" s="151">
        <v>47750.474797687864</v>
      </c>
      <c r="M130" s="151">
        <v>49668.487098666672</v>
      </c>
      <c r="N130" s="599">
        <v>0</v>
      </c>
      <c r="O130" s="599">
        <v>48603.485888788731</v>
      </c>
      <c r="P130" s="599">
        <v>44076.473624050632</v>
      </c>
      <c r="Q130" s="151">
        <v>0</v>
      </c>
      <c r="R130" s="599">
        <v>0</v>
      </c>
      <c r="S130" s="599">
        <v>44076.473624050632</v>
      </c>
      <c r="T130" s="599"/>
      <c r="U130" s="599"/>
      <c r="V130" s="599"/>
      <c r="W130" s="151"/>
      <c r="X130" s="151"/>
    </row>
    <row r="131" spans="1:24">
      <c r="A131" s="591"/>
      <c r="B131" s="600" t="s">
        <v>286</v>
      </c>
      <c r="C131" s="602">
        <v>1.4496480014847672</v>
      </c>
      <c r="D131" s="601">
        <v>0</v>
      </c>
      <c r="E131" s="601">
        <v>0.38155361932478515</v>
      </c>
      <c r="F131" s="601">
        <v>0.64534189992419999</v>
      </c>
      <c r="G131" s="601">
        <v>0</v>
      </c>
      <c r="H131" s="601">
        <v>0</v>
      </c>
      <c r="I131" s="602">
        <v>1.1452240191849195</v>
      </c>
      <c r="J131" s="602">
        <v>0</v>
      </c>
      <c r="K131" s="601">
        <v>0.50661595590908937</v>
      </c>
      <c r="L131" s="601">
        <v>-1.1622772699434663</v>
      </c>
      <c r="M131" s="601">
        <v>-0.23362020176175202</v>
      </c>
      <c r="N131" s="602">
        <v>0</v>
      </c>
      <c r="O131" s="602">
        <v>-0.59814983356023566</v>
      </c>
      <c r="P131" s="602">
        <v>-0.60846150365459228</v>
      </c>
      <c r="Q131" s="601">
        <v>0</v>
      </c>
      <c r="R131" s="602">
        <v>0</v>
      </c>
      <c r="S131" s="602">
        <v>-0.60846150365459228</v>
      </c>
      <c r="T131" s="602"/>
      <c r="U131" s="602"/>
      <c r="V131" s="602"/>
      <c r="W131" s="607"/>
      <c r="X131" s="606"/>
    </row>
    <row r="132" spans="1:24">
      <c r="A132" s="595" t="s">
        <v>308</v>
      </c>
      <c r="B132" s="589" t="s">
        <v>246</v>
      </c>
      <c r="C132" s="596">
        <v>110926.9698564334</v>
      </c>
      <c r="D132" s="597">
        <v>93054.029508215302</v>
      </c>
      <c r="E132" s="597">
        <v>77242.253073793108</v>
      </c>
      <c r="F132" s="597">
        <v>73524.769297744366</v>
      </c>
      <c r="G132" s="597">
        <v>0</v>
      </c>
      <c r="H132" s="597">
        <v>0</v>
      </c>
      <c r="I132" s="596">
        <v>91676.451248076919</v>
      </c>
      <c r="J132" s="596">
        <v>61863.030316666671</v>
      </c>
      <c r="K132" s="597">
        <v>78558.978587500009</v>
      </c>
      <c r="L132" s="597">
        <v>57372.367025000007</v>
      </c>
      <c r="M132" s="597">
        <v>59920.800000000003</v>
      </c>
      <c r="N132" s="596">
        <v>0</v>
      </c>
      <c r="O132" s="596">
        <v>71022.344535338343</v>
      </c>
      <c r="P132" s="596">
        <v>0</v>
      </c>
      <c r="Q132" s="597">
        <v>0</v>
      </c>
      <c r="R132" s="596">
        <v>0</v>
      </c>
      <c r="S132" s="596">
        <v>0</v>
      </c>
      <c r="T132" s="596"/>
      <c r="U132" s="596"/>
      <c r="V132" s="596"/>
      <c r="W132" s="151"/>
      <c r="X132" s="151"/>
    </row>
    <row r="133" spans="1:24">
      <c r="A133" s="591"/>
      <c r="B133" s="598" t="s">
        <v>248</v>
      </c>
      <c r="C133" s="599">
        <v>110371.4612013986</v>
      </c>
      <c r="D133" s="151">
        <v>92609.639215730334</v>
      </c>
      <c r="E133" s="151">
        <v>77867.110492203399</v>
      </c>
      <c r="F133" s="151">
        <v>72272.364383064516</v>
      </c>
      <c r="G133" s="151">
        <v>0</v>
      </c>
      <c r="H133" s="151">
        <v>0</v>
      </c>
      <c r="I133" s="599">
        <v>91274.647875301205</v>
      </c>
      <c r="J133" s="599">
        <v>60118.385550000006</v>
      </c>
      <c r="K133" s="151">
        <v>78594.205828947364</v>
      </c>
      <c r="L133" s="151">
        <v>55962.317900000002</v>
      </c>
      <c r="M133" s="151">
        <v>53192.893199999999</v>
      </c>
      <c r="N133" s="599">
        <v>0</v>
      </c>
      <c r="O133" s="599">
        <v>68319.956462937058</v>
      </c>
      <c r="P133" s="599">
        <v>0</v>
      </c>
      <c r="Q133" s="151">
        <v>0</v>
      </c>
      <c r="R133" s="599">
        <v>44248.624475510202</v>
      </c>
      <c r="S133" s="599">
        <v>44248.624475510202</v>
      </c>
      <c r="T133" s="599"/>
      <c r="U133" s="599"/>
      <c r="V133" s="599"/>
      <c r="W133" s="151"/>
      <c r="X133" s="151"/>
    </row>
    <row r="134" spans="1:24">
      <c r="A134" s="591"/>
      <c r="B134" s="600" t="s">
        <v>250</v>
      </c>
      <c r="C134" s="602">
        <v>-0.50078773066077198</v>
      </c>
      <c r="D134" s="601">
        <v>-0.47756157883064587</v>
      </c>
      <c r="E134" s="601">
        <v>0.80895804245033553</v>
      </c>
      <c r="F134" s="601">
        <v>-1.7033782310939827</v>
      </c>
      <c r="G134" s="601">
        <v>0</v>
      </c>
      <c r="H134" s="601">
        <v>0</v>
      </c>
      <c r="I134" s="602">
        <v>-0.43828416927748648</v>
      </c>
      <c r="J134" s="602">
        <v>-2.8201734666667879</v>
      </c>
      <c r="K134" s="601">
        <v>4.4841776307107818E-2</v>
      </c>
      <c r="L134" s="601">
        <v>-2.4577147468668605</v>
      </c>
      <c r="M134" s="601">
        <v>-11.227998958625392</v>
      </c>
      <c r="N134" s="602">
        <v>0</v>
      </c>
      <c r="O134" s="602">
        <v>-3.804982910774886</v>
      </c>
      <c r="P134" s="602">
        <v>0</v>
      </c>
      <c r="Q134" s="601">
        <v>0</v>
      </c>
      <c r="R134" s="602">
        <v>0</v>
      </c>
      <c r="S134" s="602">
        <v>0</v>
      </c>
      <c r="T134" s="602"/>
      <c r="U134" s="602"/>
      <c r="V134" s="602"/>
      <c r="W134" s="606"/>
      <c r="X134" s="606"/>
    </row>
    <row r="135" spans="1:24">
      <c r="A135" s="591"/>
      <c r="B135" s="589" t="s">
        <v>252</v>
      </c>
      <c r="C135" s="596">
        <v>79185.971375838926</v>
      </c>
      <c r="D135" s="597">
        <v>70345.243630538927</v>
      </c>
      <c r="E135" s="597">
        <v>64508.656293584914</v>
      </c>
      <c r="F135" s="597">
        <v>60380.084521885525</v>
      </c>
      <c r="G135" s="597">
        <v>0</v>
      </c>
      <c r="H135" s="597">
        <v>0</v>
      </c>
      <c r="I135" s="596">
        <v>68777.562699664995</v>
      </c>
      <c r="J135" s="596">
        <v>47543.925766666674</v>
      </c>
      <c r="K135" s="597">
        <v>60499.198991919191</v>
      </c>
      <c r="L135" s="597">
        <v>51794.11448444445</v>
      </c>
      <c r="M135" s="597">
        <v>48274.834268571431</v>
      </c>
      <c r="N135" s="596">
        <v>0</v>
      </c>
      <c r="O135" s="596">
        <v>54930.193447290643</v>
      </c>
      <c r="P135" s="596">
        <v>0</v>
      </c>
      <c r="Q135" s="597">
        <v>0</v>
      </c>
      <c r="R135" s="596">
        <v>0</v>
      </c>
      <c r="S135" s="596">
        <v>0</v>
      </c>
      <c r="T135" s="596"/>
      <c r="U135" s="596"/>
      <c r="V135" s="596"/>
      <c r="W135" s="151"/>
      <c r="X135" s="151"/>
    </row>
    <row r="136" spans="1:24">
      <c r="A136" s="591"/>
      <c r="B136" s="598" t="s">
        <v>254</v>
      </c>
      <c r="C136" s="599">
        <v>78092.475473400671</v>
      </c>
      <c r="D136" s="151">
        <v>70354.94346783626</v>
      </c>
      <c r="E136" s="151">
        <v>65813.779988811191</v>
      </c>
      <c r="F136" s="151">
        <v>59278.728357491294</v>
      </c>
      <c r="G136" s="151">
        <v>0</v>
      </c>
      <c r="H136" s="151">
        <v>0</v>
      </c>
      <c r="I136" s="599">
        <v>68556.594056930684</v>
      </c>
      <c r="J136" s="599">
        <v>47366.956821428568</v>
      </c>
      <c r="K136" s="151">
        <v>61144.436852631581</v>
      </c>
      <c r="L136" s="151">
        <v>50105.781994444449</v>
      </c>
      <c r="M136" s="151">
        <v>49059.907590697672</v>
      </c>
      <c r="N136" s="599">
        <v>0</v>
      </c>
      <c r="O136" s="599">
        <v>54694.952822772277</v>
      </c>
      <c r="P136" s="599">
        <v>0</v>
      </c>
      <c r="Q136" s="151">
        <v>0</v>
      </c>
      <c r="R136" s="599">
        <v>39281.461257142859</v>
      </c>
      <c r="S136" s="599">
        <v>39281.461257142859</v>
      </c>
      <c r="T136" s="599"/>
      <c r="U136" s="599"/>
      <c r="V136" s="599"/>
      <c r="W136" s="151"/>
      <c r="X136" s="151"/>
    </row>
    <row r="137" spans="1:24">
      <c r="A137" s="591"/>
      <c r="B137" s="600" t="s">
        <v>256</v>
      </c>
      <c r="C137" s="602">
        <v>-1.3809212458204441</v>
      </c>
      <c r="D137" s="601">
        <v>1.3788902840790136E-2</v>
      </c>
      <c r="E137" s="601">
        <v>2.0231760669243171</v>
      </c>
      <c r="F137" s="601">
        <v>-1.8240387921203221</v>
      </c>
      <c r="G137" s="601">
        <v>0</v>
      </c>
      <c r="H137" s="601">
        <v>0</v>
      </c>
      <c r="I137" s="602">
        <v>-0.32128012982842669</v>
      </c>
      <c r="J137" s="602">
        <v>-0.3722219871085618</v>
      </c>
      <c r="K137" s="601">
        <v>1.0665229812357908</v>
      </c>
      <c r="L137" s="601">
        <v>-3.2596994983031613</v>
      </c>
      <c r="M137" s="601">
        <v>1.6262579333956435</v>
      </c>
      <c r="N137" s="602">
        <v>0</v>
      </c>
      <c r="O137" s="602">
        <v>-0.4282537703860379</v>
      </c>
      <c r="P137" s="602">
        <v>0</v>
      </c>
      <c r="Q137" s="601">
        <v>0</v>
      </c>
      <c r="R137" s="602">
        <v>0</v>
      </c>
      <c r="S137" s="602">
        <v>0</v>
      </c>
      <c r="T137" s="602"/>
      <c r="U137" s="602"/>
      <c r="V137" s="602"/>
      <c r="W137" s="606"/>
      <c r="X137" s="606"/>
    </row>
    <row r="138" spans="1:24">
      <c r="A138" s="591"/>
      <c r="B138" s="589" t="s">
        <v>258</v>
      </c>
      <c r="C138" s="596">
        <v>69183.330636655955</v>
      </c>
      <c r="D138" s="597">
        <v>60476.623506234413</v>
      </c>
      <c r="E138" s="597">
        <v>55856.628348051949</v>
      </c>
      <c r="F138" s="597">
        <v>51869.674201436268</v>
      </c>
      <c r="G138" s="597">
        <v>0</v>
      </c>
      <c r="H138" s="597">
        <v>0</v>
      </c>
      <c r="I138" s="596">
        <v>58139.87442454655</v>
      </c>
      <c r="J138" s="596">
        <v>45177.735990697678</v>
      </c>
      <c r="K138" s="597">
        <v>60398.426584615387</v>
      </c>
      <c r="L138" s="597">
        <v>44619.205700000006</v>
      </c>
      <c r="M138" s="597">
        <v>44373.300621818184</v>
      </c>
      <c r="N138" s="596">
        <v>0</v>
      </c>
      <c r="O138" s="596">
        <v>52312.454723134331</v>
      </c>
      <c r="P138" s="596">
        <v>0</v>
      </c>
      <c r="Q138" s="597">
        <v>0</v>
      </c>
      <c r="R138" s="596">
        <v>0</v>
      </c>
      <c r="S138" s="596">
        <v>0</v>
      </c>
      <c r="T138" s="596"/>
      <c r="U138" s="596"/>
      <c r="V138" s="596"/>
      <c r="W138" s="151"/>
      <c r="X138" s="151"/>
    </row>
    <row r="139" spans="1:24">
      <c r="A139" s="591"/>
      <c r="B139" s="598" t="s">
        <v>260</v>
      </c>
      <c r="C139" s="599">
        <v>69235.887364028778</v>
      </c>
      <c r="D139" s="151">
        <v>60126.92549972752</v>
      </c>
      <c r="E139" s="151">
        <v>56650.663425519291</v>
      </c>
      <c r="F139" s="151">
        <v>51669.645381096409</v>
      </c>
      <c r="G139" s="151">
        <v>0</v>
      </c>
      <c r="H139" s="151">
        <v>0</v>
      </c>
      <c r="I139" s="599">
        <v>58066.627615221711</v>
      </c>
      <c r="J139" s="599">
        <v>46031.747488888883</v>
      </c>
      <c r="K139" s="151">
        <v>60773.265053521136</v>
      </c>
      <c r="L139" s="151">
        <v>42199.823363636366</v>
      </c>
      <c r="M139" s="151">
        <v>43269.9058358209</v>
      </c>
      <c r="N139" s="599">
        <v>0</v>
      </c>
      <c r="O139" s="599">
        <v>52051.288810380618</v>
      </c>
      <c r="P139" s="599">
        <v>0</v>
      </c>
      <c r="Q139" s="151">
        <v>53078.270400000001</v>
      </c>
      <c r="R139" s="599">
        <v>41960.064063157901</v>
      </c>
      <c r="S139" s="599">
        <v>42245.146276923078</v>
      </c>
      <c r="T139" s="599"/>
      <c r="U139" s="599"/>
      <c r="V139" s="599"/>
      <c r="W139" s="151"/>
      <c r="X139" s="151"/>
    </row>
    <row r="140" spans="1:24">
      <c r="A140" s="591"/>
      <c r="B140" s="600" t="s">
        <v>262</v>
      </c>
      <c r="C140" s="602">
        <v>7.5967327518308841E-2</v>
      </c>
      <c r="D140" s="601">
        <v>-0.57823665779033318</v>
      </c>
      <c r="E140" s="601">
        <v>1.4215592687041148</v>
      </c>
      <c r="F140" s="601">
        <v>-0.38563731779583982</v>
      </c>
      <c r="G140" s="601">
        <v>0</v>
      </c>
      <c r="H140" s="601">
        <v>0</v>
      </c>
      <c r="I140" s="602">
        <v>-0.12598377628059396</v>
      </c>
      <c r="J140" s="602">
        <v>1.890337086318469</v>
      </c>
      <c r="K140" s="601">
        <v>0.62060965839998838</v>
      </c>
      <c r="L140" s="601">
        <v>-5.4222891205874602</v>
      </c>
      <c r="M140" s="601">
        <v>-2.4866186885695587</v>
      </c>
      <c r="N140" s="602">
        <v>0</v>
      </c>
      <c r="O140" s="602">
        <v>-0.49924232027715731</v>
      </c>
      <c r="P140" s="602">
        <v>0</v>
      </c>
      <c r="Q140" s="601">
        <v>0</v>
      </c>
      <c r="R140" s="602">
        <v>0</v>
      </c>
      <c r="S140" s="602">
        <v>0</v>
      </c>
      <c r="T140" s="602"/>
      <c r="U140" s="602"/>
      <c r="V140" s="602"/>
      <c r="W140" s="606"/>
      <c r="X140" s="606"/>
    </row>
    <row r="141" spans="1:24">
      <c r="A141" s="591"/>
      <c r="B141" s="589" t="s">
        <v>264</v>
      </c>
      <c r="C141" s="596">
        <v>43679.484133620688</v>
      </c>
      <c r="D141" s="597">
        <v>42931.320405047314</v>
      </c>
      <c r="E141" s="597">
        <v>42911.31926363636</v>
      </c>
      <c r="F141" s="597">
        <v>40344.870666115705</v>
      </c>
      <c r="G141" s="597">
        <v>0</v>
      </c>
      <c r="H141" s="597">
        <v>0</v>
      </c>
      <c r="I141" s="596">
        <v>42529.406797375334</v>
      </c>
      <c r="J141" s="596">
        <v>38807</v>
      </c>
      <c r="K141" s="597">
        <v>47802.753876404495</v>
      </c>
      <c r="L141" s="597">
        <v>38298.051279629632</v>
      </c>
      <c r="M141" s="597">
        <v>37241.332292682928</v>
      </c>
      <c r="N141" s="596">
        <v>0</v>
      </c>
      <c r="O141" s="596">
        <v>42489.838899220777</v>
      </c>
      <c r="P141" s="596">
        <v>41512.950705882351</v>
      </c>
      <c r="Q141" s="597">
        <v>37978.951515000001</v>
      </c>
      <c r="R141" s="596">
        <v>0</v>
      </c>
      <c r="S141" s="596">
        <v>40204.062116666661</v>
      </c>
      <c r="T141" s="596"/>
      <c r="U141" s="596"/>
      <c r="V141" s="596"/>
      <c r="W141" s="151"/>
      <c r="X141" s="151"/>
    </row>
    <row r="142" spans="1:24">
      <c r="A142" s="591"/>
      <c r="B142" s="598" t="s">
        <v>266</v>
      </c>
      <c r="C142" s="599">
        <v>43912.270076995308</v>
      </c>
      <c r="D142" s="151">
        <v>42829.302763333333</v>
      </c>
      <c r="E142" s="151">
        <v>42393.650379870131</v>
      </c>
      <c r="F142" s="151">
        <v>40891.092090178572</v>
      </c>
      <c r="G142" s="151">
        <v>0</v>
      </c>
      <c r="H142" s="151">
        <v>0</v>
      </c>
      <c r="I142" s="599">
        <v>42506.175407272727</v>
      </c>
      <c r="J142" s="599">
        <v>38955</v>
      </c>
      <c r="K142" s="151">
        <v>48035.276890322573</v>
      </c>
      <c r="L142" s="151">
        <v>38866.671387719303</v>
      </c>
      <c r="M142" s="151">
        <v>36994.990340229881</v>
      </c>
      <c r="N142" s="599">
        <v>0</v>
      </c>
      <c r="O142" s="599">
        <v>42725.852998499999</v>
      </c>
      <c r="P142" s="599">
        <v>40903.802615151515</v>
      </c>
      <c r="Q142" s="151">
        <v>37556.669825531921</v>
      </c>
      <c r="R142" s="599">
        <v>38647.608942334096</v>
      </c>
      <c r="S142" s="599">
        <v>38825.126476727281</v>
      </c>
      <c r="T142" s="599"/>
      <c r="U142" s="599"/>
      <c r="V142" s="599"/>
      <c r="W142" s="151"/>
      <c r="X142" s="151"/>
    </row>
    <row r="143" spans="1:24">
      <c r="A143" s="591"/>
      <c r="B143" s="600" t="s">
        <v>268</v>
      </c>
      <c r="C143" s="602">
        <v>0.53294114615113175</v>
      </c>
      <c r="D143" s="601">
        <v>-0.23762987197101693</v>
      </c>
      <c r="E143" s="601">
        <v>-1.2063690714932396</v>
      </c>
      <c r="F143" s="601">
        <v>1.3538807165432809</v>
      </c>
      <c r="G143" s="601">
        <v>0</v>
      </c>
      <c r="H143" s="601">
        <v>0</v>
      </c>
      <c r="I143" s="602">
        <v>-5.4624298460800746E-2</v>
      </c>
      <c r="J143" s="602">
        <v>0.38137449429226689</v>
      </c>
      <c r="K143" s="601">
        <v>0.48642179594772716</v>
      </c>
      <c r="L143" s="601">
        <v>1.4847233451591186</v>
      </c>
      <c r="M143" s="601">
        <v>-0.66147459633566286</v>
      </c>
      <c r="N143" s="602">
        <v>0</v>
      </c>
      <c r="O143" s="602">
        <v>0.55546009444519318</v>
      </c>
      <c r="P143" s="602">
        <v>-1.4673688099085671</v>
      </c>
      <c r="Q143" s="601">
        <v>-1.1118834844645396</v>
      </c>
      <c r="R143" s="602">
        <v>0</v>
      </c>
      <c r="S143" s="602">
        <v>-3.4298415815245198</v>
      </c>
      <c r="T143" s="602"/>
      <c r="U143" s="602"/>
      <c r="V143" s="602"/>
      <c r="W143" s="606"/>
      <c r="X143" s="606"/>
    </row>
    <row r="144" spans="1:24">
      <c r="A144" s="591"/>
      <c r="B144" s="589" t="s">
        <v>270</v>
      </c>
      <c r="C144" s="596">
        <v>55637.574857142856</v>
      </c>
      <c r="D144" s="597">
        <v>51961.885714285716</v>
      </c>
      <c r="E144" s="597">
        <v>58240</v>
      </c>
      <c r="F144" s="597">
        <v>41184.610981818179</v>
      </c>
      <c r="G144" s="597">
        <v>0</v>
      </c>
      <c r="H144" s="597">
        <v>0</v>
      </c>
      <c r="I144" s="596">
        <v>52161.128852631577</v>
      </c>
      <c r="J144" s="596">
        <v>0</v>
      </c>
      <c r="K144" s="597">
        <v>40834.854055913973</v>
      </c>
      <c r="L144" s="597">
        <v>0</v>
      </c>
      <c r="M144" s="597">
        <v>37888.3874</v>
      </c>
      <c r="N144" s="596">
        <v>0</v>
      </c>
      <c r="O144" s="596">
        <v>40742.776972916668</v>
      </c>
      <c r="P144" s="596">
        <v>0</v>
      </c>
      <c r="Q144" s="597">
        <v>25000</v>
      </c>
      <c r="R144" s="596">
        <v>0</v>
      </c>
      <c r="S144" s="596">
        <v>25000</v>
      </c>
      <c r="T144" s="596"/>
      <c r="U144" s="596"/>
      <c r="V144" s="596"/>
      <c r="W144" s="151"/>
      <c r="X144" s="151"/>
    </row>
    <row r="145" spans="1:24">
      <c r="A145" s="591"/>
      <c r="B145" s="598" t="s">
        <v>272</v>
      </c>
      <c r="C145" s="599">
        <v>64156.826361904765</v>
      </c>
      <c r="D145" s="151">
        <v>62343</v>
      </c>
      <c r="E145" s="151">
        <v>65725.600000000006</v>
      </c>
      <c r="F145" s="151">
        <v>48575.090568421052</v>
      </c>
      <c r="G145" s="151">
        <v>0</v>
      </c>
      <c r="H145" s="151">
        <v>0</v>
      </c>
      <c r="I145" s="599">
        <v>59469.15264242424</v>
      </c>
      <c r="J145" s="599">
        <v>0</v>
      </c>
      <c r="K145" s="151">
        <v>38882</v>
      </c>
      <c r="L145" s="151">
        <v>0</v>
      </c>
      <c r="M145" s="151">
        <v>0</v>
      </c>
      <c r="N145" s="599">
        <v>0</v>
      </c>
      <c r="O145" s="599">
        <v>38882</v>
      </c>
      <c r="P145" s="599">
        <v>0</v>
      </c>
      <c r="Q145" s="151">
        <v>26200</v>
      </c>
      <c r="R145" s="599">
        <v>0</v>
      </c>
      <c r="S145" s="599">
        <v>26200</v>
      </c>
      <c r="T145" s="599"/>
      <c r="U145" s="599"/>
      <c r="V145" s="599"/>
      <c r="W145" s="151"/>
      <c r="X145" s="151"/>
    </row>
    <row r="146" spans="1:24">
      <c r="A146" s="591"/>
      <c r="B146" s="600" t="s">
        <v>274</v>
      </c>
      <c r="C146" s="602">
        <v>15.312046807640812</v>
      </c>
      <c r="D146" s="601">
        <v>19.978324772113183</v>
      </c>
      <c r="E146" s="601">
        <v>12.853021978021989</v>
      </c>
      <c r="F146" s="601">
        <v>17.944759973247184</v>
      </c>
      <c r="G146" s="601">
        <v>0</v>
      </c>
      <c r="H146" s="601">
        <v>0</v>
      </c>
      <c r="I146" s="602">
        <v>14.010478589218584</v>
      </c>
      <c r="J146" s="602">
        <v>0</v>
      </c>
      <c r="K146" s="601">
        <v>-4.7823216246591373</v>
      </c>
      <c r="L146" s="601">
        <v>0</v>
      </c>
      <c r="M146" s="601">
        <v>-100</v>
      </c>
      <c r="N146" s="602">
        <v>0</v>
      </c>
      <c r="O146" s="602">
        <v>-4.5671333943525756</v>
      </c>
      <c r="P146" s="602">
        <v>0</v>
      </c>
      <c r="Q146" s="601">
        <v>4.8</v>
      </c>
      <c r="R146" s="602">
        <v>0</v>
      </c>
      <c r="S146" s="602">
        <v>4.8</v>
      </c>
      <c r="T146" s="602"/>
      <c r="U146" s="602"/>
      <c r="V146" s="602"/>
      <c r="W146" s="606"/>
      <c r="X146" s="606"/>
    </row>
    <row r="147" spans="1:24">
      <c r="A147" s="591"/>
      <c r="B147" s="589" t="s">
        <v>276</v>
      </c>
      <c r="C147" s="596">
        <v>0</v>
      </c>
      <c r="D147" s="597">
        <v>0</v>
      </c>
      <c r="E147" s="597">
        <v>0</v>
      </c>
      <c r="F147" s="597">
        <v>0</v>
      </c>
      <c r="G147" s="597">
        <v>0</v>
      </c>
      <c r="H147" s="597">
        <v>0</v>
      </c>
      <c r="I147" s="596">
        <v>0</v>
      </c>
      <c r="J147" s="596">
        <v>0</v>
      </c>
      <c r="K147" s="597">
        <v>0</v>
      </c>
      <c r="L147" s="597">
        <v>0</v>
      </c>
      <c r="M147" s="597">
        <v>0</v>
      </c>
      <c r="N147" s="596">
        <v>0</v>
      </c>
      <c r="O147" s="596">
        <v>0</v>
      </c>
      <c r="P147" s="596">
        <v>0</v>
      </c>
      <c r="Q147" s="597">
        <v>0</v>
      </c>
      <c r="R147" s="596">
        <v>40121.755793600001</v>
      </c>
      <c r="S147" s="596">
        <v>40121.755793600001</v>
      </c>
      <c r="T147" s="596"/>
      <c r="U147" s="596"/>
      <c r="V147" s="596"/>
      <c r="W147" s="151"/>
      <c r="X147" s="151"/>
    </row>
    <row r="148" spans="1:24">
      <c r="A148" s="591"/>
      <c r="B148" s="598" t="s">
        <v>278</v>
      </c>
      <c r="C148" s="599">
        <v>0</v>
      </c>
      <c r="D148" s="151">
        <v>0</v>
      </c>
      <c r="E148" s="151">
        <v>0</v>
      </c>
      <c r="F148" s="151">
        <v>45338</v>
      </c>
      <c r="G148" s="151">
        <v>0</v>
      </c>
      <c r="H148" s="151">
        <v>0</v>
      </c>
      <c r="I148" s="599">
        <v>45338</v>
      </c>
      <c r="J148" s="599">
        <v>0</v>
      </c>
      <c r="K148" s="151">
        <v>39308</v>
      </c>
      <c r="L148" s="151">
        <v>0</v>
      </c>
      <c r="M148" s="151">
        <v>0</v>
      </c>
      <c r="N148" s="599">
        <v>0</v>
      </c>
      <c r="O148" s="599">
        <v>39308</v>
      </c>
      <c r="P148" s="599">
        <v>0</v>
      </c>
      <c r="Q148" s="151">
        <v>0</v>
      </c>
      <c r="R148" s="599">
        <v>40167.582183206105</v>
      </c>
      <c r="S148" s="599">
        <v>40167.582183206105</v>
      </c>
      <c r="T148" s="599"/>
      <c r="U148" s="599"/>
      <c r="V148" s="599"/>
      <c r="W148" s="151"/>
      <c r="X148" s="151"/>
    </row>
    <row r="149" spans="1:24">
      <c r="A149" s="591"/>
      <c r="B149" s="600" t="s">
        <v>280</v>
      </c>
      <c r="C149" s="602">
        <v>0</v>
      </c>
      <c r="D149" s="601">
        <v>0</v>
      </c>
      <c r="E149" s="601">
        <v>0</v>
      </c>
      <c r="F149" s="601">
        <v>0</v>
      </c>
      <c r="G149" s="601">
        <v>0</v>
      </c>
      <c r="H149" s="601">
        <v>0</v>
      </c>
      <c r="I149" s="602">
        <v>0</v>
      </c>
      <c r="J149" s="602">
        <v>0</v>
      </c>
      <c r="K149" s="601">
        <v>0</v>
      </c>
      <c r="L149" s="601">
        <v>0</v>
      </c>
      <c r="M149" s="601">
        <v>0</v>
      </c>
      <c r="N149" s="602">
        <v>0</v>
      </c>
      <c r="O149" s="602">
        <v>0</v>
      </c>
      <c r="P149" s="602">
        <v>0</v>
      </c>
      <c r="Q149" s="601">
        <v>0</v>
      </c>
      <c r="R149" s="602">
        <v>0.1142183055045</v>
      </c>
      <c r="S149" s="602">
        <v>0.1142183055045</v>
      </c>
      <c r="T149" s="602"/>
      <c r="U149" s="602"/>
      <c r="V149" s="602"/>
      <c r="W149" s="606"/>
      <c r="X149" s="606"/>
    </row>
    <row r="150" spans="1:24">
      <c r="A150" s="591"/>
      <c r="B150" s="589" t="s">
        <v>282</v>
      </c>
      <c r="C150" s="596">
        <v>80885.909835555562</v>
      </c>
      <c r="D150" s="597">
        <v>66682.225266249996</v>
      </c>
      <c r="E150" s="597">
        <v>58899.918219830899</v>
      </c>
      <c r="F150" s="597">
        <v>55789.054397960674</v>
      </c>
      <c r="G150" s="597">
        <v>0</v>
      </c>
      <c r="H150" s="597">
        <v>0</v>
      </c>
      <c r="I150" s="596">
        <v>65474.383098579077</v>
      </c>
      <c r="J150" s="596">
        <v>48408.598088888888</v>
      </c>
      <c r="K150" s="597">
        <v>55918.044931724144</v>
      </c>
      <c r="L150" s="597">
        <v>44371.565560368668</v>
      </c>
      <c r="M150" s="597">
        <v>42206.717465555557</v>
      </c>
      <c r="N150" s="596">
        <v>0</v>
      </c>
      <c r="O150" s="596">
        <v>50586.574676866359</v>
      </c>
      <c r="P150" s="596">
        <v>41512.950705882351</v>
      </c>
      <c r="Q150" s="597">
        <v>37662.391721951222</v>
      </c>
      <c r="R150" s="596">
        <v>40121.755793600001</v>
      </c>
      <c r="S150" s="596">
        <v>40111.521519540227</v>
      </c>
      <c r="T150" s="596"/>
      <c r="U150" s="596"/>
      <c r="V150" s="596"/>
      <c r="W150" s="151"/>
      <c r="X150" s="151"/>
    </row>
    <row r="151" spans="1:24">
      <c r="A151" s="591"/>
      <c r="B151" s="598" t="s">
        <v>284</v>
      </c>
      <c r="C151" s="599">
        <v>81172.056250565409</v>
      </c>
      <c r="D151" s="151">
        <v>67301.43570905141</v>
      </c>
      <c r="E151" s="151">
        <v>60355.430876537219</v>
      </c>
      <c r="F151" s="151">
        <v>55296.592518022801</v>
      </c>
      <c r="G151" s="151">
        <v>0</v>
      </c>
      <c r="H151" s="151">
        <v>0</v>
      </c>
      <c r="I151" s="599">
        <v>65908.823999419736</v>
      </c>
      <c r="J151" s="599">
        <v>48373.200119587629</v>
      </c>
      <c r="K151" s="151">
        <v>54621.772599999997</v>
      </c>
      <c r="L151" s="151">
        <v>43833.858449999992</v>
      </c>
      <c r="M151" s="151">
        <v>42470.149945714293</v>
      </c>
      <c r="N151" s="599">
        <v>0</v>
      </c>
      <c r="O151" s="599">
        <v>49808.065047129392</v>
      </c>
      <c r="P151" s="599">
        <v>40903.802615151515</v>
      </c>
      <c r="Q151" s="151">
        <v>36778.146267924531</v>
      </c>
      <c r="R151" s="599">
        <v>39975.470922361361</v>
      </c>
      <c r="S151" s="599">
        <v>39888.010683912697</v>
      </c>
      <c r="T151" s="599"/>
      <c r="U151" s="599"/>
      <c r="V151" s="599"/>
      <c r="W151" s="151"/>
      <c r="X151" s="151"/>
    </row>
    <row r="152" spans="1:24">
      <c r="A152" s="591"/>
      <c r="B152" s="600" t="s">
        <v>286</v>
      </c>
      <c r="C152" s="602">
        <v>0.35376546495130595</v>
      </c>
      <c r="D152" s="601">
        <v>0.92859894871387227</v>
      </c>
      <c r="E152" s="601">
        <v>2.4711624407931114</v>
      </c>
      <c r="F152" s="601">
        <v>-0.88272132455407726</v>
      </c>
      <c r="G152" s="601">
        <v>0</v>
      </c>
      <c r="H152" s="601">
        <v>0</v>
      </c>
      <c r="I152" s="602">
        <v>0.66352805521902891</v>
      </c>
      <c r="J152" s="602">
        <v>-7.312331011168792E-2</v>
      </c>
      <c r="K152" s="601">
        <v>-2.3181646162824432</v>
      </c>
      <c r="L152" s="601">
        <v>-1.2118281236597597</v>
      </c>
      <c r="M152" s="601">
        <v>0.62414823037048495</v>
      </c>
      <c r="N152" s="602">
        <v>0</v>
      </c>
      <c r="O152" s="602">
        <v>-1.5389649026641568</v>
      </c>
      <c r="P152" s="602">
        <v>-1.4673688099085671</v>
      </c>
      <c r="Q152" s="601">
        <v>-2.3478207665481756</v>
      </c>
      <c r="R152" s="602">
        <v>-0.36460236683354441</v>
      </c>
      <c r="S152" s="602">
        <v>-0.55722352870271386</v>
      </c>
      <c r="T152" s="602"/>
      <c r="U152" s="602"/>
      <c r="V152" s="602"/>
      <c r="W152" s="606"/>
      <c r="X152" s="606"/>
    </row>
    <row r="153" spans="1:24">
      <c r="A153" s="595" t="s">
        <v>340</v>
      </c>
      <c r="B153" s="589" t="s">
        <v>246</v>
      </c>
      <c r="C153" s="596">
        <v>134735.74440210598</v>
      </c>
      <c r="D153" s="597">
        <v>112937.61679183674</v>
      </c>
      <c r="E153" s="597">
        <v>92185.61464562919</v>
      </c>
      <c r="F153" s="597">
        <v>93143.451535710861</v>
      </c>
      <c r="G153" s="597">
        <v>0</v>
      </c>
      <c r="H153" s="597">
        <v>91843.044999999998</v>
      </c>
      <c r="I153" s="596">
        <v>114903.87663006273</v>
      </c>
      <c r="J153" s="596">
        <v>0</v>
      </c>
      <c r="K153" s="597">
        <v>83892.581651632339</v>
      </c>
      <c r="L153" s="597">
        <v>77866.660438611929</v>
      </c>
      <c r="M153" s="597">
        <v>70057.712658536591</v>
      </c>
      <c r="N153" s="596">
        <v>0</v>
      </c>
      <c r="O153" s="596">
        <v>81149.846802930057</v>
      </c>
      <c r="P153" s="596">
        <v>0</v>
      </c>
      <c r="Q153" s="597">
        <v>0</v>
      </c>
      <c r="R153" s="596">
        <v>0</v>
      </c>
      <c r="S153" s="596">
        <v>0</v>
      </c>
      <c r="T153" s="596"/>
      <c r="U153" s="596"/>
      <c r="V153" s="596"/>
      <c r="W153" s="151"/>
      <c r="X153" s="151"/>
    </row>
    <row r="154" spans="1:24">
      <c r="A154" s="591"/>
      <c r="B154" s="598" t="s">
        <v>248</v>
      </c>
      <c r="C154" s="599">
        <v>134424.0034949464</v>
      </c>
      <c r="D154" s="151">
        <v>112818.35656</v>
      </c>
      <c r="E154" s="151">
        <v>91242.337043776817</v>
      </c>
      <c r="F154" s="151">
        <v>91892.37147647058</v>
      </c>
      <c r="G154" s="151">
        <v>0</v>
      </c>
      <c r="H154" s="151">
        <v>88734</v>
      </c>
      <c r="I154" s="599">
        <v>114004.12994166066</v>
      </c>
      <c r="J154" s="599">
        <v>0</v>
      </c>
      <c r="K154" s="151">
        <v>83659.995640458015</v>
      </c>
      <c r="L154" s="151">
        <v>77375.56354963503</v>
      </c>
      <c r="M154" s="151">
        <v>69976.515969230764</v>
      </c>
      <c r="N154" s="599">
        <v>0</v>
      </c>
      <c r="O154" s="599">
        <v>80965.144863799287</v>
      </c>
      <c r="P154" s="599">
        <v>0</v>
      </c>
      <c r="Q154" s="151">
        <v>0</v>
      </c>
      <c r="R154" s="599">
        <v>0</v>
      </c>
      <c r="S154" s="599">
        <v>0</v>
      </c>
      <c r="T154" s="599"/>
      <c r="U154" s="599"/>
      <c r="V154" s="599"/>
      <c r="W154" s="151"/>
      <c r="X154" s="151"/>
    </row>
    <row r="155" spans="1:24">
      <c r="A155" s="591"/>
      <c r="B155" s="600" t="s">
        <v>250</v>
      </c>
      <c r="C155" s="602">
        <v>-0.23137208952452495</v>
      </c>
      <c r="D155" s="601">
        <v>-0.10559832518562838</v>
      </c>
      <c r="E155" s="601">
        <v>-1.0232373082052195</v>
      </c>
      <c r="F155" s="601">
        <v>-1.3431755411818957</v>
      </c>
      <c r="G155" s="601">
        <v>0</v>
      </c>
      <c r="H155" s="601">
        <v>-3.3851719528680677</v>
      </c>
      <c r="I155" s="602">
        <v>-0.7830429353561642</v>
      </c>
      <c r="J155" s="602">
        <v>0</v>
      </c>
      <c r="K155" s="601">
        <v>-0.27724264362270767</v>
      </c>
      <c r="L155" s="601">
        <v>-0.63068954827472967</v>
      </c>
      <c r="M155" s="601">
        <v>-0.11589971499866422</v>
      </c>
      <c r="N155" s="602">
        <v>0</v>
      </c>
      <c r="O155" s="602">
        <v>-0.22760602318734197</v>
      </c>
      <c r="P155" s="602">
        <v>0</v>
      </c>
      <c r="Q155" s="601">
        <v>0</v>
      </c>
      <c r="R155" s="602">
        <v>0</v>
      </c>
      <c r="S155" s="602">
        <v>0</v>
      </c>
      <c r="T155" s="602"/>
      <c r="U155" s="602"/>
      <c r="V155" s="602"/>
      <c r="W155" s="606"/>
      <c r="X155" s="606"/>
    </row>
    <row r="156" spans="1:24">
      <c r="A156" s="591"/>
      <c r="B156" s="589" t="s">
        <v>252</v>
      </c>
      <c r="C156" s="596">
        <v>94414.649651089581</v>
      </c>
      <c r="D156" s="597">
        <v>78265.737448648651</v>
      </c>
      <c r="E156" s="597">
        <v>76393.17294886116</v>
      </c>
      <c r="F156" s="597">
        <v>74353.8078534831</v>
      </c>
      <c r="G156" s="597">
        <v>0</v>
      </c>
      <c r="H156" s="597">
        <v>64194.555500000002</v>
      </c>
      <c r="I156" s="596">
        <v>81861.616236754213</v>
      </c>
      <c r="J156" s="596">
        <v>0</v>
      </c>
      <c r="K156" s="597">
        <v>65491.579817414684</v>
      </c>
      <c r="L156" s="597">
        <v>62645.89064668303</v>
      </c>
      <c r="M156" s="597">
        <v>64348.749894444445</v>
      </c>
      <c r="N156" s="596">
        <v>0</v>
      </c>
      <c r="O156" s="596">
        <v>64618.35770385732</v>
      </c>
      <c r="P156" s="596">
        <v>0</v>
      </c>
      <c r="Q156" s="597">
        <v>0</v>
      </c>
      <c r="R156" s="596">
        <v>0</v>
      </c>
      <c r="S156" s="596">
        <v>0</v>
      </c>
      <c r="T156" s="596"/>
      <c r="U156" s="596"/>
      <c r="V156" s="596"/>
      <c r="W156" s="151"/>
      <c r="X156" s="151"/>
    </row>
    <row r="157" spans="1:24">
      <c r="A157" s="591"/>
      <c r="B157" s="598" t="s">
        <v>254</v>
      </c>
      <c r="C157" s="599">
        <v>94546.65602079207</v>
      </c>
      <c r="D157" s="151">
        <v>77697.422160000002</v>
      </c>
      <c r="E157" s="151">
        <v>75866.859704593633</v>
      </c>
      <c r="F157" s="151">
        <v>73598.272450303033</v>
      </c>
      <c r="G157" s="151">
        <v>0</v>
      </c>
      <c r="H157" s="151">
        <v>64696</v>
      </c>
      <c r="I157" s="599">
        <v>81246.602108148145</v>
      </c>
      <c r="J157" s="599">
        <v>0</v>
      </c>
      <c r="K157" s="151">
        <v>65681.286804484305</v>
      </c>
      <c r="L157" s="151">
        <v>62110.132762694295</v>
      </c>
      <c r="M157" s="151">
        <v>62538.324138888885</v>
      </c>
      <c r="N157" s="599">
        <v>0</v>
      </c>
      <c r="O157" s="599">
        <v>64492.576602962967</v>
      </c>
      <c r="P157" s="599">
        <v>0</v>
      </c>
      <c r="Q157" s="151">
        <v>0</v>
      </c>
      <c r="R157" s="599">
        <v>0</v>
      </c>
      <c r="S157" s="599">
        <v>0</v>
      </c>
      <c r="T157" s="599"/>
      <c r="U157" s="599"/>
      <c r="V157" s="599"/>
      <c r="W157" s="151"/>
      <c r="X157" s="151"/>
    </row>
    <row r="158" spans="1:24">
      <c r="A158" s="591"/>
      <c r="B158" s="600" t="s">
        <v>256</v>
      </c>
      <c r="C158" s="602">
        <v>0.13981555848623062</v>
      </c>
      <c r="D158" s="601">
        <v>-0.72613548044766074</v>
      </c>
      <c r="E158" s="601">
        <v>-0.68895324536375735</v>
      </c>
      <c r="F158" s="601">
        <v>-1.0161354542444918</v>
      </c>
      <c r="G158" s="601">
        <v>0</v>
      </c>
      <c r="H158" s="601">
        <v>0.78113244354499467</v>
      </c>
      <c r="I158" s="602">
        <v>-0.75128510390922265</v>
      </c>
      <c r="J158" s="602">
        <v>0</v>
      </c>
      <c r="K158" s="601">
        <v>0.28966622518270191</v>
      </c>
      <c r="L158" s="601">
        <v>-0.85521632537776493</v>
      </c>
      <c r="M158" s="601">
        <v>-2.8134590936503381</v>
      </c>
      <c r="N158" s="602">
        <v>0</v>
      </c>
      <c r="O158" s="602">
        <v>-0.19465227121803688</v>
      </c>
      <c r="P158" s="602">
        <v>0</v>
      </c>
      <c r="Q158" s="601">
        <v>0</v>
      </c>
      <c r="R158" s="602">
        <v>0</v>
      </c>
      <c r="S158" s="602">
        <v>0</v>
      </c>
      <c r="T158" s="602"/>
      <c r="U158" s="602"/>
      <c r="V158" s="602"/>
      <c r="W158" s="606"/>
      <c r="X158" s="606"/>
    </row>
    <row r="159" spans="1:24">
      <c r="A159" s="591"/>
      <c r="B159" s="589" t="s">
        <v>258</v>
      </c>
      <c r="C159" s="596">
        <v>82575.018831481997</v>
      </c>
      <c r="D159" s="597">
        <v>67309.511893495146</v>
      </c>
      <c r="E159" s="597">
        <v>63124.26043591732</v>
      </c>
      <c r="F159" s="597">
        <v>63891.567930199104</v>
      </c>
      <c r="G159" s="597">
        <v>0</v>
      </c>
      <c r="H159" s="597">
        <v>53476.714300000007</v>
      </c>
      <c r="I159" s="596">
        <v>68004.721256122037</v>
      </c>
      <c r="J159" s="596">
        <v>0</v>
      </c>
      <c r="K159" s="597">
        <v>57066.364748823944</v>
      </c>
      <c r="L159" s="597">
        <v>54578.17568291926</v>
      </c>
      <c r="M159" s="597">
        <v>52558.510882352944</v>
      </c>
      <c r="N159" s="596">
        <v>0</v>
      </c>
      <c r="O159" s="596">
        <v>55813.787438218525</v>
      </c>
      <c r="P159" s="596">
        <v>0</v>
      </c>
      <c r="Q159" s="597">
        <v>0</v>
      </c>
      <c r="R159" s="596">
        <v>0</v>
      </c>
      <c r="S159" s="596">
        <v>0</v>
      </c>
      <c r="T159" s="596"/>
      <c r="U159" s="596"/>
      <c r="V159" s="596"/>
      <c r="W159" s="151"/>
      <c r="X159" s="151"/>
    </row>
    <row r="160" spans="1:24">
      <c r="A160" s="591"/>
      <c r="B160" s="598" t="s">
        <v>260</v>
      </c>
      <c r="C160" s="599">
        <v>82449.777770000001</v>
      </c>
      <c r="D160" s="151">
        <v>66513.997189473681</v>
      </c>
      <c r="E160" s="151">
        <v>62861.84539345088</v>
      </c>
      <c r="F160" s="151">
        <v>64489.254883333335</v>
      </c>
      <c r="G160" s="151">
        <v>0</v>
      </c>
      <c r="H160" s="151">
        <v>52941</v>
      </c>
      <c r="I160" s="599">
        <v>67834.493388760588</v>
      </c>
      <c r="J160" s="599">
        <v>0</v>
      </c>
      <c r="K160" s="151">
        <v>57240.40754025316</v>
      </c>
      <c r="L160" s="151">
        <v>53169.560870270267</v>
      </c>
      <c r="M160" s="151">
        <v>52106.221780952379</v>
      </c>
      <c r="N160" s="599">
        <v>0</v>
      </c>
      <c r="O160" s="599">
        <v>55199.852029870133</v>
      </c>
      <c r="P160" s="599">
        <v>0</v>
      </c>
      <c r="Q160" s="151">
        <v>0</v>
      </c>
      <c r="R160" s="599">
        <v>0</v>
      </c>
      <c r="S160" s="599">
        <v>0</v>
      </c>
      <c r="T160" s="599"/>
      <c r="U160" s="599"/>
      <c r="V160" s="599"/>
      <c r="W160" s="151"/>
      <c r="X160" s="151"/>
    </row>
    <row r="161" spans="1:24">
      <c r="A161" s="591"/>
      <c r="B161" s="600" t="s">
        <v>262</v>
      </c>
      <c r="C161" s="602">
        <v>-0.15166943132957286</v>
      </c>
      <c r="D161" s="601">
        <v>-1.1818756096169887</v>
      </c>
      <c r="E161" s="601">
        <v>-0.41571186839145574</v>
      </c>
      <c r="F161" s="601">
        <v>0.93547078667281702</v>
      </c>
      <c r="G161" s="601">
        <v>0</v>
      </c>
      <c r="H161" s="601">
        <v>-1.0017711578065425</v>
      </c>
      <c r="I161" s="602">
        <v>-0.25031771944234626</v>
      </c>
      <c r="J161" s="602">
        <v>0</v>
      </c>
      <c r="K161" s="601">
        <v>0.30498314058598353</v>
      </c>
      <c r="L161" s="601">
        <v>-2.5809122328173242</v>
      </c>
      <c r="M161" s="601">
        <v>-0.86054398004724686</v>
      </c>
      <c r="N161" s="602">
        <v>0</v>
      </c>
      <c r="O161" s="602">
        <v>-1.0999708791093428</v>
      </c>
      <c r="P161" s="602">
        <v>0</v>
      </c>
      <c r="Q161" s="601">
        <v>0</v>
      </c>
      <c r="R161" s="602">
        <v>0</v>
      </c>
      <c r="S161" s="602">
        <v>0</v>
      </c>
      <c r="T161" s="602"/>
      <c r="U161" s="602"/>
      <c r="V161" s="602"/>
      <c r="W161" s="606"/>
      <c r="X161" s="606"/>
    </row>
    <row r="162" spans="1:24">
      <c r="A162" s="591"/>
      <c r="B162" s="589" t="s">
        <v>264</v>
      </c>
      <c r="C162" s="596">
        <v>60147.22811000856</v>
      </c>
      <c r="D162" s="597">
        <v>51297.281461538463</v>
      </c>
      <c r="E162" s="597">
        <v>50019.108072967574</v>
      </c>
      <c r="F162" s="597">
        <v>55869.546753230767</v>
      </c>
      <c r="G162" s="597">
        <v>0</v>
      </c>
      <c r="H162" s="597">
        <v>48885</v>
      </c>
      <c r="I162" s="596">
        <v>53947.832794660695</v>
      </c>
      <c r="J162" s="596">
        <v>0</v>
      </c>
      <c r="K162" s="597">
        <v>49575.474055187296</v>
      </c>
      <c r="L162" s="597">
        <v>46111.739542857147</v>
      </c>
      <c r="M162" s="597">
        <v>50805.076633333338</v>
      </c>
      <c r="N162" s="596">
        <v>0</v>
      </c>
      <c r="O162" s="596">
        <v>47910.393279440614</v>
      </c>
      <c r="P162" s="596">
        <v>0</v>
      </c>
      <c r="Q162" s="597">
        <v>0</v>
      </c>
      <c r="R162" s="596">
        <v>0</v>
      </c>
      <c r="S162" s="596">
        <v>0</v>
      </c>
      <c r="T162" s="596"/>
      <c r="U162" s="596"/>
      <c r="V162" s="596"/>
      <c r="W162" s="151"/>
      <c r="X162" s="151"/>
    </row>
    <row r="163" spans="1:24">
      <c r="A163" s="591"/>
      <c r="B163" s="598" t="s">
        <v>266</v>
      </c>
      <c r="C163" s="599">
        <v>34849.833333333336</v>
      </c>
      <c r="D163" s="151">
        <v>28193.666666666668</v>
      </c>
      <c r="E163" s="151">
        <v>49480.959999999999</v>
      </c>
      <c r="F163" s="151">
        <v>53496.894736842107</v>
      </c>
      <c r="G163" s="151">
        <v>0</v>
      </c>
      <c r="H163" s="151">
        <v>28833.333333333332</v>
      </c>
      <c r="I163" s="599">
        <v>45021.114583333336</v>
      </c>
      <c r="J163" s="599">
        <v>0</v>
      </c>
      <c r="K163" s="151">
        <v>49659.967349333332</v>
      </c>
      <c r="L163" s="151">
        <v>42428.595206060607</v>
      </c>
      <c r="M163" s="151">
        <v>50496.235955555552</v>
      </c>
      <c r="N163" s="599">
        <v>0</v>
      </c>
      <c r="O163" s="599">
        <v>45789.041531147544</v>
      </c>
      <c r="P163" s="599">
        <v>0</v>
      </c>
      <c r="Q163" s="151">
        <v>0</v>
      </c>
      <c r="R163" s="599">
        <v>0</v>
      </c>
      <c r="S163" s="599">
        <v>0</v>
      </c>
      <c r="T163" s="599"/>
      <c r="U163" s="599"/>
      <c r="V163" s="599"/>
      <c r="W163" s="151"/>
      <c r="X163" s="151"/>
    </row>
    <row r="164" spans="1:24">
      <c r="A164" s="591"/>
      <c r="B164" s="600" t="s">
        <v>268</v>
      </c>
      <c r="C164" s="602">
        <v>-42.059119882310441</v>
      </c>
      <c r="D164" s="601">
        <v>-45.038672882098759</v>
      </c>
      <c r="E164" s="601">
        <v>-1.0758849841595093</v>
      </c>
      <c r="F164" s="601">
        <v>-4.2467715495677556</v>
      </c>
      <c r="G164" s="601">
        <v>0</v>
      </c>
      <c r="H164" s="601">
        <v>-41.018035525553174</v>
      </c>
      <c r="I164" s="602">
        <v>-16.546944981654296</v>
      </c>
      <c r="J164" s="602">
        <v>0</v>
      </c>
      <c r="K164" s="601">
        <v>0.17043365849003864</v>
      </c>
      <c r="L164" s="601">
        <v>-7.9874330773692765</v>
      </c>
      <c r="M164" s="601">
        <v>-0.60789334106653892</v>
      </c>
      <c r="N164" s="602">
        <v>0</v>
      </c>
      <c r="O164" s="602">
        <v>-4.4277485595247388</v>
      </c>
      <c r="P164" s="602">
        <v>0</v>
      </c>
      <c r="Q164" s="601">
        <v>0</v>
      </c>
      <c r="R164" s="602">
        <v>0</v>
      </c>
      <c r="S164" s="602">
        <v>0</v>
      </c>
      <c r="T164" s="602"/>
      <c r="U164" s="602"/>
      <c r="V164" s="602"/>
      <c r="W164" s="606"/>
      <c r="X164" s="606"/>
    </row>
    <row r="165" spans="1:24">
      <c r="A165" s="591"/>
      <c r="B165" s="589" t="s">
        <v>270</v>
      </c>
      <c r="C165" s="596">
        <v>61073.979490218881</v>
      </c>
      <c r="D165" s="597">
        <v>52329.127927536232</v>
      </c>
      <c r="E165" s="597">
        <v>42089.946493570242</v>
      </c>
      <c r="F165" s="597">
        <v>46659.941055947136</v>
      </c>
      <c r="G165" s="597">
        <v>0</v>
      </c>
      <c r="H165" s="597">
        <v>0</v>
      </c>
      <c r="I165" s="596">
        <v>49031.090688201257</v>
      </c>
      <c r="J165" s="596">
        <v>0</v>
      </c>
      <c r="K165" s="597">
        <v>0</v>
      </c>
      <c r="L165" s="597">
        <v>47263.199999999997</v>
      </c>
      <c r="M165" s="597">
        <v>0</v>
      </c>
      <c r="N165" s="596">
        <v>0</v>
      </c>
      <c r="O165" s="596">
        <v>47263.199999999997</v>
      </c>
      <c r="P165" s="596">
        <v>0</v>
      </c>
      <c r="Q165" s="597">
        <v>0</v>
      </c>
      <c r="R165" s="596">
        <v>0</v>
      </c>
      <c r="S165" s="596">
        <v>0</v>
      </c>
      <c r="T165" s="596"/>
      <c r="U165" s="596"/>
      <c r="V165" s="596"/>
      <c r="W165" s="151"/>
      <c r="X165" s="151"/>
    </row>
    <row r="166" spans="1:24">
      <c r="A166" s="591"/>
      <c r="B166" s="598" t="s">
        <v>272</v>
      </c>
      <c r="C166" s="599">
        <v>0</v>
      </c>
      <c r="D166" s="151">
        <v>0</v>
      </c>
      <c r="E166" s="151">
        <v>0</v>
      </c>
      <c r="F166" s="151">
        <v>21481.022800000002</v>
      </c>
      <c r="G166" s="151">
        <v>0</v>
      </c>
      <c r="H166" s="151">
        <v>0</v>
      </c>
      <c r="I166" s="599">
        <v>21481.022800000002</v>
      </c>
      <c r="J166" s="599">
        <v>0</v>
      </c>
      <c r="K166" s="151">
        <v>0</v>
      </c>
      <c r="L166" s="151">
        <v>44093.037837837837</v>
      </c>
      <c r="M166" s="151">
        <v>0</v>
      </c>
      <c r="N166" s="599">
        <v>0</v>
      </c>
      <c r="O166" s="599">
        <v>44093.037837837837</v>
      </c>
      <c r="P166" s="599">
        <v>0</v>
      </c>
      <c r="Q166" s="151">
        <v>0</v>
      </c>
      <c r="R166" s="599">
        <v>0</v>
      </c>
      <c r="S166" s="599">
        <v>0</v>
      </c>
      <c r="T166" s="599"/>
      <c r="U166" s="599"/>
      <c r="V166" s="599"/>
      <c r="W166" s="151"/>
      <c r="X166" s="151"/>
    </row>
    <row r="167" spans="1:24">
      <c r="A167" s="591"/>
      <c r="B167" s="600" t="s">
        <v>274</v>
      </c>
      <c r="C167" s="602">
        <v>-100</v>
      </c>
      <c r="D167" s="601">
        <v>-100</v>
      </c>
      <c r="E167" s="601">
        <v>-100</v>
      </c>
      <c r="F167" s="601">
        <v>-53.962601936758993</v>
      </c>
      <c r="G167" s="601">
        <v>0</v>
      </c>
      <c r="H167" s="601">
        <v>0</v>
      </c>
      <c r="I167" s="602">
        <v>-56.188976222042001</v>
      </c>
      <c r="J167" s="602">
        <v>0</v>
      </c>
      <c r="K167" s="601">
        <v>0</v>
      </c>
      <c r="L167" s="601">
        <v>-6.7074640781033867</v>
      </c>
      <c r="M167" s="601">
        <v>0</v>
      </c>
      <c r="N167" s="602">
        <v>0</v>
      </c>
      <c r="O167" s="602">
        <v>-6.7074640781033867</v>
      </c>
      <c r="P167" s="602">
        <v>0</v>
      </c>
      <c r="Q167" s="601">
        <v>0</v>
      </c>
      <c r="R167" s="602">
        <v>0</v>
      </c>
      <c r="S167" s="602">
        <v>0</v>
      </c>
      <c r="T167" s="602"/>
      <c r="U167" s="602"/>
      <c r="V167" s="602"/>
      <c r="W167" s="606"/>
      <c r="X167" s="606"/>
    </row>
    <row r="168" spans="1:24">
      <c r="A168" s="591"/>
      <c r="B168" s="589" t="s">
        <v>276</v>
      </c>
      <c r="C168" s="596">
        <v>0</v>
      </c>
      <c r="D168" s="597">
        <v>0</v>
      </c>
      <c r="E168" s="597">
        <v>0</v>
      </c>
      <c r="F168" s="597">
        <v>0</v>
      </c>
      <c r="G168" s="597">
        <v>0</v>
      </c>
      <c r="H168" s="597">
        <v>0</v>
      </c>
      <c r="I168" s="596">
        <v>0</v>
      </c>
      <c r="J168" s="596">
        <v>0</v>
      </c>
      <c r="K168" s="597">
        <v>0</v>
      </c>
      <c r="L168" s="597">
        <v>0</v>
      </c>
      <c r="M168" s="597">
        <v>0</v>
      </c>
      <c r="N168" s="596">
        <v>0</v>
      </c>
      <c r="O168" s="596">
        <v>0</v>
      </c>
      <c r="P168" s="596">
        <v>0</v>
      </c>
      <c r="Q168" s="597">
        <v>0</v>
      </c>
      <c r="R168" s="596">
        <v>0</v>
      </c>
      <c r="S168" s="596">
        <v>0</v>
      </c>
      <c r="T168" s="596"/>
      <c r="U168" s="596"/>
      <c r="V168" s="596"/>
      <c r="W168" s="151"/>
      <c r="X168" s="151"/>
    </row>
    <row r="169" spans="1:24">
      <c r="A169" s="591"/>
      <c r="B169" s="598" t="s">
        <v>278</v>
      </c>
      <c r="C169" s="599">
        <v>0</v>
      </c>
      <c r="D169" s="151">
        <v>0</v>
      </c>
      <c r="E169" s="151">
        <v>0</v>
      </c>
      <c r="F169" s="151">
        <v>0</v>
      </c>
      <c r="G169" s="151">
        <v>0</v>
      </c>
      <c r="H169" s="151">
        <v>0</v>
      </c>
      <c r="I169" s="599">
        <v>0</v>
      </c>
      <c r="J169" s="599">
        <v>0</v>
      </c>
      <c r="K169" s="151">
        <v>0</v>
      </c>
      <c r="L169" s="151">
        <v>0</v>
      </c>
      <c r="M169" s="151">
        <v>0</v>
      </c>
      <c r="N169" s="599">
        <v>0</v>
      </c>
      <c r="O169" s="599">
        <v>0</v>
      </c>
      <c r="P169" s="599">
        <v>0</v>
      </c>
      <c r="Q169" s="151">
        <v>0</v>
      </c>
      <c r="R169" s="599">
        <v>0</v>
      </c>
      <c r="S169" s="599">
        <v>0</v>
      </c>
      <c r="T169" s="599"/>
      <c r="U169" s="599"/>
      <c r="V169" s="599"/>
      <c r="W169" s="151"/>
      <c r="X169" s="151"/>
    </row>
    <row r="170" spans="1:24">
      <c r="A170" s="591"/>
      <c r="B170" s="600" t="s">
        <v>280</v>
      </c>
      <c r="C170" s="602">
        <v>0</v>
      </c>
      <c r="D170" s="601">
        <v>0</v>
      </c>
      <c r="E170" s="601">
        <v>0</v>
      </c>
      <c r="F170" s="601">
        <v>0</v>
      </c>
      <c r="G170" s="601">
        <v>0</v>
      </c>
      <c r="H170" s="601">
        <v>0</v>
      </c>
      <c r="I170" s="602">
        <v>0</v>
      </c>
      <c r="J170" s="602">
        <v>0</v>
      </c>
      <c r="K170" s="601">
        <v>0</v>
      </c>
      <c r="L170" s="601">
        <v>0</v>
      </c>
      <c r="M170" s="601">
        <v>0</v>
      </c>
      <c r="N170" s="602">
        <v>0</v>
      </c>
      <c r="O170" s="602">
        <v>0</v>
      </c>
      <c r="P170" s="602">
        <v>0</v>
      </c>
      <c r="Q170" s="601">
        <v>0</v>
      </c>
      <c r="R170" s="602">
        <v>0</v>
      </c>
      <c r="S170" s="602">
        <v>0</v>
      </c>
      <c r="T170" s="602"/>
      <c r="U170" s="602"/>
      <c r="V170" s="602"/>
      <c r="W170" s="606"/>
      <c r="X170" s="606"/>
    </row>
    <row r="171" spans="1:24">
      <c r="A171" s="591"/>
      <c r="B171" s="589" t="s">
        <v>282</v>
      </c>
      <c r="C171" s="596">
        <v>103615.90642451914</v>
      </c>
      <c r="D171" s="597">
        <v>82074.193795479165</v>
      </c>
      <c r="E171" s="597">
        <v>65322.681049986822</v>
      </c>
      <c r="F171" s="597">
        <v>69855.31716569628</v>
      </c>
      <c r="G171" s="597">
        <v>0</v>
      </c>
      <c r="H171" s="597">
        <v>68493.936910489516</v>
      </c>
      <c r="I171" s="596">
        <v>81158.682618265375</v>
      </c>
      <c r="J171" s="596">
        <v>0</v>
      </c>
      <c r="K171" s="597">
        <v>68555.176708086467</v>
      </c>
      <c r="L171" s="597">
        <v>62574.229972057416</v>
      </c>
      <c r="M171" s="597">
        <v>61671.313047154472</v>
      </c>
      <c r="N171" s="596">
        <v>0</v>
      </c>
      <c r="O171" s="596">
        <v>66025.461728139242</v>
      </c>
      <c r="P171" s="596">
        <v>0</v>
      </c>
      <c r="Q171" s="597">
        <v>0</v>
      </c>
      <c r="R171" s="596">
        <v>0</v>
      </c>
      <c r="S171" s="596">
        <v>0</v>
      </c>
      <c r="T171" s="596"/>
      <c r="U171" s="596"/>
      <c r="V171" s="596"/>
      <c r="W171" s="151"/>
      <c r="X171" s="151"/>
    </row>
    <row r="172" spans="1:24">
      <c r="A172" s="591"/>
      <c r="B172" s="598" t="s">
        <v>284</v>
      </c>
      <c r="C172" s="599">
        <v>110063.9662877091</v>
      </c>
      <c r="D172" s="151">
        <v>86571.303540540539</v>
      </c>
      <c r="E172" s="151">
        <v>73478.638005117275</v>
      </c>
      <c r="F172" s="151">
        <v>74060.830428596644</v>
      </c>
      <c r="G172" s="151">
        <v>0</v>
      </c>
      <c r="H172" s="151">
        <v>66948.006896551728</v>
      </c>
      <c r="I172" s="599">
        <v>87322.115685592813</v>
      </c>
      <c r="J172" s="599">
        <v>0</v>
      </c>
      <c r="K172" s="151">
        <v>69073.715388888901</v>
      </c>
      <c r="L172" s="151">
        <v>60604.163601495733</v>
      </c>
      <c r="M172" s="151">
        <v>60503.105001587297</v>
      </c>
      <c r="N172" s="599">
        <v>0</v>
      </c>
      <c r="O172" s="599">
        <v>65473.636499280561</v>
      </c>
      <c r="P172" s="599">
        <v>0</v>
      </c>
      <c r="Q172" s="151">
        <v>0</v>
      </c>
      <c r="R172" s="599">
        <v>0</v>
      </c>
      <c r="S172" s="599">
        <v>0</v>
      </c>
      <c r="T172" s="599"/>
      <c r="U172" s="599"/>
      <c r="V172" s="599"/>
      <c r="W172" s="151"/>
      <c r="X172" s="151"/>
    </row>
    <row r="173" spans="1:24">
      <c r="A173" s="591"/>
      <c r="B173" s="600" t="s">
        <v>286</v>
      </c>
      <c r="C173" s="602">
        <v>6.2230405404860951</v>
      </c>
      <c r="D173" s="601">
        <v>5.4793224728685486</v>
      </c>
      <c r="E173" s="601">
        <v>12.485643308010086</v>
      </c>
      <c r="F173" s="601">
        <v>6.0203194739276871</v>
      </c>
      <c r="G173" s="601">
        <v>0</v>
      </c>
      <c r="H173" s="601">
        <v>-2.2570319121210223</v>
      </c>
      <c r="I173" s="602">
        <v>7.5942990552440426</v>
      </c>
      <c r="J173" s="602">
        <v>0</v>
      </c>
      <c r="K173" s="601">
        <v>0.75638151005053067</v>
      </c>
      <c r="L173" s="601">
        <v>-3.1483669418567639</v>
      </c>
      <c r="M173" s="601">
        <v>-1.8942486998354515</v>
      </c>
      <c r="N173" s="602">
        <v>0</v>
      </c>
      <c r="O173" s="602">
        <v>-0.83577640264119479</v>
      </c>
      <c r="P173" s="602">
        <v>0</v>
      </c>
      <c r="Q173" s="601">
        <v>0</v>
      </c>
      <c r="R173" s="602">
        <v>0</v>
      </c>
      <c r="S173" s="602">
        <v>0</v>
      </c>
      <c r="T173" s="602"/>
      <c r="U173" s="602"/>
      <c r="V173" s="602"/>
      <c r="W173" s="606"/>
      <c r="X173" s="606"/>
    </row>
    <row r="174" spans="1:24">
      <c r="A174" s="595" t="s">
        <v>341</v>
      </c>
      <c r="B174" s="589" t="s">
        <v>246</v>
      </c>
      <c r="C174" s="596">
        <v>90254.612538618923</v>
      </c>
      <c r="D174" s="597">
        <v>95277.344485957452</v>
      </c>
      <c r="E174" s="597">
        <v>0</v>
      </c>
      <c r="F174" s="597">
        <v>65793.428819047622</v>
      </c>
      <c r="G174" s="597">
        <v>56448.267930769238</v>
      </c>
      <c r="H174" s="597">
        <v>0</v>
      </c>
      <c r="I174" s="596">
        <v>87872.32668994565</v>
      </c>
      <c r="J174" s="596">
        <v>0</v>
      </c>
      <c r="K174" s="597">
        <v>0</v>
      </c>
      <c r="L174" s="597">
        <v>0</v>
      </c>
      <c r="M174" s="597">
        <v>0</v>
      </c>
      <c r="N174" s="596">
        <v>0</v>
      </c>
      <c r="O174" s="596">
        <v>0</v>
      </c>
      <c r="P174" s="596">
        <v>0</v>
      </c>
      <c r="Q174" s="597">
        <v>0</v>
      </c>
      <c r="R174" s="596">
        <v>0</v>
      </c>
      <c r="S174" s="596">
        <v>0</v>
      </c>
      <c r="T174" s="596"/>
      <c r="U174" s="596"/>
      <c r="V174" s="596"/>
      <c r="W174" s="151"/>
      <c r="X174" s="151"/>
    </row>
    <row r="175" spans="1:24">
      <c r="A175" s="591"/>
      <c r="B175" s="598" t="s">
        <v>248</v>
      </c>
      <c r="C175" s="599">
        <v>88670.495142521002</v>
      </c>
      <c r="D175" s="151">
        <v>94795.253882975216</v>
      </c>
      <c r="E175" s="151">
        <v>0</v>
      </c>
      <c r="F175" s="151">
        <v>66235.84277517072</v>
      </c>
      <c r="G175" s="151">
        <v>55384.145413481485</v>
      </c>
      <c r="H175" s="151">
        <v>0</v>
      </c>
      <c r="I175" s="599">
        <v>86896.227739107344</v>
      </c>
      <c r="J175" s="599">
        <v>0</v>
      </c>
      <c r="K175" s="151">
        <v>0</v>
      </c>
      <c r="L175" s="151">
        <v>0</v>
      </c>
      <c r="M175" s="151">
        <v>0</v>
      </c>
      <c r="N175" s="599">
        <v>0</v>
      </c>
      <c r="O175" s="599">
        <v>0</v>
      </c>
      <c r="P175" s="599">
        <v>0</v>
      </c>
      <c r="Q175" s="151">
        <v>0</v>
      </c>
      <c r="R175" s="599">
        <v>0</v>
      </c>
      <c r="S175" s="599">
        <v>0</v>
      </c>
      <c r="T175" s="599"/>
      <c r="U175" s="599"/>
      <c r="V175" s="599"/>
      <c r="W175" s="151"/>
      <c r="X175" s="151"/>
    </row>
    <row r="176" spans="1:24">
      <c r="A176" s="591"/>
      <c r="B176" s="600" t="s">
        <v>250</v>
      </c>
      <c r="C176" s="602">
        <v>-1.7551650287347866</v>
      </c>
      <c r="D176" s="601">
        <v>-0.50598660739677703</v>
      </c>
      <c r="E176" s="601">
        <v>0</v>
      </c>
      <c r="F176" s="601">
        <v>0.67242878819991969</v>
      </c>
      <c r="G176" s="601">
        <v>-1.8851287316607162</v>
      </c>
      <c r="H176" s="601">
        <v>0</v>
      </c>
      <c r="I176" s="602">
        <v>-1.1108149603030728</v>
      </c>
      <c r="J176" s="602">
        <v>0</v>
      </c>
      <c r="K176" s="601">
        <v>0</v>
      </c>
      <c r="L176" s="601">
        <v>0</v>
      </c>
      <c r="M176" s="601">
        <v>0</v>
      </c>
      <c r="N176" s="602">
        <v>0</v>
      </c>
      <c r="O176" s="602">
        <v>0</v>
      </c>
      <c r="P176" s="602">
        <v>0</v>
      </c>
      <c r="Q176" s="601">
        <v>0</v>
      </c>
      <c r="R176" s="602">
        <v>0</v>
      </c>
      <c r="S176" s="602">
        <v>0</v>
      </c>
      <c r="T176" s="602"/>
      <c r="U176" s="602"/>
      <c r="V176" s="602"/>
      <c r="W176" s="606"/>
      <c r="X176" s="606"/>
    </row>
    <row r="177" spans="1:24">
      <c r="A177" s="591"/>
      <c r="B177" s="589" t="s">
        <v>252</v>
      </c>
      <c r="C177" s="596">
        <v>67569.274476363629</v>
      </c>
      <c r="D177" s="597">
        <v>70970.972759075899</v>
      </c>
      <c r="E177" s="597">
        <v>0</v>
      </c>
      <c r="F177" s="597">
        <v>58531.293091089108</v>
      </c>
      <c r="G177" s="597">
        <v>47110.057057142854</v>
      </c>
      <c r="H177" s="597">
        <v>0</v>
      </c>
      <c r="I177" s="596">
        <v>67184.379283703704</v>
      </c>
      <c r="J177" s="596">
        <v>0</v>
      </c>
      <c r="K177" s="597">
        <v>0</v>
      </c>
      <c r="L177" s="597">
        <v>0</v>
      </c>
      <c r="M177" s="597">
        <v>0</v>
      </c>
      <c r="N177" s="596">
        <v>0</v>
      </c>
      <c r="O177" s="596">
        <v>0</v>
      </c>
      <c r="P177" s="596">
        <v>0</v>
      </c>
      <c r="Q177" s="597">
        <v>0</v>
      </c>
      <c r="R177" s="596">
        <v>0</v>
      </c>
      <c r="S177" s="596">
        <v>0</v>
      </c>
      <c r="T177" s="596"/>
      <c r="U177" s="596"/>
      <c r="V177" s="596"/>
      <c r="W177" s="151"/>
      <c r="X177" s="151"/>
    </row>
    <row r="178" spans="1:24">
      <c r="A178" s="591"/>
      <c r="B178" s="598" t="s">
        <v>254</v>
      </c>
      <c r="C178" s="599">
        <v>67237.493130336836</v>
      </c>
      <c r="D178" s="151">
        <v>72128.171328155833</v>
      </c>
      <c r="E178" s="151">
        <v>0</v>
      </c>
      <c r="F178" s="151">
        <v>58236.514973368423</v>
      </c>
      <c r="G178" s="151">
        <v>47080.092409999997</v>
      </c>
      <c r="H178" s="151">
        <v>0</v>
      </c>
      <c r="I178" s="599">
        <v>67331.25147659854</v>
      </c>
      <c r="J178" s="599">
        <v>0</v>
      </c>
      <c r="K178" s="151">
        <v>0</v>
      </c>
      <c r="L178" s="151">
        <v>0</v>
      </c>
      <c r="M178" s="151">
        <v>0</v>
      </c>
      <c r="N178" s="599">
        <v>0</v>
      </c>
      <c r="O178" s="599">
        <v>0</v>
      </c>
      <c r="P178" s="599">
        <v>0</v>
      </c>
      <c r="Q178" s="151">
        <v>0</v>
      </c>
      <c r="R178" s="599">
        <v>0</v>
      </c>
      <c r="S178" s="599">
        <v>0</v>
      </c>
      <c r="T178" s="599"/>
      <c r="U178" s="599"/>
      <c r="V178" s="599"/>
      <c r="W178" s="151"/>
      <c r="X178" s="151"/>
    </row>
    <row r="179" spans="1:24">
      <c r="A179" s="591"/>
      <c r="B179" s="600" t="s">
        <v>256</v>
      </c>
      <c r="C179" s="602">
        <v>-0.4910239877488306</v>
      </c>
      <c r="D179" s="601">
        <v>1.6305237537158446</v>
      </c>
      <c r="E179" s="601">
        <v>0</v>
      </c>
      <c r="F179" s="601">
        <v>-0.50362481700504702</v>
      </c>
      <c r="G179" s="601">
        <v>-6.3605626939722826E-2</v>
      </c>
      <c r="H179" s="601">
        <v>0</v>
      </c>
      <c r="I179" s="602">
        <v>0.21861062714389271</v>
      </c>
      <c r="J179" s="602">
        <v>0</v>
      </c>
      <c r="K179" s="601">
        <v>0</v>
      </c>
      <c r="L179" s="601">
        <v>0</v>
      </c>
      <c r="M179" s="601">
        <v>0</v>
      </c>
      <c r="N179" s="602">
        <v>0</v>
      </c>
      <c r="O179" s="602">
        <v>0</v>
      </c>
      <c r="P179" s="602">
        <v>0</v>
      </c>
      <c r="Q179" s="601">
        <v>0</v>
      </c>
      <c r="R179" s="602">
        <v>0</v>
      </c>
      <c r="S179" s="602">
        <v>0</v>
      </c>
      <c r="T179" s="602"/>
      <c r="U179" s="602"/>
      <c r="V179" s="602"/>
      <c r="W179" s="606"/>
      <c r="X179" s="606"/>
    </row>
    <row r="180" spans="1:24">
      <c r="A180" s="591"/>
      <c r="B180" s="589" t="s">
        <v>258</v>
      </c>
      <c r="C180" s="596">
        <v>58275.455219927535</v>
      </c>
      <c r="D180" s="597">
        <v>58812.520712432437</v>
      </c>
      <c r="E180" s="597">
        <v>0</v>
      </c>
      <c r="F180" s="597">
        <v>50134.137721608044</v>
      </c>
      <c r="G180" s="597">
        <v>47238.51666666667</v>
      </c>
      <c r="H180" s="597">
        <v>0</v>
      </c>
      <c r="I180" s="596">
        <v>56703.512490579087</v>
      </c>
      <c r="J180" s="596">
        <v>0</v>
      </c>
      <c r="K180" s="597">
        <v>0</v>
      </c>
      <c r="L180" s="597">
        <v>0</v>
      </c>
      <c r="M180" s="597">
        <v>0</v>
      </c>
      <c r="N180" s="596">
        <v>0</v>
      </c>
      <c r="O180" s="596">
        <v>0</v>
      </c>
      <c r="P180" s="596">
        <v>0</v>
      </c>
      <c r="Q180" s="597">
        <v>0</v>
      </c>
      <c r="R180" s="596">
        <v>0</v>
      </c>
      <c r="S180" s="596">
        <v>0</v>
      </c>
      <c r="T180" s="596"/>
      <c r="U180" s="596"/>
      <c r="V180" s="596"/>
      <c r="W180" s="151"/>
      <c r="X180" s="151"/>
    </row>
    <row r="181" spans="1:24">
      <c r="A181" s="591"/>
      <c r="B181" s="598" t="s">
        <v>260</v>
      </c>
      <c r="C181" s="599">
        <v>59075.709494782786</v>
      </c>
      <c r="D181" s="151">
        <v>60303.25787369733</v>
      </c>
      <c r="E181" s="151">
        <v>0</v>
      </c>
      <c r="F181" s="151">
        <v>50802.034439736533</v>
      </c>
      <c r="G181" s="151">
        <v>48784.310935823531</v>
      </c>
      <c r="H181" s="151">
        <v>0</v>
      </c>
      <c r="I181" s="599">
        <v>57791.179785715409</v>
      </c>
      <c r="J181" s="599">
        <v>0</v>
      </c>
      <c r="K181" s="151">
        <v>0</v>
      </c>
      <c r="L181" s="151">
        <v>0</v>
      </c>
      <c r="M181" s="151">
        <v>0</v>
      </c>
      <c r="N181" s="599">
        <v>0</v>
      </c>
      <c r="O181" s="599">
        <v>0</v>
      </c>
      <c r="P181" s="599">
        <v>0</v>
      </c>
      <c r="Q181" s="151">
        <v>0</v>
      </c>
      <c r="R181" s="599">
        <v>0</v>
      </c>
      <c r="S181" s="599">
        <v>0</v>
      </c>
      <c r="T181" s="599"/>
      <c r="U181" s="599"/>
      <c r="V181" s="599"/>
      <c r="W181" s="151"/>
      <c r="X181" s="151"/>
    </row>
    <row r="182" spans="1:24">
      <c r="A182" s="591"/>
      <c r="B182" s="600" t="s">
        <v>262</v>
      </c>
      <c r="C182" s="602">
        <v>1.3732269818144658</v>
      </c>
      <c r="D182" s="601">
        <v>2.5347275430583007</v>
      </c>
      <c r="E182" s="601">
        <v>0</v>
      </c>
      <c r="F182" s="601">
        <v>1.3322194187068328</v>
      </c>
      <c r="G182" s="601">
        <v>3.2723175455837987</v>
      </c>
      <c r="H182" s="601">
        <v>0</v>
      </c>
      <c r="I182" s="602">
        <v>1.9181656432959604</v>
      </c>
      <c r="J182" s="602">
        <v>0</v>
      </c>
      <c r="K182" s="601">
        <v>0</v>
      </c>
      <c r="L182" s="601">
        <v>0</v>
      </c>
      <c r="M182" s="601">
        <v>0</v>
      </c>
      <c r="N182" s="602">
        <v>0</v>
      </c>
      <c r="O182" s="602">
        <v>0</v>
      </c>
      <c r="P182" s="602">
        <v>0</v>
      </c>
      <c r="Q182" s="601">
        <v>0</v>
      </c>
      <c r="R182" s="602">
        <v>0</v>
      </c>
      <c r="S182" s="602">
        <v>0</v>
      </c>
      <c r="T182" s="602"/>
      <c r="U182" s="602"/>
      <c r="V182" s="602"/>
      <c r="W182" s="606"/>
      <c r="X182" s="606"/>
    </row>
    <row r="183" spans="1:24">
      <c r="A183" s="591"/>
      <c r="B183" s="589" t="s">
        <v>264</v>
      </c>
      <c r="C183" s="596">
        <v>42774.379896028884</v>
      </c>
      <c r="D183" s="597">
        <v>38023.690722279789</v>
      </c>
      <c r="E183" s="597">
        <v>0</v>
      </c>
      <c r="F183" s="597">
        <v>42762.844729032266</v>
      </c>
      <c r="G183" s="597">
        <v>46855.648745098042</v>
      </c>
      <c r="H183" s="597">
        <v>0</v>
      </c>
      <c r="I183" s="596">
        <v>41673.343213953485</v>
      </c>
      <c r="J183" s="596">
        <v>0</v>
      </c>
      <c r="K183" s="597">
        <v>0</v>
      </c>
      <c r="L183" s="597">
        <v>0</v>
      </c>
      <c r="M183" s="597">
        <v>0</v>
      </c>
      <c r="N183" s="596">
        <v>0</v>
      </c>
      <c r="O183" s="596">
        <v>0</v>
      </c>
      <c r="P183" s="596">
        <v>0</v>
      </c>
      <c r="Q183" s="597">
        <v>0</v>
      </c>
      <c r="R183" s="596">
        <v>0</v>
      </c>
      <c r="S183" s="596">
        <v>0</v>
      </c>
      <c r="T183" s="596"/>
      <c r="U183" s="596"/>
      <c r="V183" s="596"/>
      <c r="W183" s="151"/>
      <c r="X183" s="151"/>
    </row>
    <row r="184" spans="1:24">
      <c r="A184" s="591"/>
      <c r="B184" s="598" t="s">
        <v>266</v>
      </c>
      <c r="C184" s="599">
        <v>42580.890910029419</v>
      </c>
      <c r="D184" s="151">
        <v>38917.857848182743</v>
      </c>
      <c r="E184" s="151">
        <v>0</v>
      </c>
      <c r="F184" s="151">
        <v>42602.040884412701</v>
      </c>
      <c r="G184" s="151">
        <v>47372.234872367349</v>
      </c>
      <c r="H184" s="151">
        <v>0</v>
      </c>
      <c r="I184" s="599">
        <v>41829.063639444103</v>
      </c>
      <c r="J184" s="599">
        <v>0</v>
      </c>
      <c r="K184" s="151">
        <v>0</v>
      </c>
      <c r="L184" s="151">
        <v>0</v>
      </c>
      <c r="M184" s="151">
        <v>0</v>
      </c>
      <c r="N184" s="599">
        <v>0</v>
      </c>
      <c r="O184" s="599">
        <v>0</v>
      </c>
      <c r="P184" s="599">
        <v>0</v>
      </c>
      <c r="Q184" s="151">
        <v>0</v>
      </c>
      <c r="R184" s="599">
        <v>0</v>
      </c>
      <c r="S184" s="599">
        <v>0</v>
      </c>
      <c r="T184" s="599"/>
      <c r="U184" s="599"/>
      <c r="V184" s="599"/>
      <c r="W184" s="151"/>
      <c r="X184" s="151"/>
    </row>
    <row r="185" spans="1:24">
      <c r="A185" s="591"/>
      <c r="B185" s="600" t="s">
        <v>268</v>
      </c>
      <c r="C185" s="602">
        <v>-0.45234784576603237</v>
      </c>
      <c r="D185" s="601">
        <v>2.3516052990064451</v>
      </c>
      <c r="E185" s="601">
        <v>0</v>
      </c>
      <c r="F185" s="601">
        <v>-0.37603635969145971</v>
      </c>
      <c r="G185" s="601">
        <v>1.1025055486471131</v>
      </c>
      <c r="H185" s="601">
        <v>0</v>
      </c>
      <c r="I185" s="602">
        <v>0.37366914550421165</v>
      </c>
      <c r="J185" s="602">
        <v>0</v>
      </c>
      <c r="K185" s="601">
        <v>0</v>
      </c>
      <c r="L185" s="601">
        <v>0</v>
      </c>
      <c r="M185" s="601">
        <v>0</v>
      </c>
      <c r="N185" s="602">
        <v>0</v>
      </c>
      <c r="O185" s="602">
        <v>0</v>
      </c>
      <c r="P185" s="602">
        <v>0</v>
      </c>
      <c r="Q185" s="601">
        <v>0</v>
      </c>
      <c r="R185" s="602">
        <v>0</v>
      </c>
      <c r="S185" s="602">
        <v>0</v>
      </c>
      <c r="T185" s="602"/>
      <c r="U185" s="602"/>
      <c r="V185" s="602"/>
      <c r="W185" s="606"/>
      <c r="X185" s="606"/>
    </row>
    <row r="186" spans="1:24">
      <c r="A186" s="591"/>
      <c r="B186" s="589" t="s">
        <v>270</v>
      </c>
      <c r="C186" s="596">
        <v>29203.22</v>
      </c>
      <c r="D186" s="597">
        <v>35463.919066666669</v>
      </c>
      <c r="E186" s="597">
        <v>0</v>
      </c>
      <c r="F186" s="597">
        <v>0</v>
      </c>
      <c r="G186" s="597">
        <v>0</v>
      </c>
      <c r="H186" s="597">
        <v>0</v>
      </c>
      <c r="I186" s="596">
        <v>31054.976061971833</v>
      </c>
      <c r="J186" s="596">
        <v>0</v>
      </c>
      <c r="K186" s="597">
        <v>0</v>
      </c>
      <c r="L186" s="597">
        <v>0</v>
      </c>
      <c r="M186" s="597">
        <v>0</v>
      </c>
      <c r="N186" s="596">
        <v>0</v>
      </c>
      <c r="O186" s="596">
        <v>0</v>
      </c>
      <c r="P186" s="596">
        <v>0</v>
      </c>
      <c r="Q186" s="597">
        <v>0</v>
      </c>
      <c r="R186" s="596">
        <v>0</v>
      </c>
      <c r="S186" s="596">
        <v>0</v>
      </c>
      <c r="T186" s="596"/>
      <c r="U186" s="596"/>
      <c r="V186" s="596"/>
      <c r="W186" s="151"/>
      <c r="X186" s="151"/>
    </row>
    <row r="187" spans="1:24">
      <c r="A187" s="591"/>
      <c r="B187" s="598" t="s">
        <v>272</v>
      </c>
      <c r="C187" s="599">
        <v>30827.677547169809</v>
      </c>
      <c r="D187" s="151">
        <v>42167.246821052628</v>
      </c>
      <c r="E187" s="151">
        <v>0</v>
      </c>
      <c r="F187" s="151">
        <v>0</v>
      </c>
      <c r="G187" s="151">
        <v>0</v>
      </c>
      <c r="H187" s="151">
        <v>0</v>
      </c>
      <c r="I187" s="599">
        <v>33820.063883333336</v>
      </c>
      <c r="J187" s="599">
        <v>0</v>
      </c>
      <c r="K187" s="151">
        <v>0</v>
      </c>
      <c r="L187" s="151">
        <v>0</v>
      </c>
      <c r="M187" s="151">
        <v>0</v>
      </c>
      <c r="N187" s="599">
        <v>0</v>
      </c>
      <c r="O187" s="599">
        <v>0</v>
      </c>
      <c r="P187" s="599">
        <v>0</v>
      </c>
      <c r="Q187" s="151">
        <v>0</v>
      </c>
      <c r="R187" s="599">
        <v>0</v>
      </c>
      <c r="S187" s="599">
        <v>0</v>
      </c>
      <c r="T187" s="599"/>
      <c r="U187" s="599"/>
      <c r="V187" s="599"/>
      <c r="W187" s="151"/>
      <c r="X187" s="151"/>
    </row>
    <row r="188" spans="1:24">
      <c r="A188" s="591"/>
      <c r="B188" s="600" t="s">
        <v>274</v>
      </c>
      <c r="C188" s="602">
        <v>5.5625973682690057</v>
      </c>
      <c r="D188" s="601">
        <v>18.9018245326602</v>
      </c>
      <c r="E188" s="601">
        <v>0</v>
      </c>
      <c r="F188" s="601">
        <v>0</v>
      </c>
      <c r="G188" s="601">
        <v>0</v>
      </c>
      <c r="H188" s="601">
        <v>0</v>
      </c>
      <c r="I188" s="602">
        <v>8.9038478594980255</v>
      </c>
      <c r="J188" s="602">
        <v>0</v>
      </c>
      <c r="K188" s="601">
        <v>0</v>
      </c>
      <c r="L188" s="601">
        <v>0</v>
      </c>
      <c r="M188" s="601">
        <v>0</v>
      </c>
      <c r="N188" s="602">
        <v>0</v>
      </c>
      <c r="O188" s="602">
        <v>0</v>
      </c>
      <c r="P188" s="602">
        <v>0</v>
      </c>
      <c r="Q188" s="601">
        <v>0</v>
      </c>
      <c r="R188" s="602">
        <v>0</v>
      </c>
      <c r="S188" s="602">
        <v>0</v>
      </c>
      <c r="T188" s="602"/>
      <c r="U188" s="602"/>
      <c r="V188" s="602"/>
      <c r="W188" s="606"/>
      <c r="X188" s="606"/>
    </row>
    <row r="189" spans="1:24">
      <c r="A189" s="591"/>
      <c r="B189" s="589" t="s">
        <v>276</v>
      </c>
      <c r="C189" s="596">
        <v>0</v>
      </c>
      <c r="D189" s="597">
        <v>0</v>
      </c>
      <c r="E189" s="597">
        <v>0</v>
      </c>
      <c r="F189" s="597">
        <v>0</v>
      </c>
      <c r="G189" s="597">
        <v>0</v>
      </c>
      <c r="H189" s="597">
        <v>0</v>
      </c>
      <c r="I189" s="596">
        <v>0</v>
      </c>
      <c r="J189" s="596">
        <v>0</v>
      </c>
      <c r="K189" s="597">
        <v>47489.630033670037</v>
      </c>
      <c r="L189" s="597">
        <v>50283.487044301211</v>
      </c>
      <c r="M189" s="597">
        <v>47282.641919178088</v>
      </c>
      <c r="N189" s="596">
        <v>0</v>
      </c>
      <c r="O189" s="596">
        <v>48815.648814470456</v>
      </c>
      <c r="P189" s="596">
        <v>0</v>
      </c>
      <c r="Q189" s="597">
        <v>0</v>
      </c>
      <c r="R189" s="596">
        <v>0</v>
      </c>
      <c r="S189" s="596">
        <v>0</v>
      </c>
      <c r="T189" s="596"/>
      <c r="U189" s="596"/>
      <c r="V189" s="596"/>
      <c r="W189" s="151"/>
      <c r="X189" s="151"/>
    </row>
    <row r="190" spans="1:24">
      <c r="A190" s="591"/>
      <c r="B190" s="598" t="s">
        <v>278</v>
      </c>
      <c r="C190" s="599">
        <v>0</v>
      </c>
      <c r="D190" s="151">
        <v>0</v>
      </c>
      <c r="E190" s="151">
        <v>0</v>
      </c>
      <c r="F190" s="151">
        <v>0</v>
      </c>
      <c r="G190" s="151">
        <v>0</v>
      </c>
      <c r="H190" s="151">
        <v>0</v>
      </c>
      <c r="I190" s="599">
        <v>0</v>
      </c>
      <c r="J190" s="599">
        <v>0</v>
      </c>
      <c r="K190" s="151">
        <v>48532.744048788845</v>
      </c>
      <c r="L190" s="151">
        <v>50427.004317114108</v>
      </c>
      <c r="M190" s="151">
        <v>46379.342922758617</v>
      </c>
      <c r="N190" s="599">
        <v>0</v>
      </c>
      <c r="O190" s="599">
        <v>49309.383603560455</v>
      </c>
      <c r="P190" s="599">
        <v>0</v>
      </c>
      <c r="Q190" s="151">
        <v>0</v>
      </c>
      <c r="R190" s="599">
        <v>0</v>
      </c>
      <c r="S190" s="599">
        <v>0</v>
      </c>
      <c r="T190" s="599"/>
      <c r="U190" s="599"/>
      <c r="V190" s="599"/>
      <c r="W190" s="151"/>
      <c r="X190" s="151"/>
    </row>
    <row r="191" spans="1:24">
      <c r="A191" s="591"/>
      <c r="B191" s="600" t="s">
        <v>280</v>
      </c>
      <c r="C191" s="602">
        <v>0</v>
      </c>
      <c r="D191" s="601">
        <v>0</v>
      </c>
      <c r="E191" s="601">
        <v>0</v>
      </c>
      <c r="F191" s="601">
        <v>0</v>
      </c>
      <c r="G191" s="601">
        <v>0</v>
      </c>
      <c r="H191" s="601">
        <v>0</v>
      </c>
      <c r="I191" s="602">
        <v>0</v>
      </c>
      <c r="J191" s="602">
        <v>0</v>
      </c>
      <c r="K191" s="601">
        <v>2.1965090365607036</v>
      </c>
      <c r="L191" s="601">
        <v>0.28541630910850224</v>
      </c>
      <c r="M191" s="601">
        <v>-1.9104241213160476</v>
      </c>
      <c r="N191" s="602">
        <v>0</v>
      </c>
      <c r="O191" s="602">
        <v>1.0114272801463617</v>
      </c>
      <c r="P191" s="602">
        <v>0</v>
      </c>
      <c r="Q191" s="601">
        <v>0</v>
      </c>
      <c r="R191" s="602">
        <v>0</v>
      </c>
      <c r="S191" s="602">
        <v>0</v>
      </c>
      <c r="T191" s="602"/>
      <c r="U191" s="602"/>
      <c r="V191" s="602"/>
      <c r="W191" s="606"/>
      <c r="X191" s="606"/>
    </row>
    <row r="192" spans="1:24">
      <c r="A192" s="591"/>
      <c r="B192" s="589" t="s">
        <v>282</v>
      </c>
      <c r="C192" s="596">
        <v>64519.903135105742</v>
      </c>
      <c r="D192" s="597">
        <v>65720.434914081998</v>
      </c>
      <c r="E192" s="597">
        <v>0</v>
      </c>
      <c r="F192" s="597">
        <v>52593.69050393701</v>
      </c>
      <c r="G192" s="597">
        <v>48859.633211940294</v>
      </c>
      <c r="H192" s="597">
        <v>0</v>
      </c>
      <c r="I192" s="596">
        <v>62528.093971512135</v>
      </c>
      <c r="J192" s="596">
        <v>0</v>
      </c>
      <c r="K192" s="597">
        <v>47489.630033670037</v>
      </c>
      <c r="L192" s="597">
        <v>50283.487044301211</v>
      </c>
      <c r="M192" s="597">
        <v>47282.641919178088</v>
      </c>
      <c r="N192" s="596">
        <v>0</v>
      </c>
      <c r="O192" s="596">
        <v>48815.648814470456</v>
      </c>
      <c r="P192" s="596">
        <v>0</v>
      </c>
      <c r="Q192" s="597">
        <v>0</v>
      </c>
      <c r="R192" s="596">
        <v>0</v>
      </c>
      <c r="S192" s="596">
        <v>0</v>
      </c>
      <c r="T192" s="596"/>
      <c r="U192" s="596"/>
      <c r="V192" s="596"/>
      <c r="W192" s="151"/>
      <c r="X192" s="151"/>
    </row>
    <row r="193" spans="1:24">
      <c r="A193" s="591"/>
      <c r="B193" s="598" t="s">
        <v>284</v>
      </c>
      <c r="C193" s="599">
        <v>64032.535242832259</v>
      </c>
      <c r="D193" s="151">
        <v>67040.908248304622</v>
      </c>
      <c r="E193" s="151">
        <v>0</v>
      </c>
      <c r="F193" s="151">
        <v>53010.426824948867</v>
      </c>
      <c r="G193" s="151">
        <v>49360.614268676931</v>
      </c>
      <c r="H193" s="151">
        <v>0</v>
      </c>
      <c r="I193" s="599">
        <v>62816.482272798901</v>
      </c>
      <c r="J193" s="599">
        <v>0</v>
      </c>
      <c r="K193" s="151">
        <v>48532.744048788845</v>
      </c>
      <c r="L193" s="151">
        <v>50427.004317114108</v>
      </c>
      <c r="M193" s="151">
        <v>46379.342922758617</v>
      </c>
      <c r="N193" s="599">
        <v>0</v>
      </c>
      <c r="O193" s="599">
        <v>49309.383603560455</v>
      </c>
      <c r="P193" s="599">
        <v>0</v>
      </c>
      <c r="Q193" s="151">
        <v>0</v>
      </c>
      <c r="R193" s="599">
        <v>0</v>
      </c>
      <c r="S193" s="599">
        <v>0</v>
      </c>
      <c r="T193" s="599"/>
      <c r="U193" s="599"/>
      <c r="V193" s="599"/>
      <c r="W193" s="151"/>
      <c r="X193" s="151"/>
    </row>
    <row r="194" spans="1:24">
      <c r="A194" s="591"/>
      <c r="B194" s="600" t="s">
        <v>286</v>
      </c>
      <c r="C194" s="602">
        <v>-0.75537604458724472</v>
      </c>
      <c r="D194" s="601">
        <v>2.0092279303216922</v>
      </c>
      <c r="E194" s="601">
        <v>0</v>
      </c>
      <c r="F194" s="601">
        <v>0.79236942115834363</v>
      </c>
      <c r="G194" s="601">
        <v>1.025347559535521</v>
      </c>
      <c r="H194" s="601">
        <v>0</v>
      </c>
      <c r="I194" s="602">
        <v>0.46121396474704057</v>
      </c>
      <c r="J194" s="602">
        <v>0</v>
      </c>
      <c r="K194" s="601">
        <v>2.1965090365607036</v>
      </c>
      <c r="L194" s="601">
        <v>0.28541630910850224</v>
      </c>
      <c r="M194" s="601">
        <v>-1.9104241213160476</v>
      </c>
      <c r="N194" s="602">
        <v>0</v>
      </c>
      <c r="O194" s="602">
        <v>1.0114272801463617</v>
      </c>
      <c r="P194" s="602">
        <v>0</v>
      </c>
      <c r="Q194" s="601">
        <v>0</v>
      </c>
      <c r="R194" s="602">
        <v>0</v>
      </c>
      <c r="S194" s="602">
        <v>0</v>
      </c>
      <c r="T194" s="602"/>
      <c r="U194" s="602"/>
      <c r="V194" s="602"/>
      <c r="W194" s="606"/>
      <c r="X194" s="606"/>
    </row>
    <row r="195" spans="1:24">
      <c r="A195" s="595" t="s">
        <v>342</v>
      </c>
      <c r="B195" s="589" t="s">
        <v>246</v>
      </c>
      <c r="C195" s="596">
        <v>128359.66752744188</v>
      </c>
      <c r="D195" s="597">
        <v>109599.00862268041</v>
      </c>
      <c r="E195" s="597">
        <v>93395.93019487751</v>
      </c>
      <c r="F195" s="597">
        <v>87379.042837209301</v>
      </c>
      <c r="G195" s="597">
        <v>88306.499459340659</v>
      </c>
      <c r="H195" s="597">
        <v>83261.314686238533</v>
      </c>
      <c r="I195" s="596">
        <v>110977.8663939695</v>
      </c>
      <c r="J195" s="596">
        <v>0</v>
      </c>
      <c r="K195" s="597">
        <v>0</v>
      </c>
      <c r="L195" s="597">
        <v>0</v>
      </c>
      <c r="M195" s="597">
        <v>0</v>
      </c>
      <c r="N195" s="596">
        <v>0</v>
      </c>
      <c r="O195" s="596">
        <v>0</v>
      </c>
      <c r="P195" s="596">
        <v>0</v>
      </c>
      <c r="Q195" s="597">
        <v>0</v>
      </c>
      <c r="R195" s="596">
        <v>0</v>
      </c>
      <c r="S195" s="596">
        <v>0</v>
      </c>
      <c r="T195" s="596"/>
      <c r="U195" s="596"/>
      <c r="V195" s="596"/>
      <c r="W195" s="151"/>
      <c r="X195" s="151"/>
    </row>
    <row r="196" spans="1:24">
      <c r="A196" s="591"/>
      <c r="B196" s="598" t="s">
        <v>248</v>
      </c>
      <c r="C196" s="599">
        <v>129252.82069075631</v>
      </c>
      <c r="D196" s="151">
        <v>111110.28066532665</v>
      </c>
      <c r="E196" s="151">
        <v>93017.673420960695</v>
      </c>
      <c r="F196" s="151">
        <v>85931.190300000002</v>
      </c>
      <c r="G196" s="151">
        <v>86738.679415999999</v>
      </c>
      <c r="H196" s="151">
        <v>82031.37857391304</v>
      </c>
      <c r="I196" s="599">
        <v>111209.74035163083</v>
      </c>
      <c r="J196" s="599">
        <v>0</v>
      </c>
      <c r="K196" s="151">
        <v>0</v>
      </c>
      <c r="L196" s="151">
        <v>0</v>
      </c>
      <c r="M196" s="151">
        <v>0</v>
      </c>
      <c r="N196" s="599">
        <v>0</v>
      </c>
      <c r="O196" s="599">
        <v>0</v>
      </c>
      <c r="P196" s="599">
        <v>0</v>
      </c>
      <c r="Q196" s="151">
        <v>0</v>
      </c>
      <c r="R196" s="599">
        <v>0</v>
      </c>
      <c r="S196" s="599">
        <v>0</v>
      </c>
      <c r="T196" s="599"/>
      <c r="U196" s="599"/>
      <c r="V196" s="599"/>
      <c r="W196" s="151"/>
      <c r="X196" s="151"/>
    </row>
    <row r="197" spans="1:24">
      <c r="A197" s="591"/>
      <c r="B197" s="600" t="s">
        <v>250</v>
      </c>
      <c r="C197" s="602">
        <v>0.69582072041709431</v>
      </c>
      <c r="D197" s="601">
        <v>1.3789103219438157</v>
      </c>
      <c r="E197" s="601">
        <v>-0.40500348690521587</v>
      </c>
      <c r="F197" s="601">
        <v>-1.6569791682276802</v>
      </c>
      <c r="G197" s="601">
        <v>-1.7754299546915435</v>
      </c>
      <c r="H197" s="601">
        <v>-1.4771999661071618</v>
      </c>
      <c r="I197" s="602">
        <v>0.20893711980205246</v>
      </c>
      <c r="J197" s="602">
        <v>0</v>
      </c>
      <c r="K197" s="601">
        <v>0</v>
      </c>
      <c r="L197" s="601">
        <v>0</v>
      </c>
      <c r="M197" s="601">
        <v>0</v>
      </c>
      <c r="N197" s="602">
        <v>0</v>
      </c>
      <c r="O197" s="602">
        <v>0</v>
      </c>
      <c r="P197" s="602">
        <v>0</v>
      </c>
      <c r="Q197" s="601">
        <v>0</v>
      </c>
      <c r="R197" s="602">
        <v>0</v>
      </c>
      <c r="S197" s="602">
        <v>0</v>
      </c>
      <c r="T197" s="602"/>
      <c r="U197" s="602"/>
      <c r="V197" s="602"/>
      <c r="W197" s="606"/>
      <c r="X197" s="606"/>
    </row>
    <row r="198" spans="1:24">
      <c r="A198" s="591"/>
      <c r="B198" s="589" t="s">
        <v>252</v>
      </c>
      <c r="C198" s="596">
        <v>88032.309731407047</v>
      </c>
      <c r="D198" s="597">
        <v>80231.359370703125</v>
      </c>
      <c r="E198" s="597">
        <v>74836.930037852115</v>
      </c>
      <c r="F198" s="597">
        <v>75534.429543589737</v>
      </c>
      <c r="G198" s="597">
        <v>72800.444211834329</v>
      </c>
      <c r="H198" s="597">
        <v>68326.452631578941</v>
      </c>
      <c r="I198" s="596">
        <v>79272.397933668341</v>
      </c>
      <c r="J198" s="596">
        <v>0</v>
      </c>
      <c r="K198" s="597">
        <v>0</v>
      </c>
      <c r="L198" s="597">
        <v>0</v>
      </c>
      <c r="M198" s="597">
        <v>0</v>
      </c>
      <c r="N198" s="596">
        <v>0</v>
      </c>
      <c r="O198" s="596">
        <v>0</v>
      </c>
      <c r="P198" s="596">
        <v>0</v>
      </c>
      <c r="Q198" s="597">
        <v>0</v>
      </c>
      <c r="R198" s="596">
        <v>0</v>
      </c>
      <c r="S198" s="596">
        <v>0</v>
      </c>
      <c r="T198" s="596"/>
      <c r="U198" s="596"/>
      <c r="V198" s="596"/>
      <c r="W198" s="151"/>
      <c r="X198" s="151"/>
    </row>
    <row r="199" spans="1:24">
      <c r="A199" s="591"/>
      <c r="B199" s="598" t="s">
        <v>254</v>
      </c>
      <c r="C199" s="599">
        <v>88073.80301230769</v>
      </c>
      <c r="D199" s="151">
        <v>79408.148843122675</v>
      </c>
      <c r="E199" s="151">
        <v>74687.49534227504</v>
      </c>
      <c r="F199" s="151">
        <v>73744.370292682928</v>
      </c>
      <c r="G199" s="151">
        <v>71087.038529479774</v>
      </c>
      <c r="H199" s="151">
        <v>68304.144</v>
      </c>
      <c r="I199" s="599">
        <v>78771.143588214662</v>
      </c>
      <c r="J199" s="599">
        <v>0</v>
      </c>
      <c r="K199" s="151">
        <v>0</v>
      </c>
      <c r="L199" s="151">
        <v>0</v>
      </c>
      <c r="M199" s="151">
        <v>0</v>
      </c>
      <c r="N199" s="599">
        <v>0</v>
      </c>
      <c r="O199" s="599">
        <v>0</v>
      </c>
      <c r="P199" s="599">
        <v>0</v>
      </c>
      <c r="Q199" s="151">
        <v>0</v>
      </c>
      <c r="R199" s="599">
        <v>0</v>
      </c>
      <c r="S199" s="599">
        <v>0</v>
      </c>
      <c r="T199" s="599"/>
      <c r="U199" s="599"/>
      <c r="V199" s="599"/>
      <c r="W199" s="151"/>
      <c r="X199" s="151"/>
    </row>
    <row r="200" spans="1:24">
      <c r="A200" s="591"/>
      <c r="B200" s="600" t="s">
        <v>256</v>
      </c>
      <c r="C200" s="602">
        <v>4.7134149981116341E-2</v>
      </c>
      <c r="D200" s="601">
        <v>-1.0260458429687895</v>
      </c>
      <c r="E200" s="601">
        <v>-0.19968041914799425</v>
      </c>
      <c r="F200" s="601">
        <v>-2.3698587011553363</v>
      </c>
      <c r="G200" s="601">
        <v>-2.3535648729956864</v>
      </c>
      <c r="H200" s="601">
        <v>-3.2650065559864883E-2</v>
      </c>
      <c r="I200" s="602">
        <v>-0.63231888843971462</v>
      </c>
      <c r="J200" s="602">
        <v>0</v>
      </c>
      <c r="K200" s="601">
        <v>0</v>
      </c>
      <c r="L200" s="601">
        <v>0</v>
      </c>
      <c r="M200" s="601">
        <v>0</v>
      </c>
      <c r="N200" s="602">
        <v>0</v>
      </c>
      <c r="O200" s="602">
        <v>0</v>
      </c>
      <c r="P200" s="602">
        <v>0</v>
      </c>
      <c r="Q200" s="601">
        <v>0</v>
      </c>
      <c r="R200" s="602">
        <v>0</v>
      </c>
      <c r="S200" s="602">
        <v>0</v>
      </c>
      <c r="T200" s="602"/>
      <c r="U200" s="602"/>
      <c r="V200" s="602"/>
      <c r="W200" s="606"/>
      <c r="X200" s="606"/>
    </row>
    <row r="201" spans="1:24">
      <c r="A201" s="591"/>
      <c r="B201" s="589" t="s">
        <v>258</v>
      </c>
      <c r="C201" s="596">
        <v>75272.817938102176</v>
      </c>
      <c r="D201" s="597">
        <v>67216.233712871297</v>
      </c>
      <c r="E201" s="597">
        <v>63529.525716620235</v>
      </c>
      <c r="F201" s="597">
        <v>62628.852561983469</v>
      </c>
      <c r="G201" s="597">
        <v>62791.392833480175</v>
      </c>
      <c r="H201" s="597">
        <v>60862.064187096774</v>
      </c>
      <c r="I201" s="596">
        <v>66985.211817031071</v>
      </c>
      <c r="J201" s="596">
        <v>0</v>
      </c>
      <c r="K201" s="597">
        <v>0</v>
      </c>
      <c r="L201" s="597">
        <v>0</v>
      </c>
      <c r="M201" s="597">
        <v>0</v>
      </c>
      <c r="N201" s="596">
        <v>0</v>
      </c>
      <c r="O201" s="596">
        <v>0</v>
      </c>
      <c r="P201" s="596">
        <v>0</v>
      </c>
      <c r="Q201" s="597">
        <v>0</v>
      </c>
      <c r="R201" s="596">
        <v>0</v>
      </c>
      <c r="S201" s="596">
        <v>0</v>
      </c>
      <c r="T201" s="596"/>
      <c r="U201" s="596"/>
      <c r="V201" s="596"/>
      <c r="W201" s="151"/>
      <c r="X201" s="151"/>
    </row>
    <row r="202" spans="1:24">
      <c r="A202" s="591"/>
      <c r="B202" s="598" t="s">
        <v>260</v>
      </c>
      <c r="C202" s="599">
        <v>75735.466522436851</v>
      </c>
      <c r="D202" s="151">
        <v>67186.259048167543</v>
      </c>
      <c r="E202" s="151">
        <v>63435.06095222749</v>
      </c>
      <c r="F202" s="151">
        <v>63419.665517431196</v>
      </c>
      <c r="G202" s="151">
        <v>62524.84281788618</v>
      </c>
      <c r="H202" s="151">
        <v>62497.120002298849</v>
      </c>
      <c r="I202" s="599">
        <v>67119.989633777426</v>
      </c>
      <c r="J202" s="599">
        <v>0</v>
      </c>
      <c r="K202" s="151">
        <v>0</v>
      </c>
      <c r="L202" s="151">
        <v>0</v>
      </c>
      <c r="M202" s="151">
        <v>0</v>
      </c>
      <c r="N202" s="599">
        <v>0</v>
      </c>
      <c r="O202" s="599">
        <v>0</v>
      </c>
      <c r="P202" s="599">
        <v>0</v>
      </c>
      <c r="Q202" s="151">
        <v>0</v>
      </c>
      <c r="R202" s="599">
        <v>0</v>
      </c>
      <c r="S202" s="599">
        <v>0</v>
      </c>
      <c r="T202" s="599"/>
      <c r="U202" s="599"/>
      <c r="V202" s="599"/>
      <c r="W202" s="151"/>
      <c r="X202" s="151"/>
    </row>
    <row r="203" spans="1:24">
      <c r="A203" s="591"/>
      <c r="B203" s="600" t="s">
        <v>262</v>
      </c>
      <c r="C203" s="602">
        <v>0.61462902148172072</v>
      </c>
      <c r="D203" s="601">
        <v>-4.459438300544618E-2</v>
      </c>
      <c r="E203" s="601">
        <v>-0.14869426983307737</v>
      </c>
      <c r="F203" s="601">
        <v>1.2626974997906333</v>
      </c>
      <c r="G203" s="601">
        <v>-0.42450088071923087</v>
      </c>
      <c r="H203" s="601">
        <v>2.686494184909225</v>
      </c>
      <c r="I203" s="602">
        <v>0.20120533038620231</v>
      </c>
      <c r="J203" s="602">
        <v>0</v>
      </c>
      <c r="K203" s="601">
        <v>0</v>
      </c>
      <c r="L203" s="601">
        <v>0</v>
      </c>
      <c r="M203" s="601">
        <v>0</v>
      </c>
      <c r="N203" s="602">
        <v>0</v>
      </c>
      <c r="O203" s="602">
        <v>0</v>
      </c>
      <c r="P203" s="602">
        <v>0</v>
      </c>
      <c r="Q203" s="601">
        <v>0</v>
      </c>
      <c r="R203" s="602">
        <v>0</v>
      </c>
      <c r="S203" s="602">
        <v>0</v>
      </c>
      <c r="T203" s="602"/>
      <c r="U203" s="602"/>
      <c r="V203" s="602"/>
      <c r="W203" s="606"/>
      <c r="X203" s="606"/>
    </row>
    <row r="204" spans="1:24">
      <c r="A204" s="591"/>
      <c r="B204" s="589" t="s">
        <v>264</v>
      </c>
      <c r="C204" s="596">
        <v>78792.192715789468</v>
      </c>
      <c r="D204" s="597">
        <v>55604.957447457629</v>
      </c>
      <c r="E204" s="597">
        <v>56781.643374545456</v>
      </c>
      <c r="F204" s="597">
        <v>59463.826650000003</v>
      </c>
      <c r="G204" s="597">
        <v>57794.361982608702</v>
      </c>
      <c r="H204" s="597">
        <v>56220.5</v>
      </c>
      <c r="I204" s="596">
        <v>58952.187439790578</v>
      </c>
      <c r="J204" s="596">
        <v>0</v>
      </c>
      <c r="K204" s="597">
        <v>0</v>
      </c>
      <c r="L204" s="597">
        <v>0</v>
      </c>
      <c r="M204" s="597">
        <v>0</v>
      </c>
      <c r="N204" s="596">
        <v>0</v>
      </c>
      <c r="O204" s="596">
        <v>0</v>
      </c>
      <c r="P204" s="596">
        <v>0</v>
      </c>
      <c r="Q204" s="597">
        <v>0</v>
      </c>
      <c r="R204" s="596">
        <v>0</v>
      </c>
      <c r="S204" s="596">
        <v>0</v>
      </c>
      <c r="T204" s="596"/>
      <c r="U204" s="596"/>
      <c r="V204" s="596"/>
      <c r="W204" s="151"/>
      <c r="X204" s="151"/>
    </row>
    <row r="205" spans="1:24">
      <c r="A205" s="591"/>
      <c r="B205" s="598" t="s">
        <v>266</v>
      </c>
      <c r="C205" s="599">
        <v>77334.654399999999</v>
      </c>
      <c r="D205" s="151">
        <v>56581.365650000007</v>
      </c>
      <c r="E205" s="151">
        <v>50955.73541714286</v>
      </c>
      <c r="F205" s="151">
        <v>58771</v>
      </c>
      <c r="G205" s="151">
        <v>56656.081041666672</v>
      </c>
      <c r="H205" s="151">
        <v>56294</v>
      </c>
      <c r="I205" s="599">
        <v>57502.924204678369</v>
      </c>
      <c r="J205" s="599">
        <v>0</v>
      </c>
      <c r="K205" s="151">
        <v>0</v>
      </c>
      <c r="L205" s="151">
        <v>0</v>
      </c>
      <c r="M205" s="151">
        <v>0</v>
      </c>
      <c r="N205" s="599">
        <v>0</v>
      </c>
      <c r="O205" s="599">
        <v>0</v>
      </c>
      <c r="P205" s="599">
        <v>0</v>
      </c>
      <c r="Q205" s="151">
        <v>0</v>
      </c>
      <c r="R205" s="599">
        <v>0</v>
      </c>
      <c r="S205" s="599">
        <v>0</v>
      </c>
      <c r="T205" s="599"/>
      <c r="U205" s="599"/>
      <c r="V205" s="599"/>
      <c r="W205" s="151"/>
      <c r="X205" s="151"/>
    </row>
    <row r="206" spans="1:24">
      <c r="A206" s="591"/>
      <c r="B206" s="600" t="s">
        <v>268</v>
      </c>
      <c r="C206" s="602">
        <v>-1.8498511915348521</v>
      </c>
      <c r="D206" s="601">
        <v>1.7559732933255234</v>
      </c>
      <c r="E206" s="601">
        <v>-10.260196097132129</v>
      </c>
      <c r="F206" s="601">
        <v>-1.1651228806345288</v>
      </c>
      <c r="G206" s="601">
        <v>-1.9695363040508305</v>
      </c>
      <c r="H206" s="601">
        <v>0.13073523003175</v>
      </c>
      <c r="I206" s="602">
        <v>-2.4583705847936161</v>
      </c>
      <c r="J206" s="602">
        <v>0</v>
      </c>
      <c r="K206" s="601">
        <v>0</v>
      </c>
      <c r="L206" s="601">
        <v>0</v>
      </c>
      <c r="M206" s="601">
        <v>0</v>
      </c>
      <c r="N206" s="602">
        <v>0</v>
      </c>
      <c r="O206" s="602">
        <v>0</v>
      </c>
      <c r="P206" s="602">
        <v>0</v>
      </c>
      <c r="Q206" s="601">
        <v>0</v>
      </c>
      <c r="R206" s="602">
        <v>0</v>
      </c>
      <c r="S206" s="602">
        <v>0</v>
      </c>
      <c r="T206" s="602"/>
      <c r="U206" s="602"/>
      <c r="V206" s="602"/>
      <c r="W206" s="606"/>
      <c r="X206" s="606"/>
    </row>
    <row r="207" spans="1:24">
      <c r="A207" s="591"/>
      <c r="B207" s="589" t="s">
        <v>270</v>
      </c>
      <c r="C207" s="596">
        <v>64268.028826186586</v>
      </c>
      <c r="D207" s="597">
        <v>47630.000750793646</v>
      </c>
      <c r="E207" s="597">
        <v>51519.505026511622</v>
      </c>
      <c r="F207" s="597">
        <v>46456.910962162161</v>
      </c>
      <c r="G207" s="597">
        <v>47574.182581176472</v>
      </c>
      <c r="H207" s="597">
        <v>53788.628344444442</v>
      </c>
      <c r="I207" s="596">
        <v>54436.697349583948</v>
      </c>
      <c r="J207" s="596">
        <v>0</v>
      </c>
      <c r="K207" s="597">
        <v>0</v>
      </c>
      <c r="L207" s="597">
        <v>0</v>
      </c>
      <c r="M207" s="597">
        <v>0</v>
      </c>
      <c r="N207" s="596">
        <v>0</v>
      </c>
      <c r="O207" s="596">
        <v>0</v>
      </c>
      <c r="P207" s="596">
        <v>0</v>
      </c>
      <c r="Q207" s="597">
        <v>0</v>
      </c>
      <c r="R207" s="596">
        <v>0</v>
      </c>
      <c r="S207" s="596">
        <v>0</v>
      </c>
      <c r="T207" s="596"/>
      <c r="U207" s="596"/>
      <c r="V207" s="596"/>
      <c r="W207" s="151"/>
      <c r="X207" s="151"/>
    </row>
    <row r="208" spans="1:24">
      <c r="A208" s="591"/>
      <c r="B208" s="598" t="s">
        <v>272</v>
      </c>
      <c r="C208" s="599">
        <v>63810.897983641975</v>
      </c>
      <c r="D208" s="151">
        <v>47490.785929268292</v>
      </c>
      <c r="E208" s="151">
        <v>50961.047092091008</v>
      </c>
      <c r="F208" s="151">
        <v>53427</v>
      </c>
      <c r="G208" s="151">
        <v>49658.049455238099</v>
      </c>
      <c r="H208" s="151">
        <v>53763.70620487805</v>
      </c>
      <c r="I208" s="599">
        <v>54176.983503861884</v>
      </c>
      <c r="J208" s="599">
        <v>0</v>
      </c>
      <c r="K208" s="151">
        <v>0</v>
      </c>
      <c r="L208" s="151">
        <v>0</v>
      </c>
      <c r="M208" s="151">
        <v>0</v>
      </c>
      <c r="N208" s="599">
        <v>0</v>
      </c>
      <c r="O208" s="599">
        <v>0</v>
      </c>
      <c r="P208" s="599">
        <v>0</v>
      </c>
      <c r="Q208" s="151">
        <v>0</v>
      </c>
      <c r="R208" s="599">
        <v>0</v>
      </c>
      <c r="S208" s="599">
        <v>0</v>
      </c>
      <c r="T208" s="599"/>
      <c r="U208" s="599"/>
      <c r="V208" s="599"/>
      <c r="W208" s="151"/>
      <c r="X208" s="151"/>
    </row>
    <row r="209" spans="1:24">
      <c r="A209" s="591"/>
      <c r="B209" s="600" t="s">
        <v>274</v>
      </c>
      <c r="C209" s="602">
        <v>-0.7112881021774069</v>
      </c>
      <c r="D209" s="601">
        <v>-0.29228389529898324</v>
      </c>
      <c r="E209" s="601">
        <v>-1.0839737962024965</v>
      </c>
      <c r="F209" s="601">
        <v>15.003341577133225</v>
      </c>
      <c r="G209" s="601">
        <v>4.3802473547620009</v>
      </c>
      <c r="H209" s="601">
        <v>-4.6333472954169112E-2</v>
      </c>
      <c r="I209" s="602">
        <v>-0.47709331823387957</v>
      </c>
      <c r="J209" s="602">
        <v>0</v>
      </c>
      <c r="K209" s="601">
        <v>0</v>
      </c>
      <c r="L209" s="601">
        <v>0</v>
      </c>
      <c r="M209" s="601">
        <v>0</v>
      </c>
      <c r="N209" s="602">
        <v>0</v>
      </c>
      <c r="O209" s="602">
        <v>0</v>
      </c>
      <c r="P209" s="602">
        <v>0</v>
      </c>
      <c r="Q209" s="601">
        <v>0</v>
      </c>
      <c r="R209" s="602">
        <v>0</v>
      </c>
      <c r="S209" s="602">
        <v>0</v>
      </c>
      <c r="T209" s="602"/>
      <c r="U209" s="602"/>
      <c r="V209" s="602"/>
      <c r="W209" s="606"/>
      <c r="X209" s="606"/>
    </row>
    <row r="210" spans="1:24">
      <c r="A210" s="591"/>
      <c r="B210" s="589" t="s">
        <v>276</v>
      </c>
      <c r="C210" s="596">
        <v>0</v>
      </c>
      <c r="D210" s="597">
        <v>0</v>
      </c>
      <c r="E210" s="597">
        <v>0</v>
      </c>
      <c r="F210" s="597">
        <v>0</v>
      </c>
      <c r="G210" s="597">
        <v>0</v>
      </c>
      <c r="H210" s="597">
        <v>0</v>
      </c>
      <c r="I210" s="596">
        <v>0</v>
      </c>
      <c r="J210" s="596">
        <v>0</v>
      </c>
      <c r="K210" s="597">
        <v>48064.402660217653</v>
      </c>
      <c r="L210" s="597">
        <v>47077.458747135221</v>
      </c>
      <c r="M210" s="597">
        <v>45310.913663663661</v>
      </c>
      <c r="N210" s="596">
        <v>0</v>
      </c>
      <c r="O210" s="596">
        <v>47092.319545949307</v>
      </c>
      <c r="P210" s="596">
        <v>0</v>
      </c>
      <c r="Q210" s="597">
        <v>0</v>
      </c>
      <c r="R210" s="596">
        <v>0</v>
      </c>
      <c r="S210" s="596">
        <v>0</v>
      </c>
      <c r="T210" s="596"/>
      <c r="U210" s="596"/>
      <c r="V210" s="596"/>
      <c r="W210" s="151"/>
      <c r="X210" s="151"/>
    </row>
    <row r="211" spans="1:24">
      <c r="A211" s="591"/>
      <c r="B211" s="598" t="s">
        <v>278</v>
      </c>
      <c r="C211" s="599">
        <v>0</v>
      </c>
      <c r="D211" s="151">
        <v>0</v>
      </c>
      <c r="E211" s="151">
        <v>0</v>
      </c>
      <c r="F211" s="151">
        <v>0</v>
      </c>
      <c r="G211" s="151">
        <v>0</v>
      </c>
      <c r="H211" s="151">
        <v>0</v>
      </c>
      <c r="I211" s="599">
        <v>0</v>
      </c>
      <c r="J211" s="599">
        <v>0</v>
      </c>
      <c r="K211" s="151">
        <v>47747.426765799253</v>
      </c>
      <c r="L211" s="151">
        <v>47465.146570397112</v>
      </c>
      <c r="M211" s="151">
        <v>45986.983667409055</v>
      </c>
      <c r="N211" s="599">
        <v>0</v>
      </c>
      <c r="O211" s="599">
        <v>47284.192889672398</v>
      </c>
      <c r="P211" s="599">
        <v>0</v>
      </c>
      <c r="Q211" s="151">
        <v>0</v>
      </c>
      <c r="R211" s="599">
        <v>0</v>
      </c>
      <c r="S211" s="599">
        <v>0</v>
      </c>
      <c r="T211" s="599"/>
      <c r="U211" s="599"/>
      <c r="V211" s="599"/>
      <c r="W211" s="151"/>
      <c r="X211" s="151"/>
    </row>
    <row r="212" spans="1:24">
      <c r="A212" s="591"/>
      <c r="B212" s="600" t="s">
        <v>280</v>
      </c>
      <c r="C212" s="602">
        <v>0</v>
      </c>
      <c r="D212" s="601">
        <v>0</v>
      </c>
      <c r="E212" s="601">
        <v>0</v>
      </c>
      <c r="F212" s="601">
        <v>0</v>
      </c>
      <c r="G212" s="601">
        <v>0</v>
      </c>
      <c r="H212" s="601">
        <v>0</v>
      </c>
      <c r="I212" s="602">
        <v>0</v>
      </c>
      <c r="J212" s="602">
        <v>0</v>
      </c>
      <c r="K212" s="601">
        <v>-0.65948160566813163</v>
      </c>
      <c r="L212" s="601">
        <v>0.82351051560420674</v>
      </c>
      <c r="M212" s="601">
        <v>1.4920687955307259</v>
      </c>
      <c r="N212" s="602">
        <v>0</v>
      </c>
      <c r="O212" s="602">
        <v>0.40744084295078092</v>
      </c>
      <c r="P212" s="602">
        <v>0</v>
      </c>
      <c r="Q212" s="601">
        <v>0</v>
      </c>
      <c r="R212" s="602">
        <v>0</v>
      </c>
      <c r="S212" s="602">
        <v>0</v>
      </c>
      <c r="T212" s="602"/>
      <c r="U212" s="602"/>
      <c r="V212" s="602"/>
      <c r="W212" s="606"/>
      <c r="X212" s="606"/>
    </row>
    <row r="213" spans="1:24">
      <c r="A213" s="591"/>
      <c r="B213" s="589" t="s">
        <v>282</v>
      </c>
      <c r="C213" s="596">
        <v>96437.632231284908</v>
      </c>
      <c r="D213" s="597">
        <v>75843.229486846642</v>
      </c>
      <c r="E213" s="597">
        <v>70724.133567610537</v>
      </c>
      <c r="F213" s="597">
        <v>67671.400087804868</v>
      </c>
      <c r="G213" s="597">
        <v>66820.645414886734</v>
      </c>
      <c r="H213" s="597">
        <v>67893.65016353887</v>
      </c>
      <c r="I213" s="596">
        <v>79533.217853819646</v>
      </c>
      <c r="J213" s="596">
        <v>0</v>
      </c>
      <c r="K213" s="597">
        <v>48064.402660217653</v>
      </c>
      <c r="L213" s="597">
        <v>47077.458747135221</v>
      </c>
      <c r="M213" s="597">
        <v>45310.913663663661</v>
      </c>
      <c r="N213" s="596">
        <v>0</v>
      </c>
      <c r="O213" s="596">
        <v>47092.319545949307</v>
      </c>
      <c r="P213" s="596">
        <v>0</v>
      </c>
      <c r="Q213" s="597">
        <v>0</v>
      </c>
      <c r="R213" s="596">
        <v>0</v>
      </c>
      <c r="S213" s="596">
        <v>0</v>
      </c>
      <c r="T213" s="596"/>
      <c r="U213" s="596"/>
      <c r="V213" s="596"/>
      <c r="W213" s="151"/>
      <c r="X213" s="151"/>
    </row>
    <row r="214" spans="1:24">
      <c r="A214" s="591"/>
      <c r="B214" s="598" t="s">
        <v>284</v>
      </c>
      <c r="C214" s="599">
        <v>96744.394035960315</v>
      </c>
      <c r="D214" s="151">
        <v>75768.865161521258</v>
      </c>
      <c r="E214" s="151">
        <v>70350.753561480407</v>
      </c>
      <c r="F214" s="151">
        <v>68710.412558122742</v>
      </c>
      <c r="G214" s="151">
        <v>65902.714320238098</v>
      </c>
      <c r="H214" s="151">
        <v>67903.819857881128</v>
      </c>
      <c r="I214" s="599">
        <v>79332.810015933195</v>
      </c>
      <c r="J214" s="599">
        <v>0</v>
      </c>
      <c r="K214" s="151">
        <v>47747.426765799253</v>
      </c>
      <c r="L214" s="151">
        <v>47465.146570397112</v>
      </c>
      <c r="M214" s="151">
        <v>45986.983667409055</v>
      </c>
      <c r="N214" s="599">
        <v>0</v>
      </c>
      <c r="O214" s="599">
        <v>47284.192889672398</v>
      </c>
      <c r="P214" s="599">
        <v>0</v>
      </c>
      <c r="Q214" s="151">
        <v>0</v>
      </c>
      <c r="R214" s="599">
        <v>0</v>
      </c>
      <c r="S214" s="599">
        <v>0</v>
      </c>
      <c r="T214" s="599"/>
      <c r="U214" s="599"/>
      <c r="V214" s="599"/>
      <c r="W214" s="151"/>
      <c r="X214" s="151"/>
    </row>
    <row r="215" spans="1:24">
      <c r="A215" s="591"/>
      <c r="B215" s="600" t="s">
        <v>286</v>
      </c>
      <c r="C215" s="602">
        <v>0.31809346370066899</v>
      </c>
      <c r="D215" s="601">
        <v>-9.8050051175998493E-2</v>
      </c>
      <c r="E215" s="601">
        <v>-0.52793860779246982</v>
      </c>
      <c r="F215" s="601">
        <v>1.5353790064484198</v>
      </c>
      <c r="G215" s="601">
        <v>-1.3737237779570055</v>
      </c>
      <c r="H215" s="601">
        <v>1.497885931565222E-2</v>
      </c>
      <c r="I215" s="602">
        <v>-0.25198004468371427</v>
      </c>
      <c r="J215" s="602">
        <v>0</v>
      </c>
      <c r="K215" s="601">
        <v>-0.65948160566813163</v>
      </c>
      <c r="L215" s="601">
        <v>0.82351051560420674</v>
      </c>
      <c r="M215" s="601">
        <v>1.4920687955307259</v>
      </c>
      <c r="N215" s="602">
        <v>0</v>
      </c>
      <c r="O215" s="602">
        <v>0.40744084295078092</v>
      </c>
      <c r="P215" s="602">
        <v>0</v>
      </c>
      <c r="Q215" s="601">
        <v>0</v>
      </c>
      <c r="R215" s="602">
        <v>0</v>
      </c>
      <c r="S215" s="602">
        <v>0</v>
      </c>
      <c r="T215" s="602"/>
      <c r="U215" s="602"/>
      <c r="V215" s="602"/>
      <c r="W215" s="606"/>
      <c r="X215" s="606"/>
    </row>
    <row r="216" spans="1:24">
      <c r="A216" s="595" t="s">
        <v>311</v>
      </c>
      <c r="B216" s="589" t="s">
        <v>246</v>
      </c>
      <c r="C216" s="596">
        <v>106390.91847839773</v>
      </c>
      <c r="D216" s="597">
        <v>0</v>
      </c>
      <c r="E216" s="597">
        <v>76084.115168831166</v>
      </c>
      <c r="F216" s="597">
        <v>0</v>
      </c>
      <c r="G216" s="597">
        <v>69571.189004081636</v>
      </c>
      <c r="H216" s="597">
        <v>63957.286575000006</v>
      </c>
      <c r="I216" s="596">
        <v>92940.646662867017</v>
      </c>
      <c r="J216" s="596">
        <v>0</v>
      </c>
      <c r="K216" s="597">
        <v>0</v>
      </c>
      <c r="L216" s="597">
        <v>0</v>
      </c>
      <c r="M216" s="597">
        <v>0</v>
      </c>
      <c r="N216" s="596">
        <v>0</v>
      </c>
      <c r="O216" s="596">
        <v>0</v>
      </c>
      <c r="P216" s="596">
        <v>0</v>
      </c>
      <c r="Q216" s="597">
        <v>0</v>
      </c>
      <c r="R216" s="596">
        <v>0</v>
      </c>
      <c r="S216" s="596">
        <v>0</v>
      </c>
      <c r="T216" s="596"/>
      <c r="U216" s="596"/>
      <c r="V216" s="596"/>
      <c r="W216" s="151"/>
      <c r="X216" s="151"/>
    </row>
    <row r="217" spans="1:24">
      <c r="A217" s="591"/>
      <c r="B217" s="598" t="s">
        <v>248</v>
      </c>
      <c r="C217" s="599">
        <v>108998.91990129126</v>
      </c>
      <c r="D217" s="151">
        <v>0</v>
      </c>
      <c r="E217" s="151">
        <v>76151.420939655174</v>
      </c>
      <c r="F217" s="151">
        <v>0</v>
      </c>
      <c r="G217" s="151">
        <v>69194.258745177664</v>
      </c>
      <c r="H217" s="151">
        <v>61870.840031250002</v>
      </c>
      <c r="I217" s="599">
        <v>94344.138759067355</v>
      </c>
      <c r="J217" s="599">
        <v>0</v>
      </c>
      <c r="K217" s="151">
        <v>0</v>
      </c>
      <c r="L217" s="151">
        <v>0</v>
      </c>
      <c r="M217" s="151">
        <v>0</v>
      </c>
      <c r="N217" s="599">
        <v>0</v>
      </c>
      <c r="O217" s="599">
        <v>0</v>
      </c>
      <c r="P217" s="599">
        <v>0</v>
      </c>
      <c r="Q217" s="151">
        <v>0</v>
      </c>
      <c r="R217" s="599">
        <v>0</v>
      </c>
      <c r="S217" s="599">
        <v>0</v>
      </c>
      <c r="T217" s="599"/>
      <c r="U217" s="599"/>
      <c r="V217" s="599"/>
      <c r="W217" s="151"/>
      <c r="X217" s="151"/>
    </row>
    <row r="218" spans="1:24">
      <c r="A218" s="591"/>
      <c r="B218" s="600" t="s">
        <v>250</v>
      </c>
      <c r="C218" s="602">
        <v>2.4513383850737949</v>
      </c>
      <c r="D218" s="601">
        <v>0</v>
      </c>
      <c r="E218" s="601">
        <v>8.8462316575091335E-2</v>
      </c>
      <c r="F218" s="601">
        <v>0</v>
      </c>
      <c r="G218" s="601">
        <v>-0.54179073880979478</v>
      </c>
      <c r="H218" s="601">
        <v>-3.2622499412999897</v>
      </c>
      <c r="I218" s="602">
        <v>1.5100950408612568</v>
      </c>
      <c r="J218" s="602">
        <v>0</v>
      </c>
      <c r="K218" s="601">
        <v>0</v>
      </c>
      <c r="L218" s="601">
        <v>0</v>
      </c>
      <c r="M218" s="601">
        <v>0</v>
      </c>
      <c r="N218" s="602">
        <v>0</v>
      </c>
      <c r="O218" s="602">
        <v>0</v>
      </c>
      <c r="P218" s="602">
        <v>0</v>
      </c>
      <c r="Q218" s="601">
        <v>0</v>
      </c>
      <c r="R218" s="602">
        <v>0</v>
      </c>
      <c r="S218" s="602">
        <v>0</v>
      </c>
      <c r="T218" s="602"/>
      <c r="U218" s="602"/>
      <c r="V218" s="602"/>
      <c r="W218" s="606"/>
      <c r="X218" s="606"/>
    </row>
    <row r="219" spans="1:24">
      <c r="A219" s="591"/>
      <c r="B219" s="589" t="s">
        <v>252</v>
      </c>
      <c r="C219" s="596">
        <v>72220.855290744104</v>
      </c>
      <c r="D219" s="597">
        <v>0</v>
      </c>
      <c r="E219" s="597">
        <v>60943.730121739129</v>
      </c>
      <c r="F219" s="597">
        <v>0</v>
      </c>
      <c r="G219" s="597">
        <v>59305.277126315785</v>
      </c>
      <c r="H219" s="597">
        <v>54600.673211320754</v>
      </c>
      <c r="I219" s="596">
        <v>66916.056176180253</v>
      </c>
      <c r="J219" s="596">
        <v>0</v>
      </c>
      <c r="K219" s="597">
        <v>0</v>
      </c>
      <c r="L219" s="597">
        <v>0</v>
      </c>
      <c r="M219" s="597">
        <v>0</v>
      </c>
      <c r="N219" s="596">
        <v>0</v>
      </c>
      <c r="O219" s="596">
        <v>0</v>
      </c>
      <c r="P219" s="596">
        <v>0</v>
      </c>
      <c r="Q219" s="597">
        <v>0</v>
      </c>
      <c r="R219" s="596">
        <v>0</v>
      </c>
      <c r="S219" s="596">
        <v>0</v>
      </c>
      <c r="T219" s="596"/>
      <c r="U219" s="596"/>
      <c r="V219" s="596"/>
      <c r="W219" s="151"/>
      <c r="X219" s="151"/>
    </row>
    <row r="220" spans="1:24">
      <c r="A220" s="591"/>
      <c r="B220" s="598" t="s">
        <v>254</v>
      </c>
      <c r="C220" s="599">
        <v>71560.487778815077</v>
      </c>
      <c r="D220" s="151">
        <v>0</v>
      </c>
      <c r="E220" s="151">
        <v>60071.427863157893</v>
      </c>
      <c r="F220" s="151">
        <v>0</v>
      </c>
      <c r="G220" s="151">
        <v>59061.930140740733</v>
      </c>
      <c r="H220" s="151">
        <v>54569.445878571431</v>
      </c>
      <c r="I220" s="599">
        <v>66256.438672746328</v>
      </c>
      <c r="J220" s="599">
        <v>0</v>
      </c>
      <c r="K220" s="151">
        <v>0</v>
      </c>
      <c r="L220" s="151">
        <v>0</v>
      </c>
      <c r="M220" s="151">
        <v>0</v>
      </c>
      <c r="N220" s="599">
        <v>0</v>
      </c>
      <c r="O220" s="599">
        <v>0</v>
      </c>
      <c r="P220" s="599">
        <v>0</v>
      </c>
      <c r="Q220" s="151">
        <v>0</v>
      </c>
      <c r="R220" s="599">
        <v>0</v>
      </c>
      <c r="S220" s="599">
        <v>0</v>
      </c>
      <c r="T220" s="599"/>
      <c r="U220" s="599"/>
      <c r="V220" s="599"/>
      <c r="W220" s="151"/>
      <c r="X220" s="151"/>
    </row>
    <row r="221" spans="1:24">
      <c r="A221" s="591"/>
      <c r="B221" s="600" t="s">
        <v>256</v>
      </c>
      <c r="C221" s="602">
        <v>-0.91437232260756784</v>
      </c>
      <c r="D221" s="601">
        <v>0</v>
      </c>
      <c r="E221" s="601">
        <v>-1.4313240374994352</v>
      </c>
      <c r="F221" s="601">
        <v>0</v>
      </c>
      <c r="G221" s="601">
        <v>-0.41032939624705067</v>
      </c>
      <c r="H221" s="601">
        <v>-5.719221195032699E-2</v>
      </c>
      <c r="I221" s="602">
        <v>-0.98573876155708851</v>
      </c>
      <c r="J221" s="602">
        <v>0</v>
      </c>
      <c r="K221" s="601">
        <v>0</v>
      </c>
      <c r="L221" s="601">
        <v>0</v>
      </c>
      <c r="M221" s="601">
        <v>0</v>
      </c>
      <c r="N221" s="602">
        <v>0</v>
      </c>
      <c r="O221" s="602">
        <v>0</v>
      </c>
      <c r="P221" s="602">
        <v>0</v>
      </c>
      <c r="Q221" s="601">
        <v>0</v>
      </c>
      <c r="R221" s="602">
        <v>0</v>
      </c>
      <c r="S221" s="602">
        <v>0</v>
      </c>
      <c r="T221" s="602"/>
      <c r="U221" s="602"/>
      <c r="V221" s="602"/>
      <c r="W221" s="606"/>
      <c r="X221" s="606"/>
    </row>
    <row r="222" spans="1:24">
      <c r="A222" s="591"/>
      <c r="B222" s="589" t="s">
        <v>258</v>
      </c>
      <c r="C222" s="596">
        <v>62827.387157495257</v>
      </c>
      <c r="D222" s="597">
        <v>0</v>
      </c>
      <c r="E222" s="597">
        <v>55213.874161990949</v>
      </c>
      <c r="F222" s="597">
        <v>0</v>
      </c>
      <c r="G222" s="597">
        <v>49014.915893680292</v>
      </c>
      <c r="H222" s="597">
        <v>46464.011360000004</v>
      </c>
      <c r="I222" s="596">
        <v>56855.334875785586</v>
      </c>
      <c r="J222" s="596">
        <v>0</v>
      </c>
      <c r="K222" s="597">
        <v>0</v>
      </c>
      <c r="L222" s="597">
        <v>0</v>
      </c>
      <c r="M222" s="597">
        <v>0</v>
      </c>
      <c r="N222" s="596">
        <v>0</v>
      </c>
      <c r="O222" s="596">
        <v>0</v>
      </c>
      <c r="P222" s="596">
        <v>0</v>
      </c>
      <c r="Q222" s="597">
        <v>0</v>
      </c>
      <c r="R222" s="596">
        <v>0</v>
      </c>
      <c r="S222" s="596">
        <v>0</v>
      </c>
      <c r="T222" s="596"/>
      <c r="U222" s="596"/>
      <c r="V222" s="596"/>
      <c r="W222" s="151"/>
      <c r="X222" s="151"/>
    </row>
    <row r="223" spans="1:24">
      <c r="A223" s="591"/>
      <c r="B223" s="598" t="s">
        <v>260</v>
      </c>
      <c r="C223" s="599">
        <v>63046.024141035858</v>
      </c>
      <c r="D223" s="151">
        <v>0</v>
      </c>
      <c r="E223" s="151">
        <v>54919.360304186041</v>
      </c>
      <c r="F223" s="151">
        <v>0</v>
      </c>
      <c r="G223" s="151">
        <v>49900.183833333329</v>
      </c>
      <c r="H223" s="151">
        <v>45565.789881818178</v>
      </c>
      <c r="I223" s="599">
        <v>56960.608642215855</v>
      </c>
      <c r="J223" s="599">
        <v>0</v>
      </c>
      <c r="K223" s="151">
        <v>0</v>
      </c>
      <c r="L223" s="151">
        <v>0</v>
      </c>
      <c r="M223" s="151">
        <v>0</v>
      </c>
      <c r="N223" s="599">
        <v>0</v>
      </c>
      <c r="O223" s="599">
        <v>0</v>
      </c>
      <c r="P223" s="599">
        <v>0</v>
      </c>
      <c r="Q223" s="151">
        <v>0</v>
      </c>
      <c r="R223" s="599">
        <v>0</v>
      </c>
      <c r="S223" s="599">
        <v>0</v>
      </c>
      <c r="T223" s="599"/>
      <c r="U223" s="599"/>
      <c r="V223" s="599"/>
      <c r="W223" s="151"/>
      <c r="X223" s="151"/>
    </row>
    <row r="224" spans="1:24">
      <c r="A224" s="591"/>
      <c r="B224" s="600" t="s">
        <v>262</v>
      </c>
      <c r="C224" s="602">
        <v>0.3479963013462945</v>
      </c>
      <c r="D224" s="601">
        <v>0</v>
      </c>
      <c r="E224" s="601">
        <v>-0.53340552945232478</v>
      </c>
      <c r="F224" s="601">
        <v>0</v>
      </c>
      <c r="G224" s="601">
        <v>1.806119471006127</v>
      </c>
      <c r="H224" s="601">
        <v>-1.9331552569201711</v>
      </c>
      <c r="I224" s="602">
        <v>0.18516075344603247</v>
      </c>
      <c r="J224" s="602">
        <v>0</v>
      </c>
      <c r="K224" s="601">
        <v>0</v>
      </c>
      <c r="L224" s="601">
        <v>0</v>
      </c>
      <c r="M224" s="601">
        <v>0</v>
      </c>
      <c r="N224" s="602">
        <v>0</v>
      </c>
      <c r="O224" s="602">
        <v>0</v>
      </c>
      <c r="P224" s="602">
        <v>0</v>
      </c>
      <c r="Q224" s="601">
        <v>0</v>
      </c>
      <c r="R224" s="602">
        <v>0</v>
      </c>
      <c r="S224" s="602">
        <v>0</v>
      </c>
      <c r="T224" s="602"/>
      <c r="U224" s="602"/>
      <c r="V224" s="602"/>
      <c r="W224" s="606"/>
      <c r="X224" s="606"/>
    </row>
    <row r="225" spans="1:24">
      <c r="A225" s="591"/>
      <c r="B225" s="589" t="s">
        <v>264</v>
      </c>
      <c r="C225" s="596">
        <v>40564.009512727273</v>
      </c>
      <c r="D225" s="597">
        <v>0</v>
      </c>
      <c r="E225" s="597">
        <v>39633.564743502822</v>
      </c>
      <c r="F225" s="597">
        <v>0</v>
      </c>
      <c r="G225" s="597">
        <v>41575.142650190115</v>
      </c>
      <c r="H225" s="597">
        <v>36961.315007142854</v>
      </c>
      <c r="I225" s="596">
        <v>40433.644271076526</v>
      </c>
      <c r="J225" s="596">
        <v>0</v>
      </c>
      <c r="K225" s="597">
        <v>0</v>
      </c>
      <c r="L225" s="597">
        <v>0</v>
      </c>
      <c r="M225" s="597">
        <v>0</v>
      </c>
      <c r="N225" s="596">
        <v>0</v>
      </c>
      <c r="O225" s="596">
        <v>0</v>
      </c>
      <c r="P225" s="596">
        <v>0</v>
      </c>
      <c r="Q225" s="597">
        <v>0</v>
      </c>
      <c r="R225" s="596">
        <v>0</v>
      </c>
      <c r="S225" s="596">
        <v>0</v>
      </c>
      <c r="T225" s="596"/>
      <c r="U225" s="596"/>
      <c r="V225" s="596"/>
      <c r="W225" s="151"/>
      <c r="X225" s="151"/>
    </row>
    <row r="226" spans="1:24">
      <c r="A226" s="591"/>
      <c r="B226" s="598" t="s">
        <v>266</v>
      </c>
      <c r="C226" s="599">
        <v>41711.925397966101</v>
      </c>
      <c r="D226" s="151">
        <v>0</v>
      </c>
      <c r="E226" s="151">
        <v>39607.286725274724</v>
      </c>
      <c r="F226" s="151">
        <v>0</v>
      </c>
      <c r="G226" s="151">
        <v>42220.207280000002</v>
      </c>
      <c r="H226" s="151">
        <v>35153.848803333334</v>
      </c>
      <c r="I226" s="599">
        <v>40927.748899753693</v>
      </c>
      <c r="J226" s="599">
        <v>0</v>
      </c>
      <c r="K226" s="151">
        <v>0</v>
      </c>
      <c r="L226" s="151">
        <v>0</v>
      </c>
      <c r="M226" s="151">
        <v>0</v>
      </c>
      <c r="N226" s="599">
        <v>0</v>
      </c>
      <c r="O226" s="599">
        <v>0</v>
      </c>
      <c r="P226" s="599">
        <v>0</v>
      </c>
      <c r="Q226" s="151">
        <v>0</v>
      </c>
      <c r="R226" s="599">
        <v>0</v>
      </c>
      <c r="S226" s="599">
        <v>0</v>
      </c>
      <c r="T226" s="599"/>
      <c r="U226" s="599"/>
      <c r="V226" s="599"/>
      <c r="W226" s="151"/>
      <c r="X226" s="151"/>
    </row>
    <row r="227" spans="1:24">
      <c r="A227" s="591"/>
      <c r="B227" s="600" t="s">
        <v>268</v>
      </c>
      <c r="C227" s="602">
        <v>2.8298876245915991</v>
      </c>
      <c r="D227" s="601">
        <v>0</v>
      </c>
      <c r="E227" s="601">
        <v>-6.6302434308300032E-2</v>
      </c>
      <c r="F227" s="601">
        <v>0</v>
      </c>
      <c r="G227" s="601">
        <v>1.5515632387299518</v>
      </c>
      <c r="H227" s="601">
        <v>-4.8901566501630764</v>
      </c>
      <c r="I227" s="602">
        <v>1.2220135918607165</v>
      </c>
      <c r="J227" s="602">
        <v>0</v>
      </c>
      <c r="K227" s="601">
        <v>0</v>
      </c>
      <c r="L227" s="601">
        <v>0</v>
      </c>
      <c r="M227" s="601">
        <v>0</v>
      </c>
      <c r="N227" s="602">
        <v>0</v>
      </c>
      <c r="O227" s="602">
        <v>0</v>
      </c>
      <c r="P227" s="602">
        <v>0</v>
      </c>
      <c r="Q227" s="601">
        <v>0</v>
      </c>
      <c r="R227" s="602">
        <v>0</v>
      </c>
      <c r="S227" s="602">
        <v>0</v>
      </c>
      <c r="T227" s="602"/>
      <c r="U227" s="602"/>
      <c r="V227" s="602"/>
      <c r="W227" s="606"/>
      <c r="X227" s="606"/>
    </row>
    <row r="228" spans="1:24">
      <c r="A228" s="591"/>
      <c r="B228" s="589" t="s">
        <v>270</v>
      </c>
      <c r="C228" s="596">
        <v>0</v>
      </c>
      <c r="D228" s="597">
        <v>0</v>
      </c>
      <c r="E228" s="597">
        <v>0</v>
      </c>
      <c r="F228" s="597">
        <v>0</v>
      </c>
      <c r="G228" s="597">
        <v>0</v>
      </c>
      <c r="H228" s="597">
        <v>0</v>
      </c>
      <c r="I228" s="596">
        <v>0</v>
      </c>
      <c r="J228" s="596">
        <v>0</v>
      </c>
      <c r="K228" s="597">
        <v>0</v>
      </c>
      <c r="L228" s="597">
        <v>0</v>
      </c>
      <c r="M228" s="597">
        <v>0</v>
      </c>
      <c r="N228" s="596">
        <v>0</v>
      </c>
      <c r="O228" s="596">
        <v>0</v>
      </c>
      <c r="P228" s="596">
        <v>0</v>
      </c>
      <c r="Q228" s="597">
        <v>0</v>
      </c>
      <c r="R228" s="596">
        <v>0</v>
      </c>
      <c r="S228" s="596">
        <v>0</v>
      </c>
      <c r="T228" s="596"/>
      <c r="U228" s="596"/>
      <c r="V228" s="596"/>
      <c r="W228" s="151"/>
      <c r="X228" s="151"/>
    </row>
    <row r="229" spans="1:24">
      <c r="A229" s="591"/>
      <c r="B229" s="598" t="s">
        <v>272</v>
      </c>
      <c r="C229" s="599">
        <v>0</v>
      </c>
      <c r="D229" s="151">
        <v>0</v>
      </c>
      <c r="E229" s="151">
        <v>0</v>
      </c>
      <c r="F229" s="151">
        <v>0</v>
      </c>
      <c r="G229" s="151">
        <v>0</v>
      </c>
      <c r="H229" s="151">
        <v>0</v>
      </c>
      <c r="I229" s="599">
        <v>0</v>
      </c>
      <c r="J229" s="599">
        <v>0</v>
      </c>
      <c r="K229" s="151">
        <v>0</v>
      </c>
      <c r="L229" s="151">
        <v>0</v>
      </c>
      <c r="M229" s="151">
        <v>0</v>
      </c>
      <c r="N229" s="599">
        <v>0</v>
      </c>
      <c r="O229" s="599">
        <v>0</v>
      </c>
      <c r="P229" s="599">
        <v>0</v>
      </c>
      <c r="Q229" s="151">
        <v>0</v>
      </c>
      <c r="R229" s="599">
        <v>0</v>
      </c>
      <c r="S229" s="599">
        <v>0</v>
      </c>
      <c r="T229" s="599"/>
      <c r="U229" s="599"/>
      <c r="V229" s="599"/>
      <c r="W229" s="151"/>
      <c r="X229" s="151"/>
    </row>
    <row r="230" spans="1:24">
      <c r="A230" s="591"/>
      <c r="B230" s="600" t="s">
        <v>274</v>
      </c>
      <c r="C230" s="602">
        <v>0</v>
      </c>
      <c r="D230" s="601">
        <v>0</v>
      </c>
      <c r="E230" s="601">
        <v>0</v>
      </c>
      <c r="F230" s="601">
        <v>0</v>
      </c>
      <c r="G230" s="601">
        <v>0</v>
      </c>
      <c r="H230" s="601">
        <v>0</v>
      </c>
      <c r="I230" s="602">
        <v>0</v>
      </c>
      <c r="J230" s="602">
        <v>0</v>
      </c>
      <c r="K230" s="601">
        <v>0</v>
      </c>
      <c r="L230" s="601">
        <v>0</v>
      </c>
      <c r="M230" s="601">
        <v>0</v>
      </c>
      <c r="N230" s="602">
        <v>0</v>
      </c>
      <c r="O230" s="602">
        <v>0</v>
      </c>
      <c r="P230" s="602">
        <v>0</v>
      </c>
      <c r="Q230" s="601">
        <v>0</v>
      </c>
      <c r="R230" s="602">
        <v>0</v>
      </c>
      <c r="S230" s="602">
        <v>0</v>
      </c>
      <c r="T230" s="602"/>
      <c r="U230" s="602"/>
      <c r="V230" s="602"/>
      <c r="W230" s="606"/>
      <c r="X230" s="606"/>
    </row>
    <row r="231" spans="1:24">
      <c r="A231" s="591"/>
      <c r="B231" s="589" t="s">
        <v>276</v>
      </c>
      <c r="C231" s="596">
        <v>0</v>
      </c>
      <c r="D231" s="597">
        <v>0</v>
      </c>
      <c r="E231" s="597">
        <v>0</v>
      </c>
      <c r="F231" s="597">
        <v>0</v>
      </c>
      <c r="G231" s="597">
        <v>0</v>
      </c>
      <c r="H231" s="597">
        <v>0</v>
      </c>
      <c r="I231" s="596">
        <v>0</v>
      </c>
      <c r="J231" s="596">
        <v>53446</v>
      </c>
      <c r="K231" s="597">
        <v>53778.978769506728</v>
      </c>
      <c r="L231" s="597">
        <v>47479.820051999995</v>
      </c>
      <c r="M231" s="597">
        <v>42741.687390476189</v>
      </c>
      <c r="N231" s="596">
        <v>0</v>
      </c>
      <c r="O231" s="596">
        <v>48888.647740705128</v>
      </c>
      <c r="P231" s="596">
        <v>50698.925209271525</v>
      </c>
      <c r="Q231" s="597">
        <v>48010.763139877301</v>
      </c>
      <c r="R231" s="596">
        <v>46760.771066666668</v>
      </c>
      <c r="S231" s="596">
        <v>48726.991984505796</v>
      </c>
      <c r="T231" s="596"/>
      <c r="U231" s="596"/>
      <c r="V231" s="596"/>
      <c r="W231" s="151"/>
      <c r="X231" s="151"/>
    </row>
    <row r="232" spans="1:24">
      <c r="A232" s="591"/>
      <c r="B232" s="598" t="s">
        <v>278</v>
      </c>
      <c r="C232" s="599">
        <v>0</v>
      </c>
      <c r="D232" s="151">
        <v>0</v>
      </c>
      <c r="E232" s="151">
        <v>0</v>
      </c>
      <c r="F232" s="151">
        <v>0</v>
      </c>
      <c r="G232" s="151">
        <v>0</v>
      </c>
      <c r="H232" s="151">
        <v>0</v>
      </c>
      <c r="I232" s="599">
        <v>0</v>
      </c>
      <c r="J232" s="599">
        <v>52064</v>
      </c>
      <c r="K232" s="151">
        <v>52921.55907117117</v>
      </c>
      <c r="L232" s="151">
        <v>47222.345874829931</v>
      </c>
      <c r="M232" s="151">
        <v>43035.543432978724</v>
      </c>
      <c r="N232" s="599">
        <v>0</v>
      </c>
      <c r="O232" s="599">
        <v>48473.878839482204</v>
      </c>
      <c r="P232" s="599">
        <v>51006.379421359226</v>
      </c>
      <c r="Q232" s="151">
        <v>48075.167293366103</v>
      </c>
      <c r="R232" s="599">
        <v>49085.327333333342</v>
      </c>
      <c r="S232" s="599">
        <v>48882.789532329502</v>
      </c>
      <c r="T232" s="599"/>
      <c r="U232" s="599"/>
      <c r="V232" s="599"/>
      <c r="W232" s="151"/>
      <c r="X232" s="151"/>
    </row>
    <row r="233" spans="1:24">
      <c r="A233" s="591"/>
      <c r="B233" s="600" t="s">
        <v>280</v>
      </c>
      <c r="C233" s="602">
        <v>0</v>
      </c>
      <c r="D233" s="601">
        <v>0</v>
      </c>
      <c r="E233" s="601">
        <v>0</v>
      </c>
      <c r="F233" s="601">
        <v>0</v>
      </c>
      <c r="G233" s="601">
        <v>0</v>
      </c>
      <c r="H233" s="601">
        <v>0</v>
      </c>
      <c r="I233" s="602">
        <v>0</v>
      </c>
      <c r="J233" s="602">
        <v>-2.5857875238558545</v>
      </c>
      <c r="K233" s="601">
        <v>-1.594339866531129</v>
      </c>
      <c r="L233" s="601">
        <v>-0.54228128263350284</v>
      </c>
      <c r="M233" s="601">
        <v>0.6875162410364104</v>
      </c>
      <c r="N233" s="602">
        <v>0</v>
      </c>
      <c r="O233" s="602">
        <v>-0.84839511909343235</v>
      </c>
      <c r="P233" s="602">
        <v>0.60643142003230455</v>
      </c>
      <c r="Q233" s="601">
        <v>0.13414524010202303</v>
      </c>
      <c r="R233" s="602">
        <v>4.9711675270550222</v>
      </c>
      <c r="S233" s="602">
        <v>0.31973561567938835</v>
      </c>
      <c r="T233" s="602"/>
      <c r="U233" s="602"/>
      <c r="V233" s="602"/>
      <c r="W233" s="606"/>
      <c r="X233" s="606"/>
    </row>
    <row r="234" spans="1:24">
      <c r="A234" s="591"/>
      <c r="B234" s="589" t="s">
        <v>282</v>
      </c>
      <c r="C234" s="596">
        <v>77205.691486159849</v>
      </c>
      <c r="D234" s="597">
        <v>0</v>
      </c>
      <c r="E234" s="597">
        <v>58934.905489178622</v>
      </c>
      <c r="F234" s="597">
        <v>0</v>
      </c>
      <c r="G234" s="597">
        <v>53402.211972984755</v>
      </c>
      <c r="H234" s="597">
        <v>48691.569074757281</v>
      </c>
      <c r="I234" s="596">
        <v>66620.046984630986</v>
      </c>
      <c r="J234" s="596">
        <v>53446</v>
      </c>
      <c r="K234" s="597">
        <v>53778.978769506728</v>
      </c>
      <c r="L234" s="597">
        <v>47479.820051999995</v>
      </c>
      <c r="M234" s="597">
        <v>42741.687390476189</v>
      </c>
      <c r="N234" s="596">
        <v>0</v>
      </c>
      <c r="O234" s="596">
        <v>48888.647740705128</v>
      </c>
      <c r="P234" s="596">
        <v>50698.925209271525</v>
      </c>
      <c r="Q234" s="597">
        <v>48010.763139877301</v>
      </c>
      <c r="R234" s="596">
        <v>46760.771066666668</v>
      </c>
      <c r="S234" s="596">
        <v>48726.991984505796</v>
      </c>
      <c r="T234" s="596"/>
      <c r="U234" s="596"/>
      <c r="V234" s="596"/>
      <c r="W234" s="151"/>
      <c r="X234" s="151"/>
    </row>
    <row r="235" spans="1:24">
      <c r="A235" s="591"/>
      <c r="B235" s="598" t="s">
        <v>284</v>
      </c>
      <c r="C235" s="599">
        <v>77906.17307420772</v>
      </c>
      <c r="D235" s="151">
        <v>0</v>
      </c>
      <c r="E235" s="151">
        <v>58660.915931626121</v>
      </c>
      <c r="F235" s="151">
        <v>0</v>
      </c>
      <c r="G235" s="151">
        <v>53598.031679351348</v>
      </c>
      <c r="H235" s="151">
        <v>47440.789301869176</v>
      </c>
      <c r="I235" s="599">
        <v>66816.984268899527</v>
      </c>
      <c r="J235" s="599">
        <v>52064</v>
      </c>
      <c r="K235" s="151">
        <v>52921.55907117117</v>
      </c>
      <c r="L235" s="151">
        <v>47222.345874829931</v>
      </c>
      <c r="M235" s="151">
        <v>43035.543432978724</v>
      </c>
      <c r="N235" s="599">
        <v>0</v>
      </c>
      <c r="O235" s="599">
        <v>48473.878839482204</v>
      </c>
      <c r="P235" s="599">
        <v>51006.379421359226</v>
      </c>
      <c r="Q235" s="151">
        <v>48075.167293366103</v>
      </c>
      <c r="R235" s="599">
        <v>49085.327333333342</v>
      </c>
      <c r="S235" s="599">
        <v>48882.789532329502</v>
      </c>
      <c r="T235" s="599"/>
      <c r="U235" s="599"/>
      <c r="V235" s="599"/>
      <c r="W235" s="151"/>
      <c r="X235" s="151"/>
    </row>
    <row r="236" spans="1:24">
      <c r="A236" s="591"/>
      <c r="B236" s="600" t="s">
        <v>286</v>
      </c>
      <c r="C236" s="602">
        <v>0.90729268084263137</v>
      </c>
      <c r="D236" s="601">
        <v>0</v>
      </c>
      <c r="E236" s="601">
        <v>-0.46490200548944538</v>
      </c>
      <c r="F236" s="601">
        <v>0</v>
      </c>
      <c r="G236" s="601">
        <v>0.36668838074657967</v>
      </c>
      <c r="H236" s="601">
        <v>-2.5687809956745369</v>
      </c>
      <c r="I236" s="602">
        <v>0.29561264691688588</v>
      </c>
      <c r="J236" s="602">
        <v>-2.5857875238558545</v>
      </c>
      <c r="K236" s="601">
        <v>-1.594339866531129</v>
      </c>
      <c r="L236" s="601">
        <v>-0.54228128263350284</v>
      </c>
      <c r="M236" s="601">
        <v>0.6875162410364104</v>
      </c>
      <c r="N236" s="602">
        <v>0</v>
      </c>
      <c r="O236" s="602">
        <v>-0.84839511909343235</v>
      </c>
      <c r="P236" s="602">
        <v>0.60643142003230455</v>
      </c>
      <c r="Q236" s="601">
        <v>0.13414524010202303</v>
      </c>
      <c r="R236" s="602">
        <v>4.9711675270550222</v>
      </c>
      <c r="S236" s="602">
        <v>0.31973561567938835</v>
      </c>
      <c r="T236" s="602"/>
      <c r="U236" s="602"/>
      <c r="V236" s="602"/>
      <c r="W236" s="606"/>
      <c r="X236" s="606"/>
    </row>
    <row r="237" spans="1:24">
      <c r="A237" s="595" t="s">
        <v>346</v>
      </c>
      <c r="B237" s="589" t="s">
        <v>246</v>
      </c>
      <c r="C237" s="596">
        <v>108014.34876501549</v>
      </c>
      <c r="D237" s="597">
        <v>0</v>
      </c>
      <c r="E237" s="597">
        <v>79846.408163265311</v>
      </c>
      <c r="F237" s="597">
        <v>83708.272727272721</v>
      </c>
      <c r="G237" s="597">
        <v>77239.321168354436</v>
      </c>
      <c r="H237" s="597">
        <v>73288.556038961033</v>
      </c>
      <c r="I237" s="596">
        <v>95298.720725971725</v>
      </c>
      <c r="J237" s="596">
        <v>69420.654763636368</v>
      </c>
      <c r="K237" s="597">
        <v>0</v>
      </c>
      <c r="L237" s="597">
        <v>0</v>
      </c>
      <c r="M237" s="597">
        <v>66543.251250000001</v>
      </c>
      <c r="N237" s="596">
        <v>0</v>
      </c>
      <c r="O237" s="596">
        <v>67715.526755555562</v>
      </c>
      <c r="P237" s="596">
        <v>0</v>
      </c>
      <c r="Q237" s="597">
        <v>0</v>
      </c>
      <c r="R237" s="596">
        <v>0</v>
      </c>
      <c r="S237" s="596">
        <v>0</v>
      </c>
      <c r="T237" s="596"/>
      <c r="U237" s="596"/>
      <c r="V237" s="596"/>
      <c r="W237" s="151"/>
      <c r="X237" s="151"/>
    </row>
    <row r="238" spans="1:24">
      <c r="A238" s="591"/>
      <c r="B238" s="598" t="s">
        <v>248</v>
      </c>
      <c r="C238" s="599">
        <v>108871.98574144144</v>
      </c>
      <c r="D238" s="151">
        <v>0</v>
      </c>
      <c r="E238" s="151">
        <v>78957.172727272729</v>
      </c>
      <c r="F238" s="151">
        <v>84252.528301886792</v>
      </c>
      <c r="G238" s="151">
        <v>77252.415317575753</v>
      </c>
      <c r="H238" s="151">
        <v>73147.210643243248</v>
      </c>
      <c r="I238" s="599">
        <v>95819.367490311415</v>
      </c>
      <c r="J238" s="599">
        <v>73277.695399999997</v>
      </c>
      <c r="K238" s="151">
        <v>0</v>
      </c>
      <c r="L238" s="151">
        <v>0</v>
      </c>
      <c r="M238" s="151">
        <v>66644.438750000001</v>
      </c>
      <c r="N238" s="599">
        <v>0</v>
      </c>
      <c r="O238" s="599">
        <v>69346.876644444448</v>
      </c>
      <c r="P238" s="599">
        <v>0</v>
      </c>
      <c r="Q238" s="151">
        <v>0</v>
      </c>
      <c r="R238" s="599">
        <v>0</v>
      </c>
      <c r="S238" s="599">
        <v>0</v>
      </c>
      <c r="T238" s="599"/>
      <c r="U238" s="599"/>
      <c r="V238" s="599"/>
      <c r="W238" s="151"/>
      <c r="X238" s="151"/>
    </row>
    <row r="239" spans="1:24">
      <c r="A239" s="591"/>
      <c r="B239" s="600" t="s">
        <v>250</v>
      </c>
      <c r="C239" s="602">
        <v>0.79400282113605258</v>
      </c>
      <c r="D239" s="601">
        <v>0</v>
      </c>
      <c r="E239" s="601">
        <v>-1.1136824516568411</v>
      </c>
      <c r="F239" s="601">
        <v>0.650181346337528</v>
      </c>
      <c r="G239" s="601">
        <v>1.6952698474364231E-2</v>
      </c>
      <c r="H239" s="601">
        <v>-0.19286148255212393</v>
      </c>
      <c r="I239" s="602">
        <v>0.54633132572345044</v>
      </c>
      <c r="J239" s="602">
        <v>5.5560418574213832</v>
      </c>
      <c r="K239" s="601">
        <v>0</v>
      </c>
      <c r="L239" s="601">
        <v>0</v>
      </c>
      <c r="M239" s="601">
        <v>0.15206275332090871</v>
      </c>
      <c r="N239" s="602">
        <v>0</v>
      </c>
      <c r="O239" s="602">
        <v>2.409122349114778</v>
      </c>
      <c r="P239" s="602">
        <v>0</v>
      </c>
      <c r="Q239" s="601">
        <v>0</v>
      </c>
      <c r="R239" s="602">
        <v>0</v>
      </c>
      <c r="S239" s="602">
        <v>0</v>
      </c>
      <c r="T239" s="602"/>
      <c r="U239" s="602"/>
      <c r="V239" s="602"/>
      <c r="W239" s="606"/>
      <c r="X239" s="606"/>
    </row>
    <row r="240" spans="1:24">
      <c r="A240" s="591"/>
      <c r="B240" s="589" t="s">
        <v>252</v>
      </c>
      <c r="C240" s="596">
        <v>76868.617911073248</v>
      </c>
      <c r="D240" s="597">
        <v>0</v>
      </c>
      <c r="E240" s="597">
        <v>65452.919920948618</v>
      </c>
      <c r="F240" s="597">
        <v>68680.2</v>
      </c>
      <c r="G240" s="597">
        <v>64412.217615384616</v>
      </c>
      <c r="H240" s="597">
        <v>57588.720036363637</v>
      </c>
      <c r="I240" s="596">
        <v>70363.69988496622</v>
      </c>
      <c r="J240" s="596">
        <v>59472.859000000004</v>
      </c>
      <c r="K240" s="597">
        <v>0</v>
      </c>
      <c r="L240" s="597">
        <v>0</v>
      </c>
      <c r="M240" s="597">
        <v>55278.905991304338</v>
      </c>
      <c r="N240" s="596">
        <v>0</v>
      </c>
      <c r="O240" s="596">
        <v>56934.413757894741</v>
      </c>
      <c r="P240" s="596">
        <v>0</v>
      </c>
      <c r="Q240" s="597">
        <v>0</v>
      </c>
      <c r="R240" s="596">
        <v>0</v>
      </c>
      <c r="S240" s="596">
        <v>0</v>
      </c>
      <c r="T240" s="596"/>
      <c r="U240" s="596"/>
      <c r="V240" s="596"/>
      <c r="W240" s="151"/>
      <c r="X240" s="151"/>
    </row>
    <row r="241" spans="1:24">
      <c r="A241" s="591"/>
      <c r="B241" s="598" t="s">
        <v>254</v>
      </c>
      <c r="C241" s="599">
        <v>77874.406851839463</v>
      </c>
      <c r="D241" s="151">
        <v>0</v>
      </c>
      <c r="E241" s="151">
        <v>64499.710843373497</v>
      </c>
      <c r="F241" s="151">
        <v>67878.850980392148</v>
      </c>
      <c r="G241" s="151">
        <v>64847.727862983425</v>
      </c>
      <c r="H241" s="151">
        <v>58564.97431171171</v>
      </c>
      <c r="I241" s="599">
        <v>70864.954276638658</v>
      </c>
      <c r="J241" s="599">
        <v>61384.695337500001</v>
      </c>
      <c r="K241" s="151">
        <v>0</v>
      </c>
      <c r="L241" s="151">
        <v>0</v>
      </c>
      <c r="M241" s="151">
        <v>55216.265354545445</v>
      </c>
      <c r="N241" s="599">
        <v>0</v>
      </c>
      <c r="O241" s="599">
        <v>57813.499031578947</v>
      </c>
      <c r="P241" s="599">
        <v>0</v>
      </c>
      <c r="Q241" s="151">
        <v>0</v>
      </c>
      <c r="R241" s="599">
        <v>0</v>
      </c>
      <c r="S241" s="599">
        <v>0</v>
      </c>
      <c r="T241" s="599"/>
      <c r="U241" s="599"/>
      <c r="V241" s="599"/>
      <c r="W241" s="151"/>
      <c r="X241" s="151"/>
    </row>
    <row r="242" spans="1:24">
      <c r="A242" s="591"/>
      <c r="B242" s="600" t="s">
        <v>256</v>
      </c>
      <c r="C242" s="602">
        <v>1.3084519640118661</v>
      </c>
      <c r="D242" s="601">
        <v>0</v>
      </c>
      <c r="E242" s="601">
        <v>-1.4563278135282087</v>
      </c>
      <c r="F242" s="601">
        <v>-1.1667831771134172</v>
      </c>
      <c r="G242" s="601">
        <v>0.67612987678721015</v>
      </c>
      <c r="H242" s="601">
        <v>1.6952178737982559</v>
      </c>
      <c r="I242" s="602">
        <v>0.71237639932509578</v>
      </c>
      <c r="J242" s="602">
        <v>3.214636675697728</v>
      </c>
      <c r="K242" s="601">
        <v>0</v>
      </c>
      <c r="L242" s="601">
        <v>0</v>
      </c>
      <c r="M242" s="601">
        <v>-0.11331743209380279</v>
      </c>
      <c r="N242" s="602">
        <v>0</v>
      </c>
      <c r="O242" s="602">
        <v>1.5440314840552984</v>
      </c>
      <c r="P242" s="602">
        <v>0</v>
      </c>
      <c r="Q242" s="601">
        <v>0</v>
      </c>
      <c r="R242" s="602">
        <v>0</v>
      </c>
      <c r="S242" s="602">
        <v>0</v>
      </c>
      <c r="T242" s="602"/>
      <c r="U242" s="602"/>
      <c r="V242" s="602"/>
      <c r="W242" s="606"/>
      <c r="X242" s="606"/>
    </row>
    <row r="243" spans="1:24">
      <c r="A243" s="591"/>
      <c r="B243" s="589" t="s">
        <v>258</v>
      </c>
      <c r="C243" s="596">
        <v>69181.005486495182</v>
      </c>
      <c r="D243" s="597">
        <v>0</v>
      </c>
      <c r="E243" s="597">
        <v>57258.031790082641</v>
      </c>
      <c r="F243" s="597">
        <v>55707.24615384615</v>
      </c>
      <c r="G243" s="597">
        <v>56163.616619081273</v>
      </c>
      <c r="H243" s="597">
        <v>50954.014795890413</v>
      </c>
      <c r="I243" s="596">
        <v>61739.020448600881</v>
      </c>
      <c r="J243" s="596">
        <v>52354.470588235294</v>
      </c>
      <c r="K243" s="597">
        <v>0</v>
      </c>
      <c r="L243" s="597">
        <v>0</v>
      </c>
      <c r="M243" s="597">
        <v>46343.558823529413</v>
      </c>
      <c r="N243" s="596">
        <v>0</v>
      </c>
      <c r="O243" s="596">
        <v>48347.196078431371</v>
      </c>
      <c r="P243" s="596">
        <v>0</v>
      </c>
      <c r="Q243" s="597">
        <v>0</v>
      </c>
      <c r="R243" s="596">
        <v>0</v>
      </c>
      <c r="S243" s="596">
        <v>0</v>
      </c>
      <c r="T243" s="596"/>
      <c r="U243" s="596"/>
      <c r="V243" s="596"/>
      <c r="W243" s="151"/>
      <c r="X243" s="151"/>
    </row>
    <row r="244" spans="1:24">
      <c r="A244" s="591"/>
      <c r="B244" s="598" t="s">
        <v>260</v>
      </c>
      <c r="C244" s="599">
        <v>69698.866133444259</v>
      </c>
      <c r="D244" s="151">
        <v>0</v>
      </c>
      <c r="E244" s="151">
        <v>57627.502686821703</v>
      </c>
      <c r="F244" s="151">
        <v>56117.015625</v>
      </c>
      <c r="G244" s="151">
        <v>55813.019887632508</v>
      </c>
      <c r="H244" s="151">
        <v>50853.564559006212</v>
      </c>
      <c r="I244" s="599">
        <v>61690.498728310173</v>
      </c>
      <c r="J244" s="599">
        <v>50466.866666666669</v>
      </c>
      <c r="K244" s="151">
        <v>0</v>
      </c>
      <c r="L244" s="151">
        <v>0</v>
      </c>
      <c r="M244" s="151">
        <v>46725.638974358975</v>
      </c>
      <c r="N244" s="599">
        <v>0</v>
      </c>
      <c r="O244" s="599">
        <v>47764.868888888886</v>
      </c>
      <c r="P244" s="599">
        <v>0</v>
      </c>
      <c r="Q244" s="151">
        <v>0</v>
      </c>
      <c r="R244" s="599">
        <v>0</v>
      </c>
      <c r="S244" s="599">
        <v>0</v>
      </c>
      <c r="T244" s="599"/>
      <c r="U244" s="599"/>
      <c r="V244" s="599"/>
      <c r="W244" s="151"/>
      <c r="X244" s="151"/>
    </row>
    <row r="245" spans="1:24">
      <c r="A245" s="591"/>
      <c r="B245" s="600" t="s">
        <v>262</v>
      </c>
      <c r="C245" s="602">
        <v>0.74855900591119395</v>
      </c>
      <c r="D245" s="601">
        <v>0</v>
      </c>
      <c r="E245" s="601">
        <v>0.64527348423991004</v>
      </c>
      <c r="F245" s="601">
        <v>0.73557660707584338</v>
      </c>
      <c r="G245" s="601">
        <v>-0.62424172899444486</v>
      </c>
      <c r="H245" s="601">
        <v>-0.19713900324945938</v>
      </c>
      <c r="I245" s="602">
        <v>-7.8591658789117502E-2</v>
      </c>
      <c r="J245" s="602">
        <v>-3.6054302533483997</v>
      </c>
      <c r="K245" s="601">
        <v>0</v>
      </c>
      <c r="L245" s="601">
        <v>0</v>
      </c>
      <c r="M245" s="601">
        <v>0.82445146753721898</v>
      </c>
      <c r="N245" s="602">
        <v>0</v>
      </c>
      <c r="O245" s="602">
        <v>-1.2044694145195147</v>
      </c>
      <c r="P245" s="602">
        <v>0</v>
      </c>
      <c r="Q245" s="601">
        <v>0</v>
      </c>
      <c r="R245" s="602">
        <v>0</v>
      </c>
      <c r="S245" s="602">
        <v>0</v>
      </c>
      <c r="T245" s="602"/>
      <c r="U245" s="602"/>
      <c r="V245" s="602"/>
      <c r="W245" s="606"/>
      <c r="X245" s="606"/>
    </row>
    <row r="246" spans="1:24">
      <c r="A246" s="591"/>
      <c r="B246" s="589" t="s">
        <v>264</v>
      </c>
      <c r="C246" s="596">
        <v>44025.485224460434</v>
      </c>
      <c r="D246" s="597">
        <v>0</v>
      </c>
      <c r="E246" s="597">
        <v>45524.989008695651</v>
      </c>
      <c r="F246" s="597">
        <v>0</v>
      </c>
      <c r="G246" s="597">
        <v>45698.840901587304</v>
      </c>
      <c r="H246" s="597">
        <v>44511.057698507459</v>
      </c>
      <c r="I246" s="596">
        <v>44746.145194859811</v>
      </c>
      <c r="J246" s="596">
        <v>44860.990771428573</v>
      </c>
      <c r="K246" s="597">
        <v>0</v>
      </c>
      <c r="L246" s="597">
        <v>0</v>
      </c>
      <c r="M246" s="597">
        <v>40736.154893617022</v>
      </c>
      <c r="N246" s="596">
        <v>0</v>
      </c>
      <c r="O246" s="596">
        <v>41682.83853770492</v>
      </c>
      <c r="P246" s="596">
        <v>0</v>
      </c>
      <c r="Q246" s="597">
        <v>0</v>
      </c>
      <c r="R246" s="596">
        <v>0</v>
      </c>
      <c r="S246" s="596">
        <v>0</v>
      </c>
      <c r="T246" s="596"/>
      <c r="U246" s="596"/>
      <c r="V246" s="596"/>
      <c r="W246" s="151"/>
      <c r="X246" s="151"/>
    </row>
    <row r="247" spans="1:24">
      <c r="A247" s="591"/>
      <c r="B247" s="598" t="s">
        <v>266</v>
      </c>
      <c r="C247" s="599">
        <v>44076.495982068969</v>
      </c>
      <c r="D247" s="151">
        <v>0</v>
      </c>
      <c r="E247" s="151">
        <v>46462.125358241756</v>
      </c>
      <c r="F247" s="151">
        <v>49000</v>
      </c>
      <c r="G247" s="151">
        <v>45426.593761290322</v>
      </c>
      <c r="H247" s="151">
        <v>43835.222578461537</v>
      </c>
      <c r="I247" s="599">
        <v>44725.983891627904</v>
      </c>
      <c r="J247" s="599">
        <v>45998.294117647056</v>
      </c>
      <c r="K247" s="151">
        <v>0</v>
      </c>
      <c r="L247" s="151">
        <v>0</v>
      </c>
      <c r="M247" s="151">
        <v>42026.624583333331</v>
      </c>
      <c r="N247" s="599">
        <v>0</v>
      </c>
      <c r="O247" s="599">
        <v>43065.368923076923</v>
      </c>
      <c r="P247" s="599">
        <v>0</v>
      </c>
      <c r="Q247" s="151">
        <v>0</v>
      </c>
      <c r="R247" s="599">
        <v>0</v>
      </c>
      <c r="S247" s="599">
        <v>0</v>
      </c>
      <c r="T247" s="599"/>
      <c r="U247" s="599"/>
      <c r="V247" s="599"/>
      <c r="W247" s="151"/>
      <c r="X247" s="151"/>
    </row>
    <row r="248" spans="1:24">
      <c r="A248" s="591"/>
      <c r="B248" s="600" t="s">
        <v>268</v>
      </c>
      <c r="C248" s="602">
        <v>0.11586642906594068</v>
      </c>
      <c r="D248" s="601">
        <v>0</v>
      </c>
      <c r="E248" s="601">
        <v>2.0585097766132439</v>
      </c>
      <c r="F248" s="601">
        <v>0</v>
      </c>
      <c r="G248" s="601">
        <v>-0.5957418939427106</v>
      </c>
      <c r="H248" s="601">
        <v>-1.5183533148631154</v>
      </c>
      <c r="I248" s="602">
        <v>-4.505707283635102E-2</v>
      </c>
      <c r="J248" s="602">
        <v>2.5351721543850028</v>
      </c>
      <c r="K248" s="601">
        <v>0</v>
      </c>
      <c r="L248" s="601">
        <v>0</v>
      </c>
      <c r="M248" s="601">
        <v>3.1678730923092431</v>
      </c>
      <c r="N248" s="602">
        <v>0</v>
      </c>
      <c r="O248" s="602">
        <v>3.3167855977980292</v>
      </c>
      <c r="P248" s="602">
        <v>0</v>
      </c>
      <c r="Q248" s="601">
        <v>0</v>
      </c>
      <c r="R248" s="602">
        <v>0</v>
      </c>
      <c r="S248" s="602">
        <v>0</v>
      </c>
      <c r="T248" s="602"/>
      <c r="U248" s="602"/>
      <c r="V248" s="602"/>
      <c r="W248" s="606"/>
      <c r="X248" s="606"/>
    </row>
    <row r="249" spans="1:24">
      <c r="A249" s="591"/>
      <c r="B249" s="589" t="s">
        <v>270</v>
      </c>
      <c r="C249" s="596">
        <v>46500.545283809523</v>
      </c>
      <c r="D249" s="597">
        <v>0</v>
      </c>
      <c r="E249" s="597">
        <v>0</v>
      </c>
      <c r="F249" s="597">
        <v>0</v>
      </c>
      <c r="G249" s="597">
        <v>40217.592410526318</v>
      </c>
      <c r="H249" s="597">
        <v>40900.25</v>
      </c>
      <c r="I249" s="596">
        <v>45096.377405904059</v>
      </c>
      <c r="J249" s="596">
        <v>0</v>
      </c>
      <c r="K249" s="597">
        <v>46918.906508875742</v>
      </c>
      <c r="L249" s="597">
        <v>46189.096008629989</v>
      </c>
      <c r="M249" s="597">
        <v>41872.794379999999</v>
      </c>
      <c r="N249" s="596">
        <v>0</v>
      </c>
      <c r="O249" s="596">
        <v>46218.312970241852</v>
      </c>
      <c r="P249" s="596">
        <v>0</v>
      </c>
      <c r="Q249" s="597">
        <v>0</v>
      </c>
      <c r="R249" s="596">
        <v>0</v>
      </c>
      <c r="S249" s="596">
        <v>0</v>
      </c>
      <c r="T249" s="596"/>
      <c r="U249" s="596"/>
      <c r="V249" s="596"/>
      <c r="W249" s="151"/>
      <c r="X249" s="151"/>
    </row>
    <row r="250" spans="1:24">
      <c r="A250" s="591"/>
      <c r="B250" s="598" t="s">
        <v>272</v>
      </c>
      <c r="C250" s="599">
        <v>46491.675765876775</v>
      </c>
      <c r="D250" s="151">
        <v>0</v>
      </c>
      <c r="E250" s="151">
        <v>0</v>
      </c>
      <c r="F250" s="151">
        <v>0</v>
      </c>
      <c r="G250" s="151">
        <v>40290.588926027398</v>
      </c>
      <c r="H250" s="151">
        <v>34040.082399999999</v>
      </c>
      <c r="I250" s="599">
        <v>44673.093353793105</v>
      </c>
      <c r="J250" s="599">
        <v>0</v>
      </c>
      <c r="K250" s="151">
        <v>47067.297921478057</v>
      </c>
      <c r="L250" s="151">
        <v>45738.080967402733</v>
      </c>
      <c r="M250" s="151">
        <v>41454.891472868214</v>
      </c>
      <c r="N250" s="599">
        <v>0</v>
      </c>
      <c r="O250" s="599">
        <v>46045.671120246661</v>
      </c>
      <c r="P250" s="599">
        <v>0</v>
      </c>
      <c r="Q250" s="151">
        <v>0</v>
      </c>
      <c r="R250" s="599">
        <v>0</v>
      </c>
      <c r="S250" s="599">
        <v>0</v>
      </c>
      <c r="T250" s="599"/>
      <c r="U250" s="599"/>
      <c r="V250" s="599"/>
      <c r="W250" s="151"/>
      <c r="X250" s="151"/>
    </row>
    <row r="251" spans="1:24">
      <c r="A251" s="591"/>
      <c r="B251" s="600" t="s">
        <v>274</v>
      </c>
      <c r="C251" s="602">
        <v>-1.9074008441436519E-2</v>
      </c>
      <c r="D251" s="601">
        <v>0</v>
      </c>
      <c r="E251" s="601">
        <v>0</v>
      </c>
      <c r="F251" s="601">
        <v>0</v>
      </c>
      <c r="G251" s="601">
        <v>0.18150394174757681</v>
      </c>
      <c r="H251" s="601">
        <v>-16.772923392888796</v>
      </c>
      <c r="I251" s="602">
        <v>-0.9386209635001348</v>
      </c>
      <c r="J251" s="602">
        <v>0</v>
      </c>
      <c r="K251" s="601">
        <v>0.31627210360122959</v>
      </c>
      <c r="L251" s="601">
        <v>-0.97645349270959569</v>
      </c>
      <c r="M251" s="601">
        <v>-0.99802965939954413</v>
      </c>
      <c r="N251" s="602">
        <v>0</v>
      </c>
      <c r="O251" s="602">
        <v>-0.37353559422722293</v>
      </c>
      <c r="P251" s="602">
        <v>0</v>
      </c>
      <c r="Q251" s="601">
        <v>0</v>
      </c>
      <c r="R251" s="602">
        <v>0</v>
      </c>
      <c r="S251" s="602">
        <v>0</v>
      </c>
      <c r="T251" s="602"/>
      <c r="U251" s="602"/>
      <c r="V251" s="602"/>
      <c r="W251" s="606"/>
      <c r="X251" s="606"/>
    </row>
    <row r="252" spans="1:24">
      <c r="A252" s="591"/>
      <c r="B252" s="589" t="s">
        <v>276</v>
      </c>
      <c r="C252" s="596">
        <v>0</v>
      </c>
      <c r="D252" s="597">
        <v>0</v>
      </c>
      <c r="E252" s="597">
        <v>0</v>
      </c>
      <c r="F252" s="597">
        <v>0</v>
      </c>
      <c r="G252" s="597">
        <v>0</v>
      </c>
      <c r="H252" s="597">
        <v>0</v>
      </c>
      <c r="I252" s="596">
        <v>0</v>
      </c>
      <c r="J252" s="596">
        <v>0</v>
      </c>
      <c r="K252" s="597">
        <v>0</v>
      </c>
      <c r="L252" s="597">
        <v>0</v>
      </c>
      <c r="M252" s="597">
        <v>0</v>
      </c>
      <c r="N252" s="596">
        <v>0</v>
      </c>
      <c r="O252" s="596">
        <v>0</v>
      </c>
      <c r="P252" s="596">
        <v>0</v>
      </c>
      <c r="Q252" s="597">
        <v>0</v>
      </c>
      <c r="R252" s="596">
        <v>0</v>
      </c>
      <c r="S252" s="596">
        <v>0</v>
      </c>
      <c r="T252" s="596"/>
      <c r="U252" s="596"/>
      <c r="V252" s="596"/>
      <c r="W252" s="151"/>
      <c r="X252" s="151"/>
    </row>
    <row r="253" spans="1:24">
      <c r="A253" s="591"/>
      <c r="B253" s="598" t="s">
        <v>278</v>
      </c>
      <c r="C253" s="599">
        <v>0</v>
      </c>
      <c r="D253" s="151">
        <v>0</v>
      </c>
      <c r="E253" s="151">
        <v>0</v>
      </c>
      <c r="F253" s="151">
        <v>0</v>
      </c>
      <c r="G253" s="151">
        <v>0</v>
      </c>
      <c r="H253" s="151">
        <v>0</v>
      </c>
      <c r="I253" s="599">
        <v>0</v>
      </c>
      <c r="J253" s="599">
        <v>0</v>
      </c>
      <c r="K253" s="151">
        <v>0</v>
      </c>
      <c r="L253" s="151">
        <v>0</v>
      </c>
      <c r="M253" s="151">
        <v>0</v>
      </c>
      <c r="N253" s="599">
        <v>0</v>
      </c>
      <c r="O253" s="599">
        <v>0</v>
      </c>
      <c r="P253" s="599">
        <v>0</v>
      </c>
      <c r="Q253" s="151">
        <v>0</v>
      </c>
      <c r="R253" s="599">
        <v>0</v>
      </c>
      <c r="S253" s="599">
        <v>0</v>
      </c>
      <c r="T253" s="599"/>
      <c r="U253" s="599"/>
      <c r="V253" s="599"/>
      <c r="W253" s="151"/>
      <c r="X253" s="151"/>
    </row>
    <row r="254" spans="1:24">
      <c r="A254" s="591"/>
      <c r="B254" s="600" t="s">
        <v>280</v>
      </c>
      <c r="C254" s="602">
        <v>0</v>
      </c>
      <c r="D254" s="601">
        <v>0</v>
      </c>
      <c r="E254" s="601">
        <v>0</v>
      </c>
      <c r="F254" s="601">
        <v>0</v>
      </c>
      <c r="G254" s="601">
        <v>0</v>
      </c>
      <c r="H254" s="601">
        <v>0</v>
      </c>
      <c r="I254" s="602">
        <v>0</v>
      </c>
      <c r="J254" s="602">
        <v>0</v>
      </c>
      <c r="K254" s="601">
        <v>0</v>
      </c>
      <c r="L254" s="601">
        <v>0</v>
      </c>
      <c r="M254" s="601">
        <v>0</v>
      </c>
      <c r="N254" s="602">
        <v>0</v>
      </c>
      <c r="O254" s="602">
        <v>0</v>
      </c>
      <c r="P254" s="602">
        <v>0</v>
      </c>
      <c r="Q254" s="601">
        <v>0</v>
      </c>
      <c r="R254" s="602">
        <v>0</v>
      </c>
      <c r="S254" s="602">
        <v>0</v>
      </c>
      <c r="T254" s="602"/>
      <c r="U254" s="602"/>
      <c r="V254" s="602"/>
      <c r="W254" s="606"/>
      <c r="X254" s="606"/>
    </row>
    <row r="255" spans="1:24">
      <c r="A255" s="591"/>
      <c r="B255" s="589" t="s">
        <v>282</v>
      </c>
      <c r="C255" s="596">
        <v>78863.153531941934</v>
      </c>
      <c r="D255" s="597">
        <v>0</v>
      </c>
      <c r="E255" s="597">
        <v>64181.644217113666</v>
      </c>
      <c r="F255" s="597">
        <v>68583.118604651172</v>
      </c>
      <c r="G255" s="597">
        <v>60555.275367429334</v>
      </c>
      <c r="H255" s="597">
        <v>54236.405330785557</v>
      </c>
      <c r="I255" s="596">
        <v>70066.963346718505</v>
      </c>
      <c r="J255" s="596">
        <v>55680.701021052635</v>
      </c>
      <c r="K255" s="597">
        <v>46918.906508875742</v>
      </c>
      <c r="L255" s="597">
        <v>46189.096008629989</v>
      </c>
      <c r="M255" s="597">
        <v>45079.401628799998</v>
      </c>
      <c r="N255" s="596">
        <v>0</v>
      </c>
      <c r="O255" s="596">
        <v>46612.51484627225</v>
      </c>
      <c r="P255" s="596">
        <v>0</v>
      </c>
      <c r="Q255" s="597">
        <v>0</v>
      </c>
      <c r="R255" s="596">
        <v>0</v>
      </c>
      <c r="S255" s="596">
        <v>0</v>
      </c>
      <c r="T255" s="596"/>
      <c r="U255" s="596"/>
      <c r="V255" s="596"/>
      <c r="W255" s="151"/>
      <c r="X255" s="151"/>
    </row>
    <row r="256" spans="1:24">
      <c r="A256" s="591"/>
      <c r="B256" s="598" t="s">
        <v>284</v>
      </c>
      <c r="C256" s="599">
        <v>79769.244417559661</v>
      </c>
      <c r="D256" s="151">
        <v>0</v>
      </c>
      <c r="E256" s="151">
        <v>63806.403644221107</v>
      </c>
      <c r="F256" s="151">
        <v>68333.49647058823</v>
      </c>
      <c r="G256" s="151">
        <v>60257.635737696328</v>
      </c>
      <c r="H256" s="151">
        <v>53949.894314937759</v>
      </c>
      <c r="I256" s="599">
        <v>70294.330321588102</v>
      </c>
      <c r="J256" s="599">
        <v>56392.94533559322</v>
      </c>
      <c r="K256" s="151">
        <v>47067.297921478057</v>
      </c>
      <c r="L256" s="151">
        <v>45738.080967402733</v>
      </c>
      <c r="M256" s="151">
        <v>45150.896684251966</v>
      </c>
      <c r="N256" s="599">
        <v>0</v>
      </c>
      <c r="O256" s="599">
        <v>46503.61809042254</v>
      </c>
      <c r="P256" s="599">
        <v>0</v>
      </c>
      <c r="Q256" s="151">
        <v>0</v>
      </c>
      <c r="R256" s="599">
        <v>0</v>
      </c>
      <c r="S256" s="599">
        <v>0</v>
      </c>
      <c r="T256" s="599"/>
      <c r="U256" s="599"/>
      <c r="V256" s="599"/>
      <c r="W256" s="151"/>
      <c r="X256" s="151"/>
    </row>
    <row r="257" spans="1:24">
      <c r="A257" s="591"/>
      <c r="B257" s="600" t="s">
        <v>286</v>
      </c>
      <c r="C257" s="602">
        <v>1.1489407220454768</v>
      </c>
      <c r="D257" s="601">
        <v>0</v>
      </c>
      <c r="E257" s="601">
        <v>-0.58465403538618443</v>
      </c>
      <c r="F257" s="601">
        <v>-0.3639702293240612</v>
      </c>
      <c r="G257" s="601">
        <v>-0.49151725911083383</v>
      </c>
      <c r="H257" s="601">
        <v>-0.52826328385957666</v>
      </c>
      <c r="I257" s="602">
        <v>0.32449954159494182</v>
      </c>
      <c r="J257" s="602">
        <v>1.279158310652893</v>
      </c>
      <c r="K257" s="601">
        <v>0.31627210360122959</v>
      </c>
      <c r="L257" s="601">
        <v>-0.97645349270959569</v>
      </c>
      <c r="M257" s="601">
        <v>0.15859805780183894</v>
      </c>
      <c r="N257" s="602">
        <v>0</v>
      </c>
      <c r="O257" s="602">
        <v>-0.23362128434573948</v>
      </c>
      <c r="P257" s="602">
        <v>0</v>
      </c>
      <c r="Q257" s="601">
        <v>0</v>
      </c>
      <c r="R257" s="602">
        <v>0</v>
      </c>
      <c r="S257" s="602">
        <v>0</v>
      </c>
      <c r="T257" s="602"/>
      <c r="U257" s="602"/>
      <c r="V257" s="602"/>
      <c r="W257" s="606"/>
      <c r="X257" s="606"/>
    </row>
    <row r="258" spans="1:24">
      <c r="A258" s="595" t="s">
        <v>310</v>
      </c>
      <c r="B258" s="589" t="s">
        <v>246</v>
      </c>
      <c r="C258" s="596">
        <v>105155.25094719387</v>
      </c>
      <c r="D258" s="597">
        <v>0</v>
      </c>
      <c r="E258" s="597">
        <v>77660.459855128211</v>
      </c>
      <c r="F258" s="597">
        <v>0</v>
      </c>
      <c r="G258" s="597">
        <v>74851.222146666667</v>
      </c>
      <c r="H258" s="597">
        <v>0</v>
      </c>
      <c r="I258" s="596">
        <v>89551.949207799451</v>
      </c>
      <c r="J258" s="596">
        <v>0</v>
      </c>
      <c r="K258" s="597">
        <v>58941.550874157307</v>
      </c>
      <c r="L258" s="597">
        <v>61234.850619999997</v>
      </c>
      <c r="M258" s="597">
        <v>57060.776879999998</v>
      </c>
      <c r="N258" s="596">
        <v>0</v>
      </c>
      <c r="O258" s="596">
        <v>60058.56155406699</v>
      </c>
      <c r="P258" s="596">
        <v>0</v>
      </c>
      <c r="Q258" s="597">
        <v>0</v>
      </c>
      <c r="R258" s="596">
        <v>0</v>
      </c>
      <c r="S258" s="596">
        <v>0</v>
      </c>
      <c r="T258" s="596"/>
      <c r="U258" s="596"/>
      <c r="V258" s="596"/>
      <c r="W258" s="151"/>
      <c r="X258" s="151"/>
    </row>
    <row r="259" spans="1:24">
      <c r="A259" s="591"/>
      <c r="B259" s="598" t="s">
        <v>248</v>
      </c>
      <c r="C259" s="599">
        <v>106515.87517121212</v>
      </c>
      <c r="D259" s="151">
        <v>0</v>
      </c>
      <c r="E259" s="151">
        <v>76729.83982815432</v>
      </c>
      <c r="F259" s="151">
        <v>0</v>
      </c>
      <c r="G259" s="151">
        <v>73505.332748717949</v>
      </c>
      <c r="H259" s="151">
        <v>0</v>
      </c>
      <c r="I259" s="599">
        <v>89490.38025434663</v>
      </c>
      <c r="J259" s="599">
        <v>0</v>
      </c>
      <c r="K259" s="151">
        <v>58615.826682758627</v>
      </c>
      <c r="L259" s="151">
        <v>59669.876951145037</v>
      </c>
      <c r="M259" s="151">
        <v>55621.321844444443</v>
      </c>
      <c r="N259" s="599">
        <v>0</v>
      </c>
      <c r="O259" s="599">
        <v>59105.386337444936</v>
      </c>
      <c r="P259" s="599">
        <v>0</v>
      </c>
      <c r="Q259" s="151">
        <v>0</v>
      </c>
      <c r="R259" s="599">
        <v>0</v>
      </c>
      <c r="S259" s="599">
        <v>0</v>
      </c>
      <c r="T259" s="599"/>
      <c r="U259" s="599"/>
      <c r="V259" s="599"/>
      <c r="W259" s="151"/>
      <c r="X259" s="151"/>
    </row>
    <row r="260" spans="1:24">
      <c r="A260" s="591"/>
      <c r="B260" s="600" t="s">
        <v>250</v>
      </c>
      <c r="C260" s="602">
        <v>1.2939194303302231</v>
      </c>
      <c r="D260" s="601">
        <v>0</v>
      </c>
      <c r="E260" s="601">
        <v>-1.1983189755892731</v>
      </c>
      <c r="F260" s="601">
        <v>0</v>
      </c>
      <c r="G260" s="601">
        <v>-1.7980860690711575</v>
      </c>
      <c r="H260" s="601">
        <v>0</v>
      </c>
      <c r="I260" s="602">
        <v>-6.8752220356426044E-2</v>
      </c>
      <c r="J260" s="602">
        <v>0</v>
      </c>
      <c r="K260" s="601">
        <v>-0.55262236328683445</v>
      </c>
      <c r="L260" s="601">
        <v>-2.5556911677087064</v>
      </c>
      <c r="M260" s="601">
        <v>-2.5226698868519764</v>
      </c>
      <c r="N260" s="602">
        <v>0</v>
      </c>
      <c r="O260" s="602">
        <v>-1.5870763334282816</v>
      </c>
      <c r="P260" s="602">
        <v>0</v>
      </c>
      <c r="Q260" s="601">
        <v>0</v>
      </c>
      <c r="R260" s="602">
        <v>0</v>
      </c>
      <c r="S260" s="602">
        <v>0</v>
      </c>
      <c r="T260" s="602"/>
      <c r="U260" s="602"/>
      <c r="V260" s="602"/>
      <c r="W260" s="606"/>
      <c r="X260" s="606"/>
    </row>
    <row r="261" spans="1:24">
      <c r="A261" s="591"/>
      <c r="B261" s="589" t="s">
        <v>252</v>
      </c>
      <c r="C261" s="596">
        <v>76116.110820307687</v>
      </c>
      <c r="D261" s="597">
        <v>0</v>
      </c>
      <c r="E261" s="597">
        <v>60758.406450953677</v>
      </c>
      <c r="F261" s="597">
        <v>0</v>
      </c>
      <c r="G261" s="597">
        <v>58418.474426666668</v>
      </c>
      <c r="H261" s="597">
        <v>0</v>
      </c>
      <c r="I261" s="596">
        <v>67670.380488033596</v>
      </c>
      <c r="J261" s="596">
        <v>0</v>
      </c>
      <c r="K261" s="597">
        <v>50561.760464900661</v>
      </c>
      <c r="L261" s="597">
        <v>50043.832157870376</v>
      </c>
      <c r="M261" s="597">
        <v>48306.841561904766</v>
      </c>
      <c r="N261" s="596">
        <v>0</v>
      </c>
      <c r="O261" s="596">
        <v>50202.689834966892</v>
      </c>
      <c r="P261" s="596">
        <v>0</v>
      </c>
      <c r="Q261" s="597">
        <v>0</v>
      </c>
      <c r="R261" s="596">
        <v>0</v>
      </c>
      <c r="S261" s="596">
        <v>0</v>
      </c>
      <c r="T261" s="596"/>
      <c r="U261" s="596"/>
      <c r="V261" s="596"/>
      <c r="W261" s="151"/>
      <c r="X261" s="151"/>
    </row>
    <row r="262" spans="1:24">
      <c r="A262" s="591"/>
      <c r="B262" s="598" t="s">
        <v>254</v>
      </c>
      <c r="C262" s="599">
        <v>76424.423953566002</v>
      </c>
      <c r="D262" s="151">
        <v>0</v>
      </c>
      <c r="E262" s="151">
        <v>60411.941900777201</v>
      </c>
      <c r="F262" s="151">
        <v>0</v>
      </c>
      <c r="G262" s="151">
        <v>58922.013140350871</v>
      </c>
      <c r="H262" s="151">
        <v>0</v>
      </c>
      <c r="I262" s="599">
        <v>67446.417528091406</v>
      </c>
      <c r="J262" s="599">
        <v>0</v>
      </c>
      <c r="K262" s="151">
        <v>50421.226373737372</v>
      </c>
      <c r="L262" s="151">
        <v>49798.238030603447</v>
      </c>
      <c r="M262" s="151">
        <v>47617.700838095239</v>
      </c>
      <c r="N262" s="599">
        <v>0</v>
      </c>
      <c r="O262" s="599">
        <v>49976.28950997442</v>
      </c>
      <c r="P262" s="599">
        <v>0</v>
      </c>
      <c r="Q262" s="151">
        <v>0</v>
      </c>
      <c r="R262" s="599">
        <v>0</v>
      </c>
      <c r="S262" s="599">
        <v>0</v>
      </c>
      <c r="T262" s="599"/>
      <c r="U262" s="599"/>
      <c r="V262" s="599"/>
      <c r="W262" s="151"/>
      <c r="X262" s="151"/>
    </row>
    <row r="263" spans="1:24">
      <c r="A263" s="591"/>
      <c r="B263" s="600" t="s">
        <v>256</v>
      </c>
      <c r="C263" s="602">
        <v>0.40505634081353609</v>
      </c>
      <c r="D263" s="601">
        <v>0</v>
      </c>
      <c r="E263" s="601">
        <v>-0.57023310915198822</v>
      </c>
      <c r="F263" s="601">
        <v>0</v>
      </c>
      <c r="G263" s="601">
        <v>0.86195115265514377</v>
      </c>
      <c r="H263" s="601">
        <v>0</v>
      </c>
      <c r="I263" s="602">
        <v>-0.33096157924188679</v>
      </c>
      <c r="J263" s="602">
        <v>0</v>
      </c>
      <c r="K263" s="601">
        <v>-0.27794540749989394</v>
      </c>
      <c r="L263" s="601">
        <v>-0.49075803486065611</v>
      </c>
      <c r="M263" s="601">
        <v>-1.4265903162524085</v>
      </c>
      <c r="N263" s="602">
        <v>0</v>
      </c>
      <c r="O263" s="602">
        <v>-0.45097249915637116</v>
      </c>
      <c r="P263" s="602">
        <v>0</v>
      </c>
      <c r="Q263" s="601">
        <v>0</v>
      </c>
      <c r="R263" s="602">
        <v>0</v>
      </c>
      <c r="S263" s="602">
        <v>0</v>
      </c>
      <c r="T263" s="602"/>
      <c r="U263" s="602"/>
      <c r="V263" s="602"/>
      <c r="W263" s="606"/>
      <c r="X263" s="606"/>
    </row>
    <row r="264" spans="1:24">
      <c r="A264" s="591"/>
      <c r="B264" s="589" t="s">
        <v>258</v>
      </c>
      <c r="C264" s="596">
        <v>63711.8867875</v>
      </c>
      <c r="D264" s="597">
        <v>0</v>
      </c>
      <c r="E264" s="597">
        <v>50324.098595524141</v>
      </c>
      <c r="F264" s="597">
        <v>0</v>
      </c>
      <c r="G264" s="597">
        <v>52214.770465116279</v>
      </c>
      <c r="H264" s="597">
        <v>0</v>
      </c>
      <c r="I264" s="596">
        <v>55535.193088815358</v>
      </c>
      <c r="J264" s="596">
        <v>0</v>
      </c>
      <c r="K264" s="597">
        <v>42461.331425210083</v>
      </c>
      <c r="L264" s="597">
        <v>41994.926645299151</v>
      </c>
      <c r="M264" s="597">
        <v>40021.571428571428</v>
      </c>
      <c r="N264" s="596">
        <v>0</v>
      </c>
      <c r="O264" s="596">
        <v>42110.728540555552</v>
      </c>
      <c r="P264" s="596">
        <v>0</v>
      </c>
      <c r="Q264" s="597">
        <v>0</v>
      </c>
      <c r="R264" s="596">
        <v>0</v>
      </c>
      <c r="S264" s="596">
        <v>0</v>
      </c>
      <c r="T264" s="596"/>
      <c r="U264" s="596"/>
      <c r="V264" s="596"/>
      <c r="W264" s="151"/>
      <c r="X264" s="151"/>
    </row>
    <row r="265" spans="1:24">
      <c r="A265" s="591"/>
      <c r="B265" s="598" t="s">
        <v>260</v>
      </c>
      <c r="C265" s="599">
        <v>64813.182217333328</v>
      </c>
      <c r="D265" s="151">
        <v>0</v>
      </c>
      <c r="E265" s="151">
        <v>50509.832690643983</v>
      </c>
      <c r="F265" s="151">
        <v>0</v>
      </c>
      <c r="G265" s="151">
        <v>52983.439246913578</v>
      </c>
      <c r="H265" s="151">
        <v>0</v>
      </c>
      <c r="I265" s="599">
        <v>56349.175674069149</v>
      </c>
      <c r="J265" s="599">
        <v>0</v>
      </c>
      <c r="K265" s="151">
        <v>42878.080444444444</v>
      </c>
      <c r="L265" s="151">
        <v>41240.045568695648</v>
      </c>
      <c r="M265" s="151">
        <v>41888.25</v>
      </c>
      <c r="N265" s="599">
        <v>0</v>
      </c>
      <c r="O265" s="599">
        <v>41821.303892307697</v>
      </c>
      <c r="P265" s="599">
        <v>0</v>
      </c>
      <c r="Q265" s="151">
        <v>0</v>
      </c>
      <c r="R265" s="599">
        <v>0</v>
      </c>
      <c r="S265" s="599">
        <v>0</v>
      </c>
      <c r="T265" s="599"/>
      <c r="U265" s="599"/>
      <c r="V265" s="599"/>
      <c r="W265" s="151"/>
      <c r="X265" s="151"/>
    </row>
    <row r="266" spans="1:24">
      <c r="A266" s="591"/>
      <c r="B266" s="600" t="s">
        <v>262</v>
      </c>
      <c r="C266" s="602">
        <v>1.7285556673380411</v>
      </c>
      <c r="D266" s="601">
        <v>0</v>
      </c>
      <c r="E266" s="601">
        <v>0.36907585094104678</v>
      </c>
      <c r="F266" s="601">
        <v>0</v>
      </c>
      <c r="G266" s="601">
        <v>1.4721290066971244</v>
      </c>
      <c r="H266" s="601">
        <v>0</v>
      </c>
      <c r="I266" s="602">
        <v>1.4657058704234964</v>
      </c>
      <c r="J266" s="602">
        <v>0</v>
      </c>
      <c r="K266" s="601">
        <v>0.98147892505068624</v>
      </c>
      <c r="L266" s="601">
        <v>-1.7975530305825702</v>
      </c>
      <c r="M266" s="601">
        <v>4.6641811023341004</v>
      </c>
      <c r="N266" s="602">
        <v>0</v>
      </c>
      <c r="O266" s="602">
        <v>-0.6872943268343592</v>
      </c>
      <c r="P266" s="602">
        <v>0</v>
      </c>
      <c r="Q266" s="601">
        <v>0</v>
      </c>
      <c r="R266" s="602">
        <v>0</v>
      </c>
      <c r="S266" s="602">
        <v>0</v>
      </c>
      <c r="T266" s="602"/>
      <c r="U266" s="602"/>
      <c r="V266" s="602"/>
      <c r="W266" s="606"/>
      <c r="X266" s="606"/>
    </row>
    <row r="267" spans="1:24">
      <c r="A267" s="591"/>
      <c r="B267" s="589" t="s">
        <v>264</v>
      </c>
      <c r="C267" s="596">
        <v>43974.417581944443</v>
      </c>
      <c r="D267" s="597">
        <v>0</v>
      </c>
      <c r="E267" s="597">
        <v>38440.168944715449</v>
      </c>
      <c r="F267" s="597">
        <v>0</v>
      </c>
      <c r="G267" s="597">
        <v>46141.723959999996</v>
      </c>
      <c r="H267" s="597">
        <v>0</v>
      </c>
      <c r="I267" s="596">
        <v>40759.590661951217</v>
      </c>
      <c r="J267" s="596">
        <v>0</v>
      </c>
      <c r="K267" s="597">
        <v>37263.940420799998</v>
      </c>
      <c r="L267" s="597">
        <v>37717.063253012049</v>
      </c>
      <c r="M267" s="597">
        <v>41954.8125</v>
      </c>
      <c r="N267" s="596">
        <v>0</v>
      </c>
      <c r="O267" s="596">
        <v>37745.687955384616</v>
      </c>
      <c r="P267" s="596">
        <v>0</v>
      </c>
      <c r="Q267" s="597">
        <v>0</v>
      </c>
      <c r="R267" s="596">
        <v>0</v>
      </c>
      <c r="S267" s="596">
        <v>0</v>
      </c>
      <c r="T267" s="596"/>
      <c r="U267" s="596"/>
      <c r="V267" s="596"/>
      <c r="W267" s="151"/>
      <c r="X267" s="151"/>
    </row>
    <row r="268" spans="1:24">
      <c r="A268" s="591"/>
      <c r="B268" s="598" t="s">
        <v>266</v>
      </c>
      <c r="C268" s="599">
        <v>44992.558275524476</v>
      </c>
      <c r="D268" s="151">
        <v>0</v>
      </c>
      <c r="E268" s="151">
        <v>37862.285668864468</v>
      </c>
      <c r="F268" s="151">
        <v>0</v>
      </c>
      <c r="G268" s="151">
        <v>45031.194176470584</v>
      </c>
      <c r="H268" s="151">
        <v>0</v>
      </c>
      <c r="I268" s="599">
        <v>40498.545316397234</v>
      </c>
      <c r="J268" s="599">
        <v>0</v>
      </c>
      <c r="K268" s="151">
        <v>36630.92596788321</v>
      </c>
      <c r="L268" s="151">
        <v>37846.344142753624</v>
      </c>
      <c r="M268" s="151">
        <v>41981.738973333333</v>
      </c>
      <c r="N268" s="599">
        <v>0</v>
      </c>
      <c r="O268" s="599">
        <v>37602.22879813084</v>
      </c>
      <c r="P268" s="599">
        <v>0</v>
      </c>
      <c r="Q268" s="151">
        <v>0</v>
      </c>
      <c r="R268" s="599">
        <v>0</v>
      </c>
      <c r="S268" s="599">
        <v>0</v>
      </c>
      <c r="T268" s="599"/>
      <c r="U268" s="599"/>
      <c r="V268" s="599"/>
      <c r="W268" s="151"/>
      <c r="X268" s="151"/>
    </row>
    <row r="269" spans="1:24">
      <c r="A269" s="591"/>
      <c r="B269" s="600" t="s">
        <v>268</v>
      </c>
      <c r="C269" s="602">
        <v>2.3153022815658031</v>
      </c>
      <c r="D269" s="601">
        <v>0</v>
      </c>
      <c r="E269" s="601">
        <v>-1.5033317795301364</v>
      </c>
      <c r="F269" s="601">
        <v>0</v>
      </c>
      <c r="G269" s="601">
        <v>-2.4067799991437759</v>
      </c>
      <c r="H269" s="601">
        <v>0</v>
      </c>
      <c r="I269" s="602">
        <v>-0.6404513424067988</v>
      </c>
      <c r="J269" s="602">
        <v>0</v>
      </c>
      <c r="K269" s="601">
        <v>-1.6987319262765139</v>
      </c>
      <c r="L269" s="601">
        <v>0.3427649943855321</v>
      </c>
      <c r="M269" s="601">
        <v>6.4179701275826173E-2</v>
      </c>
      <c r="N269" s="602">
        <v>0</v>
      </c>
      <c r="O269" s="602">
        <v>-0.38006767136777125</v>
      </c>
      <c r="P269" s="602">
        <v>0</v>
      </c>
      <c r="Q269" s="601">
        <v>0</v>
      </c>
      <c r="R269" s="602">
        <v>0</v>
      </c>
      <c r="S269" s="602">
        <v>0</v>
      </c>
      <c r="T269" s="602"/>
      <c r="U269" s="602"/>
      <c r="V269" s="602"/>
      <c r="W269" s="606"/>
      <c r="X269" s="606"/>
    </row>
    <row r="270" spans="1:24">
      <c r="A270" s="591"/>
      <c r="B270" s="589" t="s">
        <v>270</v>
      </c>
      <c r="C270" s="596">
        <v>39769.769561316869</v>
      </c>
      <c r="D270" s="597">
        <v>0</v>
      </c>
      <c r="E270" s="597">
        <v>33482.885423255815</v>
      </c>
      <c r="F270" s="597">
        <v>0</v>
      </c>
      <c r="G270" s="597">
        <v>41833.395833333336</v>
      </c>
      <c r="H270" s="597">
        <v>0</v>
      </c>
      <c r="I270" s="596">
        <v>38074.641007142855</v>
      </c>
      <c r="J270" s="596">
        <v>0</v>
      </c>
      <c r="K270" s="597">
        <v>0</v>
      </c>
      <c r="L270" s="597">
        <v>38697.25</v>
      </c>
      <c r="M270" s="597">
        <v>0</v>
      </c>
      <c r="N270" s="596">
        <v>0</v>
      </c>
      <c r="O270" s="596">
        <v>38697.25</v>
      </c>
      <c r="P270" s="596">
        <v>0</v>
      </c>
      <c r="Q270" s="597">
        <v>0</v>
      </c>
      <c r="R270" s="596">
        <v>0</v>
      </c>
      <c r="S270" s="596">
        <v>0</v>
      </c>
      <c r="T270" s="596"/>
      <c r="U270" s="596"/>
      <c r="V270" s="596"/>
      <c r="W270" s="151"/>
      <c r="X270" s="151"/>
    </row>
    <row r="271" spans="1:24">
      <c r="A271" s="591"/>
      <c r="B271" s="598" t="s">
        <v>272</v>
      </c>
      <c r="C271" s="599">
        <v>40374.741732851988</v>
      </c>
      <c r="D271" s="151">
        <v>0</v>
      </c>
      <c r="E271" s="151">
        <v>33874.367970270265</v>
      </c>
      <c r="F271" s="151">
        <v>0</v>
      </c>
      <c r="G271" s="151">
        <v>42352.555555555555</v>
      </c>
      <c r="H271" s="151">
        <v>0</v>
      </c>
      <c r="I271" s="599">
        <v>38517.180679999998</v>
      </c>
      <c r="J271" s="599">
        <v>0</v>
      </c>
      <c r="K271" s="151">
        <v>0</v>
      </c>
      <c r="L271" s="151">
        <v>38599.125</v>
      </c>
      <c r="M271" s="151">
        <v>0</v>
      </c>
      <c r="N271" s="599">
        <v>0</v>
      </c>
      <c r="O271" s="599">
        <v>38599.125</v>
      </c>
      <c r="P271" s="599">
        <v>0</v>
      </c>
      <c r="Q271" s="151">
        <v>0</v>
      </c>
      <c r="R271" s="599">
        <v>0</v>
      </c>
      <c r="S271" s="599">
        <v>0</v>
      </c>
      <c r="T271" s="599"/>
      <c r="U271" s="599"/>
      <c r="V271" s="599"/>
      <c r="W271" s="151"/>
      <c r="X271" s="151"/>
    </row>
    <row r="272" spans="1:24">
      <c r="A272" s="591"/>
      <c r="B272" s="600" t="s">
        <v>274</v>
      </c>
      <c r="C272" s="602">
        <v>1.5211860119088074</v>
      </c>
      <c r="D272" s="601">
        <v>0</v>
      </c>
      <c r="E272" s="601">
        <v>1.169201943218855</v>
      </c>
      <c r="F272" s="601">
        <v>0</v>
      </c>
      <c r="G272" s="601">
        <v>1.2410174021984286</v>
      </c>
      <c r="H272" s="601">
        <v>0</v>
      </c>
      <c r="I272" s="602">
        <v>1.1622950634626392</v>
      </c>
      <c r="J272" s="602">
        <v>0</v>
      </c>
      <c r="K272" s="601">
        <v>0</v>
      </c>
      <c r="L272" s="601">
        <v>-0.25357099018664114</v>
      </c>
      <c r="M272" s="601">
        <v>0</v>
      </c>
      <c r="N272" s="602">
        <v>0</v>
      </c>
      <c r="O272" s="602">
        <v>-0.25357099018664114</v>
      </c>
      <c r="P272" s="602">
        <v>0</v>
      </c>
      <c r="Q272" s="601">
        <v>0</v>
      </c>
      <c r="R272" s="602">
        <v>0</v>
      </c>
      <c r="S272" s="602">
        <v>0</v>
      </c>
      <c r="T272" s="602"/>
      <c r="U272" s="602"/>
      <c r="V272" s="602"/>
      <c r="W272" s="606"/>
      <c r="X272" s="606"/>
    </row>
    <row r="273" spans="1:24">
      <c r="A273" s="591"/>
      <c r="B273" s="589" t="s">
        <v>276</v>
      </c>
      <c r="C273" s="596">
        <v>0</v>
      </c>
      <c r="D273" s="597">
        <v>0</v>
      </c>
      <c r="E273" s="597">
        <v>0</v>
      </c>
      <c r="F273" s="597">
        <v>0</v>
      </c>
      <c r="G273" s="597">
        <v>0</v>
      </c>
      <c r="H273" s="597">
        <v>0</v>
      </c>
      <c r="I273" s="596">
        <v>0</v>
      </c>
      <c r="J273" s="596">
        <v>0</v>
      </c>
      <c r="K273" s="597">
        <v>0</v>
      </c>
      <c r="L273" s="597">
        <v>0</v>
      </c>
      <c r="M273" s="597">
        <v>0</v>
      </c>
      <c r="N273" s="596">
        <v>0</v>
      </c>
      <c r="O273" s="596">
        <v>0</v>
      </c>
      <c r="P273" s="596">
        <v>0</v>
      </c>
      <c r="Q273" s="597">
        <v>37213.522648303377</v>
      </c>
      <c r="R273" s="596">
        <v>0</v>
      </c>
      <c r="S273" s="596">
        <v>37213.522648303377</v>
      </c>
      <c r="T273" s="596"/>
      <c r="U273" s="596"/>
      <c r="V273" s="596"/>
      <c r="W273" s="151"/>
      <c r="X273" s="151"/>
    </row>
    <row r="274" spans="1:24">
      <c r="A274" s="591"/>
      <c r="B274" s="598" t="s">
        <v>278</v>
      </c>
      <c r="C274" s="599">
        <v>0</v>
      </c>
      <c r="D274" s="151">
        <v>0</v>
      </c>
      <c r="E274" s="151">
        <v>0</v>
      </c>
      <c r="F274" s="151">
        <v>0</v>
      </c>
      <c r="G274" s="151">
        <v>0</v>
      </c>
      <c r="H274" s="151">
        <v>0</v>
      </c>
      <c r="I274" s="599">
        <v>0</v>
      </c>
      <c r="J274" s="599">
        <v>0</v>
      </c>
      <c r="K274" s="151">
        <v>0</v>
      </c>
      <c r="L274" s="151">
        <v>0</v>
      </c>
      <c r="M274" s="151">
        <v>0</v>
      </c>
      <c r="N274" s="599">
        <v>0</v>
      </c>
      <c r="O274" s="599">
        <v>0</v>
      </c>
      <c r="P274" s="599">
        <v>0</v>
      </c>
      <c r="Q274" s="151">
        <v>36905.217244990548</v>
      </c>
      <c r="R274" s="599">
        <v>0</v>
      </c>
      <c r="S274" s="599">
        <v>36905.217244990548</v>
      </c>
      <c r="T274" s="599"/>
      <c r="U274" s="599"/>
      <c r="V274" s="599"/>
      <c r="W274" s="151"/>
      <c r="X274" s="151"/>
    </row>
    <row r="275" spans="1:24">
      <c r="A275" s="591"/>
      <c r="B275" s="600" t="s">
        <v>280</v>
      </c>
      <c r="C275" s="602">
        <v>0</v>
      </c>
      <c r="D275" s="601">
        <v>0</v>
      </c>
      <c r="E275" s="601">
        <v>0</v>
      </c>
      <c r="F275" s="601">
        <v>0</v>
      </c>
      <c r="G275" s="601">
        <v>0</v>
      </c>
      <c r="H275" s="601">
        <v>0</v>
      </c>
      <c r="I275" s="602">
        <v>0</v>
      </c>
      <c r="J275" s="602">
        <v>0</v>
      </c>
      <c r="K275" s="601">
        <v>0</v>
      </c>
      <c r="L275" s="601">
        <v>0</v>
      </c>
      <c r="M275" s="601">
        <v>0</v>
      </c>
      <c r="N275" s="602">
        <v>0</v>
      </c>
      <c r="O275" s="602">
        <v>0</v>
      </c>
      <c r="P275" s="602">
        <v>0</v>
      </c>
      <c r="Q275" s="601">
        <v>-0.82847680459211881</v>
      </c>
      <c r="R275" s="602">
        <v>0</v>
      </c>
      <c r="S275" s="602">
        <v>-0.82847680459211881</v>
      </c>
      <c r="T275" s="602"/>
      <c r="U275" s="602"/>
      <c r="V275" s="602"/>
      <c r="W275" s="606"/>
      <c r="X275" s="606"/>
    </row>
    <row r="276" spans="1:24">
      <c r="A276" s="591"/>
      <c r="B276" s="589" t="s">
        <v>282</v>
      </c>
      <c r="C276" s="596">
        <v>77017.774593491864</v>
      </c>
      <c r="D276" s="597">
        <v>0</v>
      </c>
      <c r="E276" s="597">
        <v>60051.000085348998</v>
      </c>
      <c r="F276" s="597">
        <v>0</v>
      </c>
      <c r="G276" s="597">
        <v>57167.812954014604</v>
      </c>
      <c r="H276" s="597">
        <v>0</v>
      </c>
      <c r="I276" s="596">
        <v>67217.103449595699</v>
      </c>
      <c r="J276" s="596">
        <v>0</v>
      </c>
      <c r="K276" s="597">
        <v>47600.536504566924</v>
      </c>
      <c r="L276" s="597">
        <v>46382.817925558797</v>
      </c>
      <c r="M276" s="597">
        <v>46971.84151111111</v>
      </c>
      <c r="N276" s="596">
        <v>0</v>
      </c>
      <c r="O276" s="596">
        <v>46851.42012072177</v>
      </c>
      <c r="P276" s="596">
        <v>0</v>
      </c>
      <c r="Q276" s="597">
        <v>37213.522648303377</v>
      </c>
      <c r="R276" s="596">
        <v>0</v>
      </c>
      <c r="S276" s="596">
        <v>37213.522648303377</v>
      </c>
      <c r="T276" s="596"/>
      <c r="U276" s="596"/>
      <c r="V276" s="596"/>
      <c r="W276" s="151"/>
      <c r="X276" s="151"/>
    </row>
    <row r="277" spans="1:24">
      <c r="A277" s="591"/>
      <c r="B277" s="598" t="s">
        <v>284</v>
      </c>
      <c r="C277" s="599">
        <v>77389.687229785515</v>
      </c>
      <c r="D277" s="151">
        <v>0</v>
      </c>
      <c r="E277" s="151">
        <v>59543.306989647062</v>
      </c>
      <c r="F277" s="151">
        <v>0</v>
      </c>
      <c r="G277" s="151">
        <v>57751.886990647479</v>
      </c>
      <c r="H277" s="151">
        <v>0</v>
      </c>
      <c r="I277" s="599">
        <v>67160.426279245279</v>
      </c>
      <c r="J277" s="599">
        <v>0</v>
      </c>
      <c r="K277" s="151">
        <v>47134.089873261204</v>
      </c>
      <c r="L277" s="151">
        <v>46134.112525698831</v>
      </c>
      <c r="M277" s="151">
        <v>46516.899977358495</v>
      </c>
      <c r="N277" s="599">
        <v>0</v>
      </c>
      <c r="O277" s="599">
        <v>46502.975476948588</v>
      </c>
      <c r="P277" s="599">
        <v>0</v>
      </c>
      <c r="Q277" s="151">
        <v>36905.217244990548</v>
      </c>
      <c r="R277" s="599">
        <v>0</v>
      </c>
      <c r="S277" s="599">
        <v>36905.217244990548</v>
      </c>
      <c r="T277" s="599"/>
      <c r="U277" s="599"/>
      <c r="V277" s="599"/>
      <c r="W277" s="151"/>
      <c r="X277" s="151"/>
    </row>
    <row r="278" spans="1:24">
      <c r="A278" s="591"/>
      <c r="B278" s="600" t="s">
        <v>286</v>
      </c>
      <c r="C278" s="602">
        <v>0.48289195352195824</v>
      </c>
      <c r="D278" s="601">
        <v>0</v>
      </c>
      <c r="E278" s="601">
        <v>-0.84543653724394963</v>
      </c>
      <c r="F278" s="601">
        <v>0</v>
      </c>
      <c r="G278" s="601">
        <v>1.0216833677067561</v>
      </c>
      <c r="H278" s="601">
        <v>0</v>
      </c>
      <c r="I278" s="602">
        <v>-8.4319566660471676E-2</v>
      </c>
      <c r="J278" s="602">
        <v>0</v>
      </c>
      <c r="K278" s="601">
        <v>-0.97991885293344949</v>
      </c>
      <c r="L278" s="601">
        <v>-0.5362015741672288</v>
      </c>
      <c r="M278" s="601">
        <v>-0.96854097926946203</v>
      </c>
      <c r="N278" s="602">
        <v>0</v>
      </c>
      <c r="O278" s="602">
        <v>-0.74372269373126143</v>
      </c>
      <c r="P278" s="602">
        <v>0</v>
      </c>
      <c r="Q278" s="601">
        <v>-0.82847680459211881</v>
      </c>
      <c r="R278" s="602">
        <v>0</v>
      </c>
      <c r="S278" s="602">
        <v>-0.82847680459211881</v>
      </c>
      <c r="T278" s="602"/>
      <c r="U278" s="602"/>
      <c r="V278" s="602"/>
      <c r="W278" s="606"/>
      <c r="X278" s="606"/>
    </row>
    <row r="279" spans="1:24">
      <c r="A279" s="595" t="s">
        <v>309</v>
      </c>
      <c r="B279" s="589" t="s">
        <v>246</v>
      </c>
      <c r="C279" s="596">
        <v>121278.66604238539</v>
      </c>
      <c r="D279" s="597">
        <v>103924.24456521739</v>
      </c>
      <c r="E279" s="597">
        <v>85585.988526083864</v>
      </c>
      <c r="F279" s="597">
        <v>85417.325391176477</v>
      </c>
      <c r="G279" s="597">
        <v>85405.935808695664</v>
      </c>
      <c r="H279" s="597">
        <v>98583.414454545447</v>
      </c>
      <c r="I279" s="596">
        <v>109112.85358532802</v>
      </c>
      <c r="J279" s="596">
        <v>66332.863632258071</v>
      </c>
      <c r="K279" s="597">
        <v>66582.72885773913</v>
      </c>
      <c r="L279" s="597">
        <v>53282.206240975611</v>
      </c>
      <c r="M279" s="597">
        <v>56632.704890476183</v>
      </c>
      <c r="N279" s="596">
        <v>0</v>
      </c>
      <c r="O279" s="596">
        <v>65029.139975221238</v>
      </c>
      <c r="P279" s="596">
        <v>0</v>
      </c>
      <c r="Q279" s="597">
        <v>0</v>
      </c>
      <c r="R279" s="596">
        <v>0</v>
      </c>
      <c r="S279" s="596">
        <v>0</v>
      </c>
      <c r="T279" s="596"/>
      <c r="U279" s="596"/>
      <c r="V279" s="596"/>
      <c r="W279" s="151"/>
      <c r="X279" s="151"/>
    </row>
    <row r="280" spans="1:24">
      <c r="A280" s="591"/>
      <c r="B280" s="598" t="s">
        <v>248</v>
      </c>
      <c r="C280" s="599">
        <v>122335.85140233766</v>
      </c>
      <c r="D280" s="151">
        <v>105760.78974358975</v>
      </c>
      <c r="E280" s="151">
        <v>86561.161590521326</v>
      </c>
      <c r="F280" s="151">
        <v>87821.092956756751</v>
      </c>
      <c r="G280" s="151">
        <v>89027.798342857146</v>
      </c>
      <c r="H280" s="151">
        <v>98105.197966666659</v>
      </c>
      <c r="I280" s="599">
        <v>109758.07101240676</v>
      </c>
      <c r="J280" s="599">
        <v>66147.287400000001</v>
      </c>
      <c r="K280" s="151">
        <v>66594.483509768746</v>
      </c>
      <c r="L280" s="151">
        <v>50136.28404814814</v>
      </c>
      <c r="M280" s="151">
        <v>55459.148687640445</v>
      </c>
      <c r="N280" s="599">
        <v>0</v>
      </c>
      <c r="O280" s="599">
        <v>62594.132329544671</v>
      </c>
      <c r="P280" s="599">
        <v>0</v>
      </c>
      <c r="Q280" s="151">
        <v>0</v>
      </c>
      <c r="R280" s="599">
        <v>0</v>
      </c>
      <c r="S280" s="599">
        <v>0</v>
      </c>
      <c r="T280" s="599"/>
      <c r="U280" s="599"/>
      <c r="V280" s="599"/>
      <c r="W280" s="151"/>
      <c r="X280" s="151"/>
    </row>
    <row r="281" spans="1:24">
      <c r="A281" s="591"/>
      <c r="B281" s="600" t="s">
        <v>250</v>
      </c>
      <c r="C281" s="602">
        <v>0.87169936349959487</v>
      </c>
      <c r="D281" s="601">
        <v>1.7671960821614014</v>
      </c>
      <c r="E281" s="601">
        <v>1.1394073740706523</v>
      </c>
      <c r="F281" s="601">
        <v>2.814145203648089</v>
      </c>
      <c r="G281" s="601">
        <v>4.2407620733461018</v>
      </c>
      <c r="H281" s="601">
        <v>-0.48508817687510986</v>
      </c>
      <c r="I281" s="602">
        <v>0.59133035740300377</v>
      </c>
      <c r="J281" s="602">
        <v>-0.27976514520296319</v>
      </c>
      <c r="K281" s="601">
        <v>1.765420587481693E-2</v>
      </c>
      <c r="L281" s="601">
        <v>-5.9042641338829593</v>
      </c>
      <c r="M281" s="601">
        <v>-2.0722234707053393</v>
      </c>
      <c r="N281" s="602">
        <v>0</v>
      </c>
      <c r="O281" s="602">
        <v>-3.7444869278671149</v>
      </c>
      <c r="P281" s="602">
        <v>0</v>
      </c>
      <c r="Q281" s="601">
        <v>0</v>
      </c>
      <c r="R281" s="602">
        <v>0</v>
      </c>
      <c r="S281" s="602">
        <v>0</v>
      </c>
      <c r="T281" s="602"/>
      <c r="U281" s="602"/>
      <c r="V281" s="602"/>
      <c r="W281" s="606"/>
      <c r="X281" s="606"/>
    </row>
    <row r="282" spans="1:24">
      <c r="A282" s="591"/>
      <c r="B282" s="589" t="s">
        <v>252</v>
      </c>
      <c r="C282" s="596">
        <v>81575.394710789478</v>
      </c>
      <c r="D282" s="597">
        <v>77482.389755011129</v>
      </c>
      <c r="E282" s="597">
        <v>68502.602599217731</v>
      </c>
      <c r="F282" s="597">
        <v>70276.07646279069</v>
      </c>
      <c r="G282" s="597">
        <v>68122.571953488368</v>
      </c>
      <c r="H282" s="597">
        <v>72108.176470588238</v>
      </c>
      <c r="I282" s="596">
        <v>76143.892203863434</v>
      </c>
      <c r="J282" s="596">
        <v>53061.715666666671</v>
      </c>
      <c r="K282" s="597">
        <v>55202.861663865551</v>
      </c>
      <c r="L282" s="597">
        <v>49609.52184275863</v>
      </c>
      <c r="M282" s="597">
        <v>49146.738647058824</v>
      </c>
      <c r="N282" s="596">
        <v>0</v>
      </c>
      <c r="O282" s="596">
        <v>54244.117742592585</v>
      </c>
      <c r="P282" s="596">
        <v>0</v>
      </c>
      <c r="Q282" s="597">
        <v>0</v>
      </c>
      <c r="R282" s="596">
        <v>0</v>
      </c>
      <c r="S282" s="596">
        <v>0</v>
      </c>
      <c r="T282" s="596"/>
      <c r="U282" s="596"/>
      <c r="V282" s="596"/>
      <c r="W282" s="151"/>
      <c r="X282" s="151"/>
    </row>
    <row r="283" spans="1:24">
      <c r="A283" s="591"/>
      <c r="B283" s="598" t="s">
        <v>254</v>
      </c>
      <c r="C283" s="599">
        <v>81473.092664596275</v>
      </c>
      <c r="D283" s="151">
        <v>77300.310272536692</v>
      </c>
      <c r="E283" s="151">
        <v>69373.533546063234</v>
      </c>
      <c r="F283" s="151">
        <v>69209.608695652176</v>
      </c>
      <c r="G283" s="151">
        <v>70642.922453191495</v>
      </c>
      <c r="H283" s="151">
        <v>66528.928571428565</v>
      </c>
      <c r="I283" s="599">
        <v>76221.662012852117</v>
      </c>
      <c r="J283" s="599">
        <v>54473.567054545449</v>
      </c>
      <c r="K283" s="151">
        <v>54467.429732315526</v>
      </c>
      <c r="L283" s="151">
        <v>47361.486260869569</v>
      </c>
      <c r="M283" s="151">
        <v>49378.197221052629</v>
      </c>
      <c r="N283" s="599">
        <v>0</v>
      </c>
      <c r="O283" s="599">
        <v>53541.499904709148</v>
      </c>
      <c r="P283" s="599">
        <v>0</v>
      </c>
      <c r="Q283" s="151">
        <v>0</v>
      </c>
      <c r="R283" s="599">
        <v>0</v>
      </c>
      <c r="S283" s="599">
        <v>0</v>
      </c>
      <c r="T283" s="599"/>
      <c r="U283" s="599"/>
      <c r="V283" s="599"/>
      <c r="W283" s="151"/>
      <c r="X283" s="151"/>
    </row>
    <row r="284" spans="1:24">
      <c r="A284" s="591"/>
      <c r="B284" s="600" t="s">
        <v>256</v>
      </c>
      <c r="C284" s="602">
        <v>-0.12540796959168371</v>
      </c>
      <c r="D284" s="601">
        <v>-0.23499466530413926</v>
      </c>
      <c r="E284" s="601">
        <v>1.2713837340472796</v>
      </c>
      <c r="F284" s="601">
        <v>-1.5175402794479864</v>
      </c>
      <c r="G284" s="601">
        <v>3.6997289260069794</v>
      </c>
      <c r="H284" s="601">
        <v>-7.7373304557706541</v>
      </c>
      <c r="I284" s="602">
        <v>0.10213532134720266</v>
      </c>
      <c r="J284" s="602">
        <v>2.6607722161643221</v>
      </c>
      <c r="K284" s="601">
        <v>-1.3322351584382102</v>
      </c>
      <c r="L284" s="601">
        <v>-4.5314598858952717</v>
      </c>
      <c r="M284" s="601">
        <v>0.47095408640641578</v>
      </c>
      <c r="N284" s="602">
        <v>0</v>
      </c>
      <c r="O284" s="602">
        <v>-1.2952885347266705</v>
      </c>
      <c r="P284" s="602">
        <v>0</v>
      </c>
      <c r="Q284" s="601">
        <v>0</v>
      </c>
      <c r="R284" s="602">
        <v>0</v>
      </c>
      <c r="S284" s="602">
        <v>0</v>
      </c>
      <c r="T284" s="602"/>
      <c r="U284" s="602"/>
      <c r="V284" s="602"/>
      <c r="W284" s="606"/>
      <c r="X284" s="606"/>
    </row>
    <row r="285" spans="1:24">
      <c r="A285" s="591"/>
      <c r="B285" s="589" t="s">
        <v>258</v>
      </c>
      <c r="C285" s="596">
        <v>73324.10223887609</v>
      </c>
      <c r="D285" s="597">
        <v>65535.695464362849</v>
      </c>
      <c r="E285" s="597">
        <v>59789.756647121947</v>
      </c>
      <c r="F285" s="597">
        <v>63329.738607058825</v>
      </c>
      <c r="G285" s="597">
        <v>55980.776595744683</v>
      </c>
      <c r="H285" s="597">
        <v>64649.125</v>
      </c>
      <c r="I285" s="596">
        <v>66361.602965525715</v>
      </c>
      <c r="J285" s="596">
        <v>48959.362634482764</v>
      </c>
      <c r="K285" s="597">
        <v>50613.593611389522</v>
      </c>
      <c r="L285" s="597">
        <v>46338.136864122142</v>
      </c>
      <c r="M285" s="597">
        <v>43135.393301587297</v>
      </c>
      <c r="N285" s="596">
        <v>0</v>
      </c>
      <c r="O285" s="596">
        <v>49599.676831061261</v>
      </c>
      <c r="P285" s="596">
        <v>0</v>
      </c>
      <c r="Q285" s="597">
        <v>0</v>
      </c>
      <c r="R285" s="596">
        <v>0</v>
      </c>
      <c r="S285" s="596">
        <v>0</v>
      </c>
      <c r="T285" s="596"/>
      <c r="U285" s="596"/>
      <c r="V285" s="596"/>
      <c r="W285" s="151"/>
      <c r="X285" s="151"/>
    </row>
    <row r="286" spans="1:24">
      <c r="A286" s="591"/>
      <c r="B286" s="598" t="s">
        <v>260</v>
      </c>
      <c r="C286" s="599">
        <v>72524.52500867052</v>
      </c>
      <c r="D286" s="151">
        <v>66734.97630331754</v>
      </c>
      <c r="E286" s="151">
        <v>59552.726228333333</v>
      </c>
      <c r="F286" s="151">
        <v>63977.860465116282</v>
      </c>
      <c r="G286" s="151">
        <v>57375.247422680412</v>
      </c>
      <c r="H286" s="151">
        <v>65825.382155555562</v>
      </c>
      <c r="I286" s="599">
        <v>65776.767740275769</v>
      </c>
      <c r="J286" s="599">
        <v>49649.129628571427</v>
      </c>
      <c r="K286" s="151">
        <v>51385.655533896519</v>
      </c>
      <c r="L286" s="151">
        <v>47559.474370542637</v>
      </c>
      <c r="M286" s="151">
        <v>46909.435219999999</v>
      </c>
      <c r="N286" s="599">
        <v>0</v>
      </c>
      <c r="O286" s="599">
        <v>50647.103939818626</v>
      </c>
      <c r="P286" s="599">
        <v>0</v>
      </c>
      <c r="Q286" s="151">
        <v>0</v>
      </c>
      <c r="R286" s="599">
        <v>0</v>
      </c>
      <c r="S286" s="599">
        <v>0</v>
      </c>
      <c r="T286" s="599"/>
      <c r="U286" s="599"/>
      <c r="V286" s="599"/>
      <c r="W286" s="151"/>
      <c r="X286" s="151"/>
    </row>
    <row r="287" spans="1:24">
      <c r="A287" s="591"/>
      <c r="B287" s="600" t="s">
        <v>262</v>
      </c>
      <c r="C287" s="602">
        <v>-1.0904698534196824</v>
      </c>
      <c r="D287" s="601">
        <v>1.8299658383984638</v>
      </c>
      <c r="E287" s="601">
        <v>-0.39643984535271359</v>
      </c>
      <c r="F287" s="601">
        <v>1.0234083896648458</v>
      </c>
      <c r="G287" s="601">
        <v>2.4909815685581753</v>
      </c>
      <c r="H287" s="601">
        <v>1.8194479129540615</v>
      </c>
      <c r="I287" s="602">
        <v>-0.88128556140176884</v>
      </c>
      <c r="J287" s="602">
        <v>1.408856155334935</v>
      </c>
      <c r="K287" s="601">
        <v>1.5254042786111528</v>
      </c>
      <c r="L287" s="601">
        <v>2.6357069771748436</v>
      </c>
      <c r="M287" s="601">
        <v>8.7492929345188681</v>
      </c>
      <c r="N287" s="602">
        <v>0</v>
      </c>
      <c r="O287" s="602">
        <v>2.1117619623308217</v>
      </c>
      <c r="P287" s="602">
        <v>0</v>
      </c>
      <c r="Q287" s="601">
        <v>0</v>
      </c>
      <c r="R287" s="602">
        <v>0</v>
      </c>
      <c r="S287" s="602">
        <v>0</v>
      </c>
      <c r="T287" s="602"/>
      <c r="U287" s="602"/>
      <c r="V287" s="602"/>
      <c r="W287" s="606"/>
      <c r="X287" s="606"/>
    </row>
    <row r="288" spans="1:24">
      <c r="A288" s="591"/>
      <c r="B288" s="589" t="s">
        <v>264</v>
      </c>
      <c r="C288" s="596">
        <v>38586.150686222223</v>
      </c>
      <c r="D288" s="597">
        <v>50134.5</v>
      </c>
      <c r="E288" s="597">
        <v>46930.877116330274</v>
      </c>
      <c r="F288" s="597">
        <v>47689.517899999999</v>
      </c>
      <c r="G288" s="597">
        <v>56084.875</v>
      </c>
      <c r="H288" s="597">
        <v>0</v>
      </c>
      <c r="I288" s="596">
        <v>44733.000139750002</v>
      </c>
      <c r="J288" s="596">
        <v>50157.244081249999</v>
      </c>
      <c r="K288" s="597">
        <v>45774.07788476596</v>
      </c>
      <c r="L288" s="597">
        <v>40041.867829199997</v>
      </c>
      <c r="M288" s="597">
        <v>40977.687639999996</v>
      </c>
      <c r="N288" s="596">
        <v>0</v>
      </c>
      <c r="O288" s="596">
        <v>44905.944618550951</v>
      </c>
      <c r="P288" s="596">
        <v>0</v>
      </c>
      <c r="Q288" s="597">
        <v>0</v>
      </c>
      <c r="R288" s="596">
        <v>0</v>
      </c>
      <c r="S288" s="596">
        <v>0</v>
      </c>
      <c r="T288" s="596"/>
      <c r="U288" s="596"/>
      <c r="V288" s="596"/>
      <c r="W288" s="151"/>
      <c r="X288" s="151"/>
    </row>
    <row r="289" spans="1:24">
      <c r="A289" s="591"/>
      <c r="B289" s="598" t="s">
        <v>266</v>
      </c>
      <c r="C289" s="599">
        <v>41452.940786885243</v>
      </c>
      <c r="D289" s="151">
        <v>52735.63636363636</v>
      </c>
      <c r="E289" s="151">
        <v>47014.362912758617</v>
      </c>
      <c r="F289" s="151">
        <v>45691.972727272725</v>
      </c>
      <c r="G289" s="151">
        <v>63118.142857142855</v>
      </c>
      <c r="H289" s="151">
        <v>0</v>
      </c>
      <c r="I289" s="599">
        <v>45334.801016849015</v>
      </c>
      <c r="J289" s="599">
        <v>50403.653784501847</v>
      </c>
      <c r="K289" s="151">
        <v>51477.189552373093</v>
      </c>
      <c r="L289" s="151">
        <v>44631.546072395839</v>
      </c>
      <c r="M289" s="151">
        <v>39822.267738957817</v>
      </c>
      <c r="N289" s="599">
        <v>0</v>
      </c>
      <c r="O289" s="599">
        <v>48564.585312123883</v>
      </c>
      <c r="P289" s="599">
        <v>0</v>
      </c>
      <c r="Q289" s="151">
        <v>0</v>
      </c>
      <c r="R289" s="599">
        <v>0</v>
      </c>
      <c r="S289" s="599">
        <v>0</v>
      </c>
      <c r="T289" s="599"/>
      <c r="U289" s="599"/>
      <c r="V289" s="599"/>
      <c r="W289" s="151"/>
      <c r="X289" s="151"/>
    </row>
    <row r="290" spans="1:24">
      <c r="A290" s="591"/>
      <c r="B290" s="600" t="s">
        <v>268</v>
      </c>
      <c r="C290" s="602">
        <v>7.4295830231302427</v>
      </c>
      <c r="D290" s="601">
        <v>5.1883161568108997</v>
      </c>
      <c r="E290" s="601">
        <v>0.17789097830284034</v>
      </c>
      <c r="F290" s="601">
        <v>-4.1886461861827167</v>
      </c>
      <c r="G290" s="601">
        <v>12.540400343484503</v>
      </c>
      <c r="H290" s="601">
        <v>0</v>
      </c>
      <c r="I290" s="602">
        <v>1.3453174954036873</v>
      </c>
      <c r="J290" s="602">
        <v>0.49127440664939059</v>
      </c>
      <c r="K290" s="601">
        <v>12.459260636477357</v>
      </c>
      <c r="L290" s="601">
        <v>11.462198174104357</v>
      </c>
      <c r="M290" s="601">
        <v>-2.8196317742300501</v>
      </c>
      <c r="N290" s="602">
        <v>0</v>
      </c>
      <c r="O290" s="602">
        <v>8.1473415705891252</v>
      </c>
      <c r="P290" s="602">
        <v>0</v>
      </c>
      <c r="Q290" s="601">
        <v>0</v>
      </c>
      <c r="R290" s="602">
        <v>0</v>
      </c>
      <c r="S290" s="602">
        <v>0</v>
      </c>
      <c r="T290" s="602"/>
      <c r="U290" s="602"/>
      <c r="V290" s="602"/>
      <c r="W290" s="606"/>
      <c r="X290" s="606"/>
    </row>
    <row r="291" spans="1:24">
      <c r="A291" s="591"/>
      <c r="B291" s="589" t="s">
        <v>270</v>
      </c>
      <c r="C291" s="596">
        <v>52816.444034630345</v>
      </c>
      <c r="D291" s="597">
        <v>48761.276150627615</v>
      </c>
      <c r="E291" s="597">
        <v>47719.746773443359</v>
      </c>
      <c r="F291" s="597">
        <v>46526.974358974359</v>
      </c>
      <c r="G291" s="597">
        <v>46604.464996428571</v>
      </c>
      <c r="H291" s="597">
        <v>50378.985159999997</v>
      </c>
      <c r="I291" s="596">
        <v>50114.917028841744</v>
      </c>
      <c r="J291" s="596">
        <v>0</v>
      </c>
      <c r="K291" s="597">
        <v>41507.137931034486</v>
      </c>
      <c r="L291" s="597">
        <v>21858.349366666665</v>
      </c>
      <c r="M291" s="597">
        <v>27219.686999999998</v>
      </c>
      <c r="N291" s="596">
        <v>0</v>
      </c>
      <c r="O291" s="596">
        <v>39287.931366666664</v>
      </c>
      <c r="P291" s="596">
        <v>0</v>
      </c>
      <c r="Q291" s="597">
        <v>0</v>
      </c>
      <c r="R291" s="596">
        <v>0</v>
      </c>
      <c r="S291" s="596">
        <v>0</v>
      </c>
      <c r="T291" s="596"/>
      <c r="U291" s="596"/>
      <c r="V291" s="596"/>
      <c r="W291" s="151"/>
      <c r="X291" s="151"/>
    </row>
    <row r="292" spans="1:24">
      <c r="A292" s="591"/>
      <c r="B292" s="598" t="s">
        <v>272</v>
      </c>
      <c r="C292" s="599">
        <v>50209.11188442292</v>
      </c>
      <c r="D292" s="151">
        <v>39784.028985507248</v>
      </c>
      <c r="E292" s="151">
        <v>44975.062975025801</v>
      </c>
      <c r="F292" s="151">
        <v>42076.205128205125</v>
      </c>
      <c r="G292" s="151">
        <v>48038.978165714281</v>
      </c>
      <c r="H292" s="151">
        <v>48810.286595454549</v>
      </c>
      <c r="I292" s="599">
        <v>46449.127979209683</v>
      </c>
      <c r="J292" s="599">
        <v>0</v>
      </c>
      <c r="K292" s="151">
        <v>37581.649122077921</v>
      </c>
      <c r="L292" s="151">
        <v>0</v>
      </c>
      <c r="M292" s="151">
        <v>0</v>
      </c>
      <c r="N292" s="599">
        <v>0</v>
      </c>
      <c r="O292" s="599">
        <v>37581.649122077921</v>
      </c>
      <c r="P292" s="599">
        <v>0</v>
      </c>
      <c r="Q292" s="151">
        <v>0</v>
      </c>
      <c r="R292" s="599">
        <v>0</v>
      </c>
      <c r="S292" s="599">
        <v>0</v>
      </c>
      <c r="T292" s="599"/>
      <c r="U292" s="599"/>
      <c r="V292" s="599"/>
      <c r="W292" s="151"/>
      <c r="X292" s="151"/>
    </row>
    <row r="293" spans="1:24">
      <c r="A293" s="591"/>
      <c r="B293" s="600" t="s">
        <v>274</v>
      </c>
      <c r="C293" s="602">
        <v>-4.9365916200224804</v>
      </c>
      <c r="D293" s="601">
        <v>-18.410607502127114</v>
      </c>
      <c r="E293" s="601">
        <v>-5.7516730158865998</v>
      </c>
      <c r="F293" s="601">
        <v>-9.565997557523847</v>
      </c>
      <c r="G293" s="601">
        <v>3.0780595151036301</v>
      </c>
      <c r="H293" s="601">
        <v>-3.113795483500462</v>
      </c>
      <c r="I293" s="602">
        <v>-7.314766275123942</v>
      </c>
      <c r="J293" s="602">
        <v>0</v>
      </c>
      <c r="K293" s="601">
        <v>-9.4573825241309031</v>
      </c>
      <c r="L293" s="601">
        <v>-100</v>
      </c>
      <c r="M293" s="601">
        <v>-100</v>
      </c>
      <c r="N293" s="602">
        <v>0</v>
      </c>
      <c r="O293" s="602">
        <v>-4.3430187979721842</v>
      </c>
      <c r="P293" s="602">
        <v>0</v>
      </c>
      <c r="Q293" s="601">
        <v>0</v>
      </c>
      <c r="R293" s="602">
        <v>0</v>
      </c>
      <c r="S293" s="602">
        <v>0</v>
      </c>
      <c r="T293" s="602"/>
      <c r="U293" s="602"/>
      <c r="V293" s="602"/>
      <c r="W293" s="606"/>
      <c r="X293" s="606"/>
    </row>
    <row r="294" spans="1:24">
      <c r="A294" s="591"/>
      <c r="B294" s="589" t="s">
        <v>276</v>
      </c>
      <c r="C294" s="596">
        <v>0</v>
      </c>
      <c r="D294" s="597">
        <v>0</v>
      </c>
      <c r="E294" s="597">
        <v>0</v>
      </c>
      <c r="F294" s="597">
        <v>0</v>
      </c>
      <c r="G294" s="597">
        <v>0</v>
      </c>
      <c r="H294" s="597">
        <v>0</v>
      </c>
      <c r="I294" s="596">
        <v>0</v>
      </c>
      <c r="J294" s="596">
        <v>43779.210371428569</v>
      </c>
      <c r="K294" s="597">
        <v>55770.090052488958</v>
      </c>
      <c r="L294" s="597">
        <v>50101.879825218741</v>
      </c>
      <c r="M294" s="597">
        <v>43763.047539805833</v>
      </c>
      <c r="N294" s="596">
        <v>0</v>
      </c>
      <c r="O294" s="596">
        <v>53506.141078891342</v>
      </c>
      <c r="P294" s="596">
        <v>0</v>
      </c>
      <c r="Q294" s="597">
        <v>0</v>
      </c>
      <c r="R294" s="596">
        <v>0</v>
      </c>
      <c r="S294" s="596">
        <v>0</v>
      </c>
      <c r="T294" s="596"/>
      <c r="U294" s="596"/>
      <c r="V294" s="596"/>
      <c r="W294" s="151"/>
      <c r="X294" s="151"/>
    </row>
    <row r="295" spans="1:24">
      <c r="A295" s="591"/>
      <c r="B295" s="598" t="s">
        <v>278</v>
      </c>
      <c r="C295" s="599">
        <v>63809.16850872818</v>
      </c>
      <c r="D295" s="151">
        <v>58538.320512820515</v>
      </c>
      <c r="E295" s="151">
        <v>52013.500569387754</v>
      </c>
      <c r="F295" s="151">
        <v>59072.076923076922</v>
      </c>
      <c r="G295" s="151">
        <v>57923.333333333336</v>
      </c>
      <c r="H295" s="151">
        <v>0</v>
      </c>
      <c r="I295" s="599">
        <v>59617.222817548391</v>
      </c>
      <c r="J295" s="599">
        <v>42315.667600000008</v>
      </c>
      <c r="K295" s="151">
        <v>55911.10493442772</v>
      </c>
      <c r="L295" s="151">
        <v>52219.53381450216</v>
      </c>
      <c r="M295" s="151">
        <v>0</v>
      </c>
      <c r="N295" s="599">
        <v>0</v>
      </c>
      <c r="O295" s="599">
        <v>54784.776866112006</v>
      </c>
      <c r="P295" s="599">
        <v>0</v>
      </c>
      <c r="Q295" s="151">
        <v>0</v>
      </c>
      <c r="R295" s="599">
        <v>0</v>
      </c>
      <c r="S295" s="599">
        <v>0</v>
      </c>
      <c r="T295" s="599"/>
      <c r="U295" s="599"/>
      <c r="V295" s="599"/>
      <c r="W295" s="151"/>
      <c r="X295" s="151"/>
    </row>
    <row r="296" spans="1:24">
      <c r="A296" s="591"/>
      <c r="B296" s="600" t="s">
        <v>280</v>
      </c>
      <c r="C296" s="602">
        <v>0</v>
      </c>
      <c r="D296" s="601">
        <v>0</v>
      </c>
      <c r="E296" s="601">
        <v>0</v>
      </c>
      <c r="F296" s="601">
        <v>0</v>
      </c>
      <c r="G296" s="601">
        <v>0</v>
      </c>
      <c r="H296" s="601">
        <v>0</v>
      </c>
      <c r="I296" s="602">
        <v>0</v>
      </c>
      <c r="J296" s="602">
        <v>-3.343008608450615</v>
      </c>
      <c r="K296" s="601">
        <v>0.25285037518505504</v>
      </c>
      <c r="L296" s="601">
        <v>4.2266956782278244</v>
      </c>
      <c r="M296" s="601">
        <v>-100</v>
      </c>
      <c r="N296" s="602">
        <v>0</v>
      </c>
      <c r="O296" s="602">
        <v>2.3896991288072873</v>
      </c>
      <c r="P296" s="602">
        <v>0</v>
      </c>
      <c r="Q296" s="601">
        <v>0</v>
      </c>
      <c r="R296" s="602">
        <v>0</v>
      </c>
      <c r="S296" s="602">
        <v>0</v>
      </c>
      <c r="T296" s="602"/>
      <c r="U296" s="602"/>
      <c r="V296" s="602"/>
      <c r="W296" s="606"/>
      <c r="X296" s="606"/>
    </row>
    <row r="297" spans="1:24">
      <c r="A297" s="591"/>
      <c r="B297" s="589" t="s">
        <v>282</v>
      </c>
      <c r="C297" s="596">
        <v>87134.146502431191</v>
      </c>
      <c r="D297" s="597">
        <v>71913.133333333331</v>
      </c>
      <c r="E297" s="597">
        <v>63656.897633920511</v>
      </c>
      <c r="F297" s="597">
        <v>67800.679385416661</v>
      </c>
      <c r="G297" s="597">
        <v>62441.159568965515</v>
      </c>
      <c r="H297" s="597">
        <v>67833.889730526309</v>
      </c>
      <c r="I297" s="596">
        <v>76261.234018070681</v>
      </c>
      <c r="J297" s="596">
        <v>51563.563213241381</v>
      </c>
      <c r="K297" s="597">
        <v>55893.740439594279</v>
      </c>
      <c r="L297" s="597">
        <v>48357.189551877134</v>
      </c>
      <c r="M297" s="597">
        <v>43316.123463971882</v>
      </c>
      <c r="N297" s="596">
        <v>0</v>
      </c>
      <c r="O297" s="596">
        <v>53284.073586265818</v>
      </c>
      <c r="P297" s="596">
        <v>0</v>
      </c>
      <c r="Q297" s="597">
        <v>0</v>
      </c>
      <c r="R297" s="596">
        <v>0</v>
      </c>
      <c r="S297" s="596">
        <v>0</v>
      </c>
      <c r="T297" s="596"/>
      <c r="U297" s="596"/>
      <c r="V297" s="596"/>
      <c r="W297" s="151"/>
      <c r="X297" s="151"/>
    </row>
    <row r="298" spans="1:24">
      <c r="A298" s="591"/>
      <c r="B298" s="598" t="s">
        <v>284</v>
      </c>
      <c r="C298" s="599">
        <v>86738.150747194028</v>
      </c>
      <c r="D298" s="151">
        <v>69731.238782877772</v>
      </c>
      <c r="E298" s="151">
        <v>64249.899436168693</v>
      </c>
      <c r="F298" s="151">
        <v>67554.481202539682</v>
      </c>
      <c r="G298" s="151">
        <v>66023.013969759457</v>
      </c>
      <c r="H298" s="151">
        <v>66184.392401999998</v>
      </c>
      <c r="I298" s="599">
        <v>75977.00008845485</v>
      </c>
      <c r="J298" s="599">
        <v>51946.065672823221</v>
      </c>
      <c r="K298" s="151">
        <v>56414.085521503694</v>
      </c>
      <c r="L298" s="151">
        <v>48412.433266423359</v>
      </c>
      <c r="M298" s="151">
        <v>43517.247016271191</v>
      </c>
      <c r="N298" s="599">
        <v>0</v>
      </c>
      <c r="O298" s="599">
        <v>53774.019832766913</v>
      </c>
      <c r="P298" s="599">
        <v>0</v>
      </c>
      <c r="Q298" s="151">
        <v>0</v>
      </c>
      <c r="R298" s="599">
        <v>0</v>
      </c>
      <c r="S298" s="599">
        <v>0</v>
      </c>
      <c r="T298" s="599"/>
      <c r="U298" s="599"/>
      <c r="V298" s="599"/>
      <c r="W298" s="151"/>
      <c r="X298" s="151"/>
    </row>
    <row r="299" spans="1:24">
      <c r="A299" s="591"/>
      <c r="B299" s="600" t="s">
        <v>286</v>
      </c>
      <c r="C299" s="602">
        <v>-0.45446678613660885</v>
      </c>
      <c r="D299" s="601">
        <v>-3.0340696466972088</v>
      </c>
      <c r="E299" s="601">
        <v>0.93155938207738243</v>
      </c>
      <c r="F299" s="601">
        <v>-0.36312052491015839</v>
      </c>
      <c r="G299" s="601">
        <v>5.7363675266757754</v>
      </c>
      <c r="H299" s="601">
        <v>-2.4316714478250119</v>
      </c>
      <c r="I299" s="602">
        <v>-0.3727108973197053</v>
      </c>
      <c r="J299" s="602">
        <v>0.74180765592167985</v>
      </c>
      <c r="K299" s="601">
        <v>0.93095412440998415</v>
      </c>
      <c r="L299" s="601">
        <v>0.11424095374062129</v>
      </c>
      <c r="M299" s="601">
        <v>0.46431567789438166</v>
      </c>
      <c r="N299" s="602">
        <v>0</v>
      </c>
      <c r="O299" s="602">
        <v>0.91949847961207731</v>
      </c>
      <c r="P299" s="602">
        <v>0</v>
      </c>
      <c r="Q299" s="601">
        <v>0</v>
      </c>
      <c r="R299" s="602">
        <v>0</v>
      </c>
      <c r="S299" s="602">
        <v>0</v>
      </c>
      <c r="T299" s="602"/>
      <c r="U299" s="602"/>
      <c r="V299" s="602"/>
      <c r="W299" s="606"/>
      <c r="X299" s="606"/>
    </row>
    <row r="300" spans="1:24">
      <c r="A300" s="595" t="s">
        <v>344</v>
      </c>
      <c r="B300" s="589" t="s">
        <v>246</v>
      </c>
      <c r="C300" s="596">
        <v>123207.05297099538</v>
      </c>
      <c r="D300" s="597">
        <v>111853.59765945945</v>
      </c>
      <c r="E300" s="597">
        <v>85936.41734005764</v>
      </c>
      <c r="F300" s="597">
        <v>78210.581901204816</v>
      </c>
      <c r="G300" s="597">
        <v>84569.322372670809</v>
      </c>
      <c r="H300" s="597">
        <v>77478</v>
      </c>
      <c r="I300" s="596">
        <v>110961.64908872974</v>
      </c>
      <c r="J300" s="596">
        <v>0</v>
      </c>
      <c r="K300" s="597">
        <v>0</v>
      </c>
      <c r="L300" s="597">
        <v>0</v>
      </c>
      <c r="M300" s="597">
        <v>67735</v>
      </c>
      <c r="N300" s="596">
        <v>67061.509174603169</v>
      </c>
      <c r="O300" s="596">
        <v>67074.978991111115</v>
      </c>
      <c r="P300" s="596">
        <v>0</v>
      </c>
      <c r="Q300" s="597">
        <v>0</v>
      </c>
      <c r="R300" s="596">
        <v>0</v>
      </c>
      <c r="S300" s="596">
        <v>0</v>
      </c>
      <c r="T300" s="596"/>
      <c r="U300" s="596"/>
      <c r="V300" s="596"/>
      <c r="W300" s="151"/>
      <c r="X300" s="151"/>
    </row>
    <row r="301" spans="1:24">
      <c r="A301" s="591"/>
      <c r="B301" s="598" t="s">
        <v>248</v>
      </c>
      <c r="C301" s="599">
        <v>124562.97476737683</v>
      </c>
      <c r="D301" s="151">
        <v>110920.92847844037</v>
      </c>
      <c r="E301" s="151">
        <v>85482.336975722545</v>
      </c>
      <c r="F301" s="151">
        <v>77045.231320731706</v>
      </c>
      <c r="G301" s="151">
        <v>84582.84585185186</v>
      </c>
      <c r="H301" s="151">
        <v>73928</v>
      </c>
      <c r="I301" s="599">
        <v>111377.68054619484</v>
      </c>
      <c r="J301" s="599">
        <v>0</v>
      </c>
      <c r="K301" s="151">
        <v>0</v>
      </c>
      <c r="L301" s="151">
        <v>0</v>
      </c>
      <c r="M301" s="151">
        <v>68644</v>
      </c>
      <c r="N301" s="599">
        <v>66627.342043243247</v>
      </c>
      <c r="O301" s="599">
        <v>66667.408095364241</v>
      </c>
      <c r="P301" s="599">
        <v>0</v>
      </c>
      <c r="Q301" s="151">
        <v>0</v>
      </c>
      <c r="R301" s="599">
        <v>0</v>
      </c>
      <c r="S301" s="599">
        <v>0</v>
      </c>
      <c r="T301" s="599"/>
      <c r="U301" s="599"/>
      <c r="V301" s="599"/>
      <c r="W301" s="151"/>
      <c r="X301" s="151"/>
    </row>
    <row r="302" spans="1:24">
      <c r="A302" s="591"/>
      <c r="B302" s="600" t="s">
        <v>250</v>
      </c>
      <c r="C302" s="602">
        <v>1.1005228707975401</v>
      </c>
      <c r="D302" s="601">
        <v>-0.83383029293220645</v>
      </c>
      <c r="E302" s="601">
        <v>-0.52839108074317465</v>
      </c>
      <c r="F302" s="601">
        <v>-1.4900165069033431</v>
      </c>
      <c r="G302" s="601">
        <v>1.5990998628860952E-2</v>
      </c>
      <c r="H302" s="601">
        <v>-4.5819458426908284</v>
      </c>
      <c r="I302" s="602">
        <v>0.37493265545505872</v>
      </c>
      <c r="J302" s="602">
        <v>0</v>
      </c>
      <c r="K302" s="601">
        <v>0</v>
      </c>
      <c r="L302" s="601">
        <v>0</v>
      </c>
      <c r="M302" s="601">
        <v>1.3419945375359859</v>
      </c>
      <c r="N302" s="602">
        <v>-0.64741628499518622</v>
      </c>
      <c r="O302" s="602">
        <v>-0.60763477212700445</v>
      </c>
      <c r="P302" s="602">
        <v>0</v>
      </c>
      <c r="Q302" s="601">
        <v>0</v>
      </c>
      <c r="R302" s="602">
        <v>0</v>
      </c>
      <c r="S302" s="602">
        <v>0</v>
      </c>
      <c r="T302" s="602"/>
      <c r="U302" s="602"/>
      <c r="V302" s="602"/>
      <c r="W302" s="606"/>
      <c r="X302" s="606"/>
    </row>
    <row r="303" spans="1:24">
      <c r="A303" s="591"/>
      <c r="B303" s="589" t="s">
        <v>252</v>
      </c>
      <c r="C303" s="596">
        <v>83844.053434898276</v>
      </c>
      <c r="D303" s="597">
        <v>79828.073854183269</v>
      </c>
      <c r="E303" s="597">
        <v>68143.314082517478</v>
      </c>
      <c r="F303" s="597">
        <v>64249.415081111118</v>
      </c>
      <c r="G303" s="597">
        <v>67210.324034703197</v>
      </c>
      <c r="H303" s="597">
        <v>58292</v>
      </c>
      <c r="I303" s="596">
        <v>78087.085054355688</v>
      </c>
      <c r="J303" s="596">
        <v>0</v>
      </c>
      <c r="K303" s="597">
        <v>0</v>
      </c>
      <c r="L303" s="597">
        <v>0</v>
      </c>
      <c r="M303" s="597">
        <v>52755</v>
      </c>
      <c r="N303" s="596">
        <v>59854.92848222566</v>
      </c>
      <c r="O303" s="596">
        <v>59683.587825037706</v>
      </c>
      <c r="P303" s="596">
        <v>0</v>
      </c>
      <c r="Q303" s="597">
        <v>0</v>
      </c>
      <c r="R303" s="596">
        <v>0</v>
      </c>
      <c r="S303" s="596">
        <v>0</v>
      </c>
      <c r="T303" s="596"/>
      <c r="U303" s="596"/>
      <c r="V303" s="596"/>
      <c r="W303" s="151"/>
      <c r="X303" s="151"/>
    </row>
    <row r="304" spans="1:24">
      <c r="A304" s="591"/>
      <c r="B304" s="598" t="s">
        <v>254</v>
      </c>
      <c r="C304" s="599">
        <v>83612.139426893351</v>
      </c>
      <c r="D304" s="151">
        <v>79487.967066122452</v>
      </c>
      <c r="E304" s="151">
        <v>67418.976030240548</v>
      </c>
      <c r="F304" s="151">
        <v>64667.430417204305</v>
      </c>
      <c r="G304" s="151">
        <v>66362.585065789477</v>
      </c>
      <c r="H304" s="151">
        <v>60041</v>
      </c>
      <c r="I304" s="599">
        <v>77705.375201826842</v>
      </c>
      <c r="J304" s="599">
        <v>0</v>
      </c>
      <c r="K304" s="151">
        <v>0</v>
      </c>
      <c r="L304" s="151">
        <v>0</v>
      </c>
      <c r="M304" s="151">
        <v>52611</v>
      </c>
      <c r="N304" s="599">
        <v>59645.546077961015</v>
      </c>
      <c r="O304" s="599">
        <v>59511.062108823528</v>
      </c>
      <c r="P304" s="599">
        <v>0</v>
      </c>
      <c r="Q304" s="151">
        <v>0</v>
      </c>
      <c r="R304" s="599">
        <v>0</v>
      </c>
      <c r="S304" s="599">
        <v>0</v>
      </c>
      <c r="T304" s="599"/>
      <c r="U304" s="599"/>
      <c r="V304" s="599"/>
      <c r="W304" s="151"/>
      <c r="X304" s="151"/>
    </row>
    <row r="305" spans="1:24">
      <c r="A305" s="591"/>
      <c r="B305" s="600" t="s">
        <v>256</v>
      </c>
      <c r="C305" s="602">
        <v>-0.27660161753152596</v>
      </c>
      <c r="D305" s="601">
        <v>-0.42604909731640012</v>
      </c>
      <c r="E305" s="601">
        <v>-1.062962760220026</v>
      </c>
      <c r="F305" s="601">
        <v>0.65061345004536986</v>
      </c>
      <c r="G305" s="601">
        <v>-1.2613225439532185</v>
      </c>
      <c r="H305" s="601">
        <v>3.000411720304673</v>
      </c>
      <c r="I305" s="602">
        <v>-0.48882584394479706</v>
      </c>
      <c r="J305" s="602">
        <v>0</v>
      </c>
      <c r="K305" s="601">
        <v>0</v>
      </c>
      <c r="L305" s="601">
        <v>0</v>
      </c>
      <c r="M305" s="601">
        <v>-0.2729599090133637</v>
      </c>
      <c r="N305" s="602">
        <v>-0.3498164805707224</v>
      </c>
      <c r="O305" s="602">
        <v>-0.28906726706835645</v>
      </c>
      <c r="P305" s="602">
        <v>0</v>
      </c>
      <c r="Q305" s="601">
        <v>0</v>
      </c>
      <c r="R305" s="602">
        <v>0</v>
      </c>
      <c r="S305" s="602">
        <v>0</v>
      </c>
      <c r="T305" s="602"/>
      <c r="U305" s="602"/>
      <c r="V305" s="602"/>
      <c r="W305" s="606"/>
      <c r="X305" s="606"/>
    </row>
    <row r="306" spans="1:24">
      <c r="A306" s="591"/>
      <c r="B306" s="589" t="s">
        <v>258</v>
      </c>
      <c r="C306" s="596">
        <v>70490.984317516224</v>
      </c>
      <c r="D306" s="597">
        <v>64296.518122630565</v>
      </c>
      <c r="E306" s="597">
        <v>57600.504485790887</v>
      </c>
      <c r="F306" s="597">
        <v>58814.021050000003</v>
      </c>
      <c r="G306" s="597">
        <v>54921.659481481482</v>
      </c>
      <c r="H306" s="597">
        <v>53792</v>
      </c>
      <c r="I306" s="596">
        <v>64591.00046001649</v>
      </c>
      <c r="J306" s="596">
        <v>0</v>
      </c>
      <c r="K306" s="597">
        <v>0</v>
      </c>
      <c r="L306" s="597">
        <v>0</v>
      </c>
      <c r="M306" s="597">
        <v>46917</v>
      </c>
      <c r="N306" s="596">
        <v>53790.272049484542</v>
      </c>
      <c r="O306" s="596">
        <v>53710.233947016015</v>
      </c>
      <c r="P306" s="596">
        <v>0</v>
      </c>
      <c r="Q306" s="597">
        <v>0</v>
      </c>
      <c r="R306" s="596">
        <v>0</v>
      </c>
      <c r="S306" s="596">
        <v>0</v>
      </c>
      <c r="T306" s="596"/>
      <c r="U306" s="596"/>
      <c r="V306" s="596"/>
      <c r="W306" s="151"/>
      <c r="X306" s="151"/>
    </row>
    <row r="307" spans="1:24">
      <c r="A307" s="591"/>
      <c r="B307" s="598" t="s">
        <v>260</v>
      </c>
      <c r="C307" s="599">
        <v>70740.197485657773</v>
      </c>
      <c r="D307" s="151">
        <v>63569.842314677102</v>
      </c>
      <c r="E307" s="151">
        <v>57954.094877134987</v>
      </c>
      <c r="F307" s="151">
        <v>59925.404501851852</v>
      </c>
      <c r="G307" s="151">
        <v>54787.940816326533</v>
      </c>
      <c r="H307" s="151">
        <v>55810</v>
      </c>
      <c r="I307" s="599">
        <v>64669.136509969787</v>
      </c>
      <c r="J307" s="599">
        <v>0</v>
      </c>
      <c r="K307" s="151">
        <v>0</v>
      </c>
      <c r="L307" s="151">
        <v>0</v>
      </c>
      <c r="M307" s="151">
        <v>44964</v>
      </c>
      <c r="N307" s="599">
        <v>53746.541438067346</v>
      </c>
      <c r="O307" s="599">
        <v>53607.336890778097</v>
      </c>
      <c r="P307" s="599">
        <v>0</v>
      </c>
      <c r="Q307" s="151">
        <v>0</v>
      </c>
      <c r="R307" s="599">
        <v>0</v>
      </c>
      <c r="S307" s="599">
        <v>0</v>
      </c>
      <c r="T307" s="599"/>
      <c r="U307" s="599"/>
      <c r="V307" s="599"/>
      <c r="W307" s="151"/>
      <c r="X307" s="151"/>
    </row>
    <row r="308" spans="1:24">
      <c r="A308" s="591"/>
      <c r="B308" s="600" t="s">
        <v>262</v>
      </c>
      <c r="C308" s="602">
        <v>0.35353906681030955</v>
      </c>
      <c r="D308" s="601">
        <v>-1.130194649992553</v>
      </c>
      <c r="E308" s="601">
        <v>0.61386683068257641</v>
      </c>
      <c r="F308" s="601">
        <v>1.8896573164195321</v>
      </c>
      <c r="G308" s="601">
        <v>-0.24347164018238826</v>
      </c>
      <c r="H308" s="601">
        <v>3.7514872099940511</v>
      </c>
      <c r="I308" s="602">
        <v>0.12097049031105325</v>
      </c>
      <c r="J308" s="602">
        <v>0</v>
      </c>
      <c r="K308" s="601">
        <v>0</v>
      </c>
      <c r="L308" s="601">
        <v>0</v>
      </c>
      <c r="M308" s="601">
        <v>-4.1626702474582773</v>
      </c>
      <c r="N308" s="602">
        <v>-8.129836446442408E-2</v>
      </c>
      <c r="O308" s="602">
        <v>-0.1915781196176205</v>
      </c>
      <c r="P308" s="602">
        <v>0</v>
      </c>
      <c r="Q308" s="601">
        <v>0</v>
      </c>
      <c r="R308" s="602">
        <v>0</v>
      </c>
      <c r="S308" s="602">
        <v>0</v>
      </c>
      <c r="T308" s="602"/>
      <c r="U308" s="602"/>
      <c r="V308" s="602"/>
      <c r="W308" s="606"/>
      <c r="X308" s="606"/>
    </row>
    <row r="309" spans="1:24">
      <c r="A309" s="591"/>
      <c r="B309" s="589" t="s">
        <v>264</v>
      </c>
      <c r="C309" s="596">
        <v>48026.807789130435</v>
      </c>
      <c r="D309" s="597">
        <v>47324.746737288137</v>
      </c>
      <c r="E309" s="597">
        <v>49901.218809411759</v>
      </c>
      <c r="F309" s="597">
        <v>49927.85821111111</v>
      </c>
      <c r="G309" s="597">
        <v>49630.759451999998</v>
      </c>
      <c r="H309" s="597">
        <v>43310</v>
      </c>
      <c r="I309" s="596">
        <v>48355.272898424242</v>
      </c>
      <c r="J309" s="596">
        <v>0</v>
      </c>
      <c r="K309" s="597">
        <v>0</v>
      </c>
      <c r="L309" s="597">
        <v>0</v>
      </c>
      <c r="M309" s="597">
        <v>0</v>
      </c>
      <c r="N309" s="596">
        <v>47982.438270297032</v>
      </c>
      <c r="O309" s="596">
        <v>47982.438270297032</v>
      </c>
      <c r="P309" s="596">
        <v>0</v>
      </c>
      <c r="Q309" s="597">
        <v>0</v>
      </c>
      <c r="R309" s="596">
        <v>0</v>
      </c>
      <c r="S309" s="596">
        <v>0</v>
      </c>
      <c r="T309" s="596"/>
      <c r="U309" s="596"/>
      <c r="V309" s="596"/>
      <c r="W309" s="151"/>
      <c r="X309" s="151"/>
    </row>
    <row r="310" spans="1:24">
      <c r="A310" s="591"/>
      <c r="B310" s="598" t="s">
        <v>266</v>
      </c>
      <c r="C310" s="599">
        <v>47680.821794520547</v>
      </c>
      <c r="D310" s="151">
        <v>46906.614709489048</v>
      </c>
      <c r="E310" s="151">
        <v>50141.416991999999</v>
      </c>
      <c r="F310" s="151">
        <v>49267.273852054794</v>
      </c>
      <c r="G310" s="151">
        <v>50665.326777142858</v>
      </c>
      <c r="H310" s="151">
        <v>43276.902727272725</v>
      </c>
      <c r="I310" s="599">
        <v>48173.439396909496</v>
      </c>
      <c r="J310" s="599">
        <v>0</v>
      </c>
      <c r="K310" s="151">
        <v>0</v>
      </c>
      <c r="L310" s="151">
        <v>0</v>
      </c>
      <c r="M310" s="151">
        <v>0</v>
      </c>
      <c r="N310" s="599">
        <v>48175.76580696056</v>
      </c>
      <c r="O310" s="599">
        <v>48175.76580696056</v>
      </c>
      <c r="P310" s="599">
        <v>0</v>
      </c>
      <c r="Q310" s="151">
        <v>0</v>
      </c>
      <c r="R310" s="599">
        <v>0</v>
      </c>
      <c r="S310" s="599">
        <v>0</v>
      </c>
      <c r="T310" s="599"/>
      <c r="U310" s="599"/>
      <c r="V310" s="599"/>
      <c r="W310" s="151"/>
      <c r="X310" s="151"/>
    </row>
    <row r="311" spans="1:24">
      <c r="A311" s="591"/>
      <c r="B311" s="600" t="s">
        <v>268</v>
      </c>
      <c r="C311" s="602">
        <v>-0.7204018141888503</v>
      </c>
      <c r="D311" s="601">
        <v>-0.88353780342501909</v>
      </c>
      <c r="E311" s="601">
        <v>0.48134732641627614</v>
      </c>
      <c r="F311" s="601">
        <v>-1.3230777019577973</v>
      </c>
      <c r="G311" s="601">
        <v>2.0845284991929924</v>
      </c>
      <c r="H311" s="601">
        <v>-7.6419470624046845E-2</v>
      </c>
      <c r="I311" s="602">
        <v>-0.37603655323527557</v>
      </c>
      <c r="J311" s="602">
        <v>0</v>
      </c>
      <c r="K311" s="601">
        <v>0</v>
      </c>
      <c r="L311" s="601">
        <v>0</v>
      </c>
      <c r="M311" s="601">
        <v>0</v>
      </c>
      <c r="N311" s="602">
        <v>0.40291311494940257</v>
      </c>
      <c r="O311" s="602">
        <v>0.40291311494940257</v>
      </c>
      <c r="P311" s="602">
        <v>0</v>
      </c>
      <c r="Q311" s="601">
        <v>0</v>
      </c>
      <c r="R311" s="602">
        <v>0</v>
      </c>
      <c r="S311" s="602">
        <v>0</v>
      </c>
      <c r="T311" s="602"/>
      <c r="U311" s="602"/>
      <c r="V311" s="602"/>
      <c r="W311" s="606"/>
      <c r="X311" s="606"/>
    </row>
    <row r="312" spans="1:24">
      <c r="A312" s="591"/>
      <c r="B312" s="589" t="s">
        <v>270</v>
      </c>
      <c r="C312" s="596">
        <v>50936.546836363632</v>
      </c>
      <c r="D312" s="597">
        <v>67950</v>
      </c>
      <c r="E312" s="597">
        <v>0</v>
      </c>
      <c r="F312" s="597">
        <v>0</v>
      </c>
      <c r="G312" s="597">
        <v>46960</v>
      </c>
      <c r="H312" s="597">
        <v>39033</v>
      </c>
      <c r="I312" s="596">
        <v>50863.538230388695</v>
      </c>
      <c r="J312" s="596">
        <v>0</v>
      </c>
      <c r="K312" s="597">
        <v>0</v>
      </c>
      <c r="L312" s="597">
        <v>0</v>
      </c>
      <c r="M312" s="597">
        <v>0</v>
      </c>
      <c r="N312" s="596">
        <v>0</v>
      </c>
      <c r="O312" s="596">
        <v>0</v>
      </c>
      <c r="P312" s="596">
        <v>0</v>
      </c>
      <c r="Q312" s="597">
        <v>0</v>
      </c>
      <c r="R312" s="596">
        <v>0</v>
      </c>
      <c r="S312" s="596">
        <v>0</v>
      </c>
      <c r="T312" s="596"/>
      <c r="U312" s="596"/>
      <c r="V312" s="596"/>
      <c r="W312" s="151"/>
      <c r="X312" s="151"/>
    </row>
    <row r="313" spans="1:24">
      <c r="A313" s="591"/>
      <c r="B313" s="598" t="s">
        <v>272</v>
      </c>
      <c r="C313" s="599">
        <v>50390.221189380536</v>
      </c>
      <c r="D313" s="151">
        <v>61880.444444444445</v>
      </c>
      <c r="E313" s="151">
        <v>0</v>
      </c>
      <c r="F313" s="151">
        <v>41342.827799999999</v>
      </c>
      <c r="G313" s="151">
        <v>47820.756097560974</v>
      </c>
      <c r="H313" s="151">
        <v>41100</v>
      </c>
      <c r="I313" s="599">
        <v>50317.294304316551</v>
      </c>
      <c r="J313" s="599">
        <v>0</v>
      </c>
      <c r="K313" s="151">
        <v>0</v>
      </c>
      <c r="L313" s="151">
        <v>0</v>
      </c>
      <c r="M313" s="151">
        <v>0</v>
      </c>
      <c r="N313" s="599">
        <v>72022.055000000008</v>
      </c>
      <c r="O313" s="599">
        <v>72022.055000000008</v>
      </c>
      <c r="P313" s="599">
        <v>0</v>
      </c>
      <c r="Q313" s="151">
        <v>0</v>
      </c>
      <c r="R313" s="599">
        <v>0</v>
      </c>
      <c r="S313" s="599">
        <v>0</v>
      </c>
      <c r="T313" s="599"/>
      <c r="U313" s="599"/>
      <c r="V313" s="599"/>
      <c r="W313" s="151"/>
      <c r="X313" s="151"/>
    </row>
    <row r="314" spans="1:24">
      <c r="A314" s="591"/>
      <c r="B314" s="600" t="s">
        <v>274</v>
      </c>
      <c r="C314" s="602">
        <v>-1.0725612176620376</v>
      </c>
      <c r="D314" s="601">
        <v>-8.9323849235549009</v>
      </c>
      <c r="E314" s="601">
        <v>0</v>
      </c>
      <c r="F314" s="601">
        <v>0</v>
      </c>
      <c r="G314" s="601">
        <v>1.8329559147380197</v>
      </c>
      <c r="H314" s="601">
        <v>5.2955191760817772</v>
      </c>
      <c r="I314" s="602">
        <v>-1.0739400857209489</v>
      </c>
      <c r="J314" s="602">
        <v>0</v>
      </c>
      <c r="K314" s="601">
        <v>0</v>
      </c>
      <c r="L314" s="601">
        <v>0</v>
      </c>
      <c r="M314" s="601">
        <v>0</v>
      </c>
      <c r="N314" s="602">
        <v>0</v>
      </c>
      <c r="O314" s="602">
        <v>0</v>
      </c>
      <c r="P314" s="602">
        <v>0</v>
      </c>
      <c r="Q314" s="601">
        <v>0</v>
      </c>
      <c r="R314" s="602">
        <v>0</v>
      </c>
      <c r="S314" s="602">
        <v>0</v>
      </c>
      <c r="T314" s="602"/>
      <c r="U314" s="602"/>
      <c r="V314" s="602"/>
      <c r="W314" s="606"/>
      <c r="X314" s="606"/>
    </row>
    <row r="315" spans="1:24">
      <c r="A315" s="591"/>
      <c r="B315" s="589" t="s">
        <v>276</v>
      </c>
      <c r="C315" s="596">
        <v>0</v>
      </c>
      <c r="D315" s="597">
        <v>0</v>
      </c>
      <c r="E315" s="597">
        <v>0</v>
      </c>
      <c r="F315" s="597">
        <v>0</v>
      </c>
      <c r="G315" s="597">
        <v>0</v>
      </c>
      <c r="H315" s="597">
        <v>0</v>
      </c>
      <c r="I315" s="596">
        <v>0</v>
      </c>
      <c r="J315" s="596">
        <v>0</v>
      </c>
      <c r="K315" s="597">
        <v>0</v>
      </c>
      <c r="L315" s="597">
        <v>0</v>
      </c>
      <c r="M315" s="597">
        <v>0</v>
      </c>
      <c r="N315" s="596">
        <v>0</v>
      </c>
      <c r="O315" s="596">
        <v>0</v>
      </c>
      <c r="P315" s="596">
        <v>0</v>
      </c>
      <c r="Q315" s="597">
        <v>0</v>
      </c>
      <c r="R315" s="596">
        <v>0</v>
      </c>
      <c r="S315" s="596">
        <v>0</v>
      </c>
      <c r="T315" s="596"/>
      <c r="U315" s="596"/>
      <c r="V315" s="596"/>
      <c r="W315" s="151"/>
      <c r="X315" s="151"/>
    </row>
    <row r="316" spans="1:24">
      <c r="A316" s="591"/>
      <c r="B316" s="598" t="s">
        <v>278</v>
      </c>
      <c r="C316" s="599">
        <v>0</v>
      </c>
      <c r="D316" s="151">
        <v>0</v>
      </c>
      <c r="E316" s="151">
        <v>0</v>
      </c>
      <c r="F316" s="151">
        <v>0</v>
      </c>
      <c r="G316" s="151">
        <v>0</v>
      </c>
      <c r="H316" s="151">
        <v>0</v>
      </c>
      <c r="I316" s="599">
        <v>0</v>
      </c>
      <c r="J316" s="599">
        <v>0</v>
      </c>
      <c r="K316" s="151">
        <v>0</v>
      </c>
      <c r="L316" s="151">
        <v>0</v>
      </c>
      <c r="M316" s="151">
        <v>0</v>
      </c>
      <c r="N316" s="599">
        <v>0</v>
      </c>
      <c r="O316" s="599">
        <v>0</v>
      </c>
      <c r="P316" s="599">
        <v>0</v>
      </c>
      <c r="Q316" s="151">
        <v>0</v>
      </c>
      <c r="R316" s="599">
        <v>0</v>
      </c>
      <c r="S316" s="599">
        <v>0</v>
      </c>
      <c r="T316" s="599"/>
      <c r="U316" s="599"/>
      <c r="V316" s="599"/>
      <c r="W316" s="151"/>
      <c r="X316" s="151"/>
    </row>
    <row r="317" spans="1:24">
      <c r="A317" s="591"/>
      <c r="B317" s="600" t="s">
        <v>280</v>
      </c>
      <c r="C317" s="602">
        <v>0</v>
      </c>
      <c r="D317" s="601">
        <v>0</v>
      </c>
      <c r="E317" s="601">
        <v>0</v>
      </c>
      <c r="F317" s="601">
        <v>0</v>
      </c>
      <c r="G317" s="601">
        <v>0</v>
      </c>
      <c r="H317" s="601">
        <v>0</v>
      </c>
      <c r="I317" s="602">
        <v>0</v>
      </c>
      <c r="J317" s="602">
        <v>0</v>
      </c>
      <c r="K317" s="601">
        <v>0</v>
      </c>
      <c r="L317" s="601">
        <v>0</v>
      </c>
      <c r="M317" s="601">
        <v>0</v>
      </c>
      <c r="N317" s="602">
        <v>0</v>
      </c>
      <c r="O317" s="602">
        <v>0</v>
      </c>
      <c r="P317" s="602">
        <v>0</v>
      </c>
      <c r="Q317" s="601">
        <v>0</v>
      </c>
      <c r="R317" s="602">
        <v>0</v>
      </c>
      <c r="S317" s="602">
        <v>0</v>
      </c>
      <c r="T317" s="602"/>
      <c r="U317" s="602"/>
      <c r="V317" s="602"/>
      <c r="W317" s="606"/>
      <c r="X317" s="606"/>
    </row>
    <row r="318" spans="1:24">
      <c r="A318" s="591"/>
      <c r="B318" s="589" t="s">
        <v>282</v>
      </c>
      <c r="C318" s="596">
        <v>90193.862815430271</v>
      </c>
      <c r="D318" s="597">
        <v>78891.825942071388</v>
      </c>
      <c r="E318" s="597">
        <v>67412.517019897947</v>
      </c>
      <c r="F318" s="597">
        <v>64426.633514511035</v>
      </c>
      <c r="G318" s="597">
        <v>64979.238374014603</v>
      </c>
      <c r="H318" s="597">
        <v>56791.451612903227</v>
      </c>
      <c r="I318" s="596">
        <v>80650.084406453097</v>
      </c>
      <c r="J318" s="596">
        <v>0</v>
      </c>
      <c r="K318" s="597">
        <v>0</v>
      </c>
      <c r="L318" s="597">
        <v>0</v>
      </c>
      <c r="M318" s="597">
        <v>55425.181818181816</v>
      </c>
      <c r="N318" s="596">
        <v>57212.696479410413</v>
      </c>
      <c r="O318" s="596">
        <v>57185.932421415615</v>
      </c>
      <c r="P318" s="596">
        <v>0</v>
      </c>
      <c r="Q318" s="597">
        <v>0</v>
      </c>
      <c r="R318" s="596">
        <v>0</v>
      </c>
      <c r="S318" s="596">
        <v>0</v>
      </c>
      <c r="T318" s="596"/>
      <c r="U318" s="596"/>
      <c r="V318" s="596"/>
      <c r="W318" s="151"/>
      <c r="X318" s="151"/>
    </row>
    <row r="319" spans="1:24">
      <c r="A319" s="591"/>
      <c r="B319" s="598" t="s">
        <v>284</v>
      </c>
      <c r="C319" s="599">
        <v>90662.896214982655</v>
      </c>
      <c r="D319" s="151">
        <v>77444.275890813951</v>
      </c>
      <c r="E319" s="151">
        <v>67240.761729702135</v>
      </c>
      <c r="F319" s="151">
        <v>64445.783102499998</v>
      </c>
      <c r="G319" s="151">
        <v>64675.395548637011</v>
      </c>
      <c r="H319" s="151">
        <v>57569.831777777785</v>
      </c>
      <c r="I319" s="599">
        <v>80471.193759384754</v>
      </c>
      <c r="J319" s="599">
        <v>0</v>
      </c>
      <c r="K319" s="151">
        <v>0</v>
      </c>
      <c r="L319" s="151">
        <v>0</v>
      </c>
      <c r="M319" s="151">
        <v>54434.63636363636</v>
      </c>
      <c r="N319" s="599">
        <v>57012.930827133881</v>
      </c>
      <c r="O319" s="599">
        <v>56975.266498981859</v>
      </c>
      <c r="P319" s="599">
        <v>0</v>
      </c>
      <c r="Q319" s="151">
        <v>0</v>
      </c>
      <c r="R319" s="599">
        <v>0</v>
      </c>
      <c r="S319" s="599">
        <v>0</v>
      </c>
      <c r="T319" s="599"/>
      <c r="U319" s="599"/>
      <c r="V319" s="599"/>
      <c r="W319" s="151"/>
      <c r="X319" s="151"/>
    </row>
    <row r="320" spans="1:24">
      <c r="A320" s="591"/>
      <c r="B320" s="600" t="s">
        <v>286</v>
      </c>
      <c r="C320" s="602">
        <v>0.52002806500504106</v>
      </c>
      <c r="D320" s="601">
        <v>-1.8348542880986707</v>
      </c>
      <c r="E320" s="601">
        <v>-0.25478249112863571</v>
      </c>
      <c r="F320" s="601">
        <v>2.9723092678200336E-2</v>
      </c>
      <c r="G320" s="601">
        <v>-0.46759985647831248</v>
      </c>
      <c r="H320" s="601">
        <v>1.3705938882846</v>
      </c>
      <c r="I320" s="602">
        <v>-0.221810861556928</v>
      </c>
      <c r="J320" s="602">
        <v>0</v>
      </c>
      <c r="K320" s="601">
        <v>0</v>
      </c>
      <c r="L320" s="601">
        <v>0</v>
      </c>
      <c r="M320" s="601">
        <v>-1.7871758324489877</v>
      </c>
      <c r="N320" s="602">
        <v>-0.34916314833792733</v>
      </c>
      <c r="O320" s="602">
        <v>-0.36838766723485977</v>
      </c>
      <c r="P320" s="602">
        <v>0</v>
      </c>
      <c r="Q320" s="601">
        <v>0</v>
      </c>
      <c r="R320" s="602">
        <v>0</v>
      </c>
      <c r="S320" s="602">
        <v>0</v>
      </c>
      <c r="T320" s="602"/>
      <c r="U320" s="602"/>
      <c r="V320" s="602"/>
      <c r="W320" s="606"/>
      <c r="X320" s="606"/>
    </row>
    <row r="321" spans="1:24">
      <c r="A321" s="595" t="s">
        <v>343</v>
      </c>
      <c r="B321" s="589" t="s">
        <v>246</v>
      </c>
      <c r="C321" s="596">
        <v>103317.23262422145</v>
      </c>
      <c r="D321" s="597">
        <v>0</v>
      </c>
      <c r="E321" s="597">
        <v>73458.074986734689</v>
      </c>
      <c r="F321" s="597">
        <v>0</v>
      </c>
      <c r="G321" s="597">
        <v>73382.709748148147</v>
      </c>
      <c r="H321" s="597">
        <v>67084.565788709675</v>
      </c>
      <c r="I321" s="596">
        <v>84810.070395942035</v>
      </c>
      <c r="J321" s="596">
        <v>58315.807079069775</v>
      </c>
      <c r="K321" s="597">
        <v>0</v>
      </c>
      <c r="L321" s="597">
        <v>0</v>
      </c>
      <c r="M321" s="597">
        <v>61608.666979746835</v>
      </c>
      <c r="N321" s="596">
        <v>0</v>
      </c>
      <c r="O321" s="596">
        <v>60448.068818032785</v>
      </c>
      <c r="P321" s="596">
        <v>0</v>
      </c>
      <c r="Q321" s="597">
        <v>0</v>
      </c>
      <c r="R321" s="596">
        <v>0</v>
      </c>
      <c r="S321" s="596">
        <v>0</v>
      </c>
      <c r="T321" s="596"/>
      <c r="U321" s="596"/>
      <c r="V321" s="596"/>
      <c r="W321" s="151"/>
      <c r="X321" s="151"/>
    </row>
    <row r="322" spans="1:24">
      <c r="A322" s="591"/>
      <c r="B322" s="598" t="s">
        <v>248</v>
      </c>
      <c r="C322" s="599">
        <v>102848.99392081912</v>
      </c>
      <c r="D322" s="151">
        <v>0</v>
      </c>
      <c r="E322" s="151">
        <v>73931.322311557786</v>
      </c>
      <c r="F322" s="151">
        <v>0</v>
      </c>
      <c r="G322" s="151">
        <v>74065.436278481007</v>
      </c>
      <c r="H322" s="151">
        <v>68109.256267716541</v>
      </c>
      <c r="I322" s="599">
        <v>85025.979041260754</v>
      </c>
      <c r="J322" s="599">
        <v>58924.09042790698</v>
      </c>
      <c r="K322" s="151">
        <v>0</v>
      </c>
      <c r="L322" s="151">
        <v>0</v>
      </c>
      <c r="M322" s="151">
        <v>62988.71161025641</v>
      </c>
      <c r="N322" s="599">
        <v>0</v>
      </c>
      <c r="O322" s="599">
        <v>61544.259454545456</v>
      </c>
      <c r="P322" s="599">
        <v>0</v>
      </c>
      <c r="Q322" s="151">
        <v>0</v>
      </c>
      <c r="R322" s="599">
        <v>0</v>
      </c>
      <c r="S322" s="599">
        <v>0</v>
      </c>
      <c r="T322" s="599"/>
      <c r="U322" s="599"/>
      <c r="V322" s="599"/>
      <c r="W322" s="151"/>
      <c r="X322" s="151"/>
    </row>
    <row r="323" spans="1:24">
      <c r="A323" s="591"/>
      <c r="B323" s="600" t="s">
        <v>250</v>
      </c>
      <c r="C323" s="602">
        <v>-0.45320484444775383</v>
      </c>
      <c r="D323" s="601">
        <v>0</v>
      </c>
      <c r="E323" s="601">
        <v>0.64424139198931751</v>
      </c>
      <c r="F323" s="601">
        <v>0</v>
      </c>
      <c r="G323" s="601">
        <v>0.93036429518070418</v>
      </c>
      <c r="H323" s="601">
        <v>1.527460850285955</v>
      </c>
      <c r="I323" s="602">
        <v>0.25457901910791236</v>
      </c>
      <c r="J323" s="602">
        <v>1.0430848500689367</v>
      </c>
      <c r="K323" s="601">
        <v>0</v>
      </c>
      <c r="L323" s="601">
        <v>0</v>
      </c>
      <c r="M323" s="601">
        <v>2.2400170270901172</v>
      </c>
      <c r="N323" s="602">
        <v>0</v>
      </c>
      <c r="O323" s="602">
        <v>1.8134419476866008</v>
      </c>
      <c r="P323" s="602">
        <v>0</v>
      </c>
      <c r="Q323" s="601">
        <v>0</v>
      </c>
      <c r="R323" s="602">
        <v>0</v>
      </c>
      <c r="S323" s="602">
        <v>0</v>
      </c>
      <c r="T323" s="602"/>
      <c r="U323" s="602"/>
      <c r="V323" s="602"/>
      <c r="W323" s="606"/>
      <c r="X323" s="606"/>
    </row>
    <row r="324" spans="1:24">
      <c r="A324" s="591"/>
      <c r="B324" s="589" t="s">
        <v>252</v>
      </c>
      <c r="C324" s="596">
        <v>74251.752683739833</v>
      </c>
      <c r="D324" s="597">
        <v>0</v>
      </c>
      <c r="E324" s="597">
        <v>60000.366038095235</v>
      </c>
      <c r="F324" s="597">
        <v>0</v>
      </c>
      <c r="G324" s="597">
        <v>60297.632169014076</v>
      </c>
      <c r="H324" s="597">
        <v>56469.73169066666</v>
      </c>
      <c r="I324" s="596">
        <v>65054.922291062394</v>
      </c>
      <c r="J324" s="596">
        <v>50941.6488875</v>
      </c>
      <c r="K324" s="597">
        <v>0</v>
      </c>
      <c r="L324" s="597">
        <v>0</v>
      </c>
      <c r="M324" s="597">
        <v>52870.81174035088</v>
      </c>
      <c r="N324" s="596">
        <v>0</v>
      </c>
      <c r="O324" s="596">
        <v>52447.981526027397</v>
      </c>
      <c r="P324" s="596">
        <v>0</v>
      </c>
      <c r="Q324" s="597">
        <v>0</v>
      </c>
      <c r="R324" s="596">
        <v>0</v>
      </c>
      <c r="S324" s="596">
        <v>0</v>
      </c>
      <c r="T324" s="596"/>
      <c r="U324" s="596"/>
      <c r="V324" s="596"/>
      <c r="W324" s="151"/>
      <c r="X324" s="151"/>
    </row>
    <row r="325" spans="1:24">
      <c r="A325" s="591"/>
      <c r="B325" s="598" t="s">
        <v>254</v>
      </c>
      <c r="C325" s="599">
        <v>74946.176752226718</v>
      </c>
      <c r="D325" s="151">
        <v>0</v>
      </c>
      <c r="E325" s="151">
        <v>60085.62837627119</v>
      </c>
      <c r="F325" s="151">
        <v>0</v>
      </c>
      <c r="G325" s="151">
        <v>61039.467475324673</v>
      </c>
      <c r="H325" s="151">
        <v>57288.1466</v>
      </c>
      <c r="I325" s="599">
        <v>65758.364294897954</v>
      </c>
      <c r="J325" s="599">
        <v>51755.033871428575</v>
      </c>
      <c r="K325" s="151">
        <v>0</v>
      </c>
      <c r="L325" s="151">
        <v>0</v>
      </c>
      <c r="M325" s="151">
        <v>53666.835214814819</v>
      </c>
      <c r="N325" s="599">
        <v>0</v>
      </c>
      <c r="O325" s="599">
        <v>53273.229055882359</v>
      </c>
      <c r="P325" s="599">
        <v>0</v>
      </c>
      <c r="Q325" s="151">
        <v>0</v>
      </c>
      <c r="R325" s="599">
        <v>0</v>
      </c>
      <c r="S325" s="599">
        <v>0</v>
      </c>
      <c r="T325" s="599"/>
      <c r="U325" s="599"/>
      <c r="V325" s="599"/>
      <c r="W325" s="151"/>
      <c r="X325" s="151"/>
    </row>
    <row r="326" spans="1:24">
      <c r="A326" s="591"/>
      <c r="B326" s="600" t="s">
        <v>256</v>
      </c>
      <c r="C326" s="602">
        <v>0.93522919444695529</v>
      </c>
      <c r="D326" s="601">
        <v>0</v>
      </c>
      <c r="E326" s="601">
        <v>0.14210303004121749</v>
      </c>
      <c r="F326" s="601">
        <v>0</v>
      </c>
      <c r="G326" s="601">
        <v>1.2302892827221388</v>
      </c>
      <c r="H326" s="601">
        <v>1.4492983848701513</v>
      </c>
      <c r="I326" s="602">
        <v>1.0813048099393441</v>
      </c>
      <c r="J326" s="602">
        <v>1.5966993642566669</v>
      </c>
      <c r="K326" s="601">
        <v>0</v>
      </c>
      <c r="L326" s="601">
        <v>0</v>
      </c>
      <c r="M326" s="601">
        <v>1.5056010079308373</v>
      </c>
      <c r="N326" s="602">
        <v>0</v>
      </c>
      <c r="O326" s="602">
        <v>1.573459084303237</v>
      </c>
      <c r="P326" s="602">
        <v>0</v>
      </c>
      <c r="Q326" s="601">
        <v>0</v>
      </c>
      <c r="R326" s="602">
        <v>0</v>
      </c>
      <c r="S326" s="602">
        <v>0</v>
      </c>
      <c r="T326" s="602"/>
      <c r="U326" s="602"/>
      <c r="V326" s="602"/>
      <c r="W326" s="606"/>
      <c r="X326" s="606"/>
    </row>
    <row r="327" spans="1:24">
      <c r="A327" s="591"/>
      <c r="B327" s="589" t="s">
        <v>258</v>
      </c>
      <c r="C327" s="596">
        <v>59835.4220244186</v>
      </c>
      <c r="D327" s="597">
        <v>0</v>
      </c>
      <c r="E327" s="597">
        <v>49028.168685714285</v>
      </c>
      <c r="F327" s="597">
        <v>0</v>
      </c>
      <c r="G327" s="597">
        <v>50934.945749999999</v>
      </c>
      <c r="H327" s="597">
        <v>48379.402579104484</v>
      </c>
      <c r="I327" s="596">
        <v>53926.174088144326</v>
      </c>
      <c r="J327" s="596">
        <v>43076.635036363637</v>
      </c>
      <c r="K327" s="597">
        <v>0</v>
      </c>
      <c r="L327" s="597">
        <v>0</v>
      </c>
      <c r="M327" s="597">
        <v>43731.953767924526</v>
      </c>
      <c r="N327" s="596">
        <v>0</v>
      </c>
      <c r="O327" s="596">
        <v>43619.3208609375</v>
      </c>
      <c r="P327" s="596">
        <v>0</v>
      </c>
      <c r="Q327" s="597">
        <v>0</v>
      </c>
      <c r="R327" s="596">
        <v>0</v>
      </c>
      <c r="S327" s="596">
        <v>0</v>
      </c>
      <c r="T327" s="596"/>
      <c r="U327" s="596"/>
      <c r="V327" s="596"/>
      <c r="W327" s="151"/>
      <c r="X327" s="151"/>
    </row>
    <row r="328" spans="1:24">
      <c r="A328" s="591"/>
      <c r="B328" s="598" t="s">
        <v>260</v>
      </c>
      <c r="C328" s="599">
        <v>60493.710709090905</v>
      </c>
      <c r="D328" s="151">
        <v>0</v>
      </c>
      <c r="E328" s="151">
        <v>51599.35602521008</v>
      </c>
      <c r="F328" s="151">
        <v>0</v>
      </c>
      <c r="G328" s="151">
        <v>50970.486221359221</v>
      </c>
      <c r="H328" s="151">
        <v>49294.949289201875</v>
      </c>
      <c r="I328" s="599">
        <v>54871.529626429481</v>
      </c>
      <c r="J328" s="599">
        <v>43577.548116666665</v>
      </c>
      <c r="K328" s="151">
        <v>0</v>
      </c>
      <c r="L328" s="151">
        <v>0</v>
      </c>
      <c r="M328" s="151">
        <v>45864.475884210529</v>
      </c>
      <c r="N328" s="599">
        <v>0</v>
      </c>
      <c r="O328" s="599">
        <v>45466.749315942034</v>
      </c>
      <c r="P328" s="599">
        <v>0</v>
      </c>
      <c r="Q328" s="151">
        <v>0</v>
      </c>
      <c r="R328" s="599">
        <v>0</v>
      </c>
      <c r="S328" s="599">
        <v>0</v>
      </c>
      <c r="T328" s="599"/>
      <c r="U328" s="599"/>
      <c r="V328" s="599"/>
      <c r="W328" s="151"/>
      <c r="X328" s="151"/>
    </row>
    <row r="329" spans="1:24">
      <c r="A329" s="591"/>
      <c r="B329" s="600" t="s">
        <v>262</v>
      </c>
      <c r="C329" s="602">
        <v>1.1001655247015054</v>
      </c>
      <c r="D329" s="601">
        <v>0</v>
      </c>
      <c r="E329" s="601">
        <v>5.244306300685837</v>
      </c>
      <c r="F329" s="601">
        <v>0</v>
      </c>
      <c r="G329" s="601">
        <v>6.9776203421639177E-2</v>
      </c>
      <c r="H329" s="601">
        <v>1.892430789322777</v>
      </c>
      <c r="I329" s="602">
        <v>1.7530550873865756</v>
      </c>
      <c r="J329" s="602">
        <v>1.1628417119400714</v>
      </c>
      <c r="K329" s="601">
        <v>0</v>
      </c>
      <c r="L329" s="601">
        <v>0</v>
      </c>
      <c r="M329" s="601">
        <v>4.8763476875577307</v>
      </c>
      <c r="N329" s="602">
        <v>0</v>
      </c>
      <c r="O329" s="602">
        <v>4.2353443807488658</v>
      </c>
      <c r="P329" s="602">
        <v>0</v>
      </c>
      <c r="Q329" s="601">
        <v>0</v>
      </c>
      <c r="R329" s="602">
        <v>0</v>
      </c>
      <c r="S329" s="602">
        <v>0</v>
      </c>
      <c r="T329" s="602"/>
      <c r="U329" s="602"/>
      <c r="V329" s="602"/>
      <c r="W329" s="606"/>
      <c r="X329" s="606"/>
    </row>
    <row r="330" spans="1:24">
      <c r="A330" s="591"/>
      <c r="B330" s="589" t="s">
        <v>264</v>
      </c>
      <c r="C330" s="596">
        <v>43646.034963265309</v>
      </c>
      <c r="D330" s="597">
        <v>0</v>
      </c>
      <c r="E330" s="597">
        <v>30326</v>
      </c>
      <c r="F330" s="597">
        <v>0</v>
      </c>
      <c r="G330" s="597">
        <v>41002.169171428577</v>
      </c>
      <c r="H330" s="597">
        <v>40049.502721951219</v>
      </c>
      <c r="I330" s="596">
        <v>39571.521993063587</v>
      </c>
      <c r="J330" s="596">
        <v>37214.488888888889</v>
      </c>
      <c r="K330" s="597">
        <v>0</v>
      </c>
      <c r="L330" s="597">
        <v>0</v>
      </c>
      <c r="M330" s="597">
        <v>38410.096624427482</v>
      </c>
      <c r="N330" s="596">
        <v>0</v>
      </c>
      <c r="O330" s="596">
        <v>38104.401464772731</v>
      </c>
      <c r="P330" s="596">
        <v>0</v>
      </c>
      <c r="Q330" s="597">
        <v>0</v>
      </c>
      <c r="R330" s="596">
        <v>0</v>
      </c>
      <c r="S330" s="596">
        <v>0</v>
      </c>
      <c r="T330" s="596"/>
      <c r="U330" s="596"/>
      <c r="V330" s="596"/>
      <c r="W330" s="151"/>
      <c r="X330" s="151"/>
    </row>
    <row r="331" spans="1:24">
      <c r="A331" s="591"/>
      <c r="B331" s="598" t="s">
        <v>266</v>
      </c>
      <c r="C331" s="599">
        <v>40395.589458823531</v>
      </c>
      <c r="D331" s="151">
        <v>0</v>
      </c>
      <c r="E331" s="151">
        <v>34784</v>
      </c>
      <c r="F331" s="151">
        <v>0</v>
      </c>
      <c r="G331" s="151">
        <v>40425.764719999999</v>
      </c>
      <c r="H331" s="151">
        <v>40351.319551219509</v>
      </c>
      <c r="I331" s="599">
        <v>39138.409138947369</v>
      </c>
      <c r="J331" s="599">
        <v>37188.239130434784</v>
      </c>
      <c r="K331" s="151">
        <v>0</v>
      </c>
      <c r="L331" s="151">
        <v>0</v>
      </c>
      <c r="M331" s="151">
        <v>38786.130525170069</v>
      </c>
      <c r="N331" s="599">
        <v>0</v>
      </c>
      <c r="O331" s="599">
        <v>38405.285944041454</v>
      </c>
      <c r="P331" s="599">
        <v>0</v>
      </c>
      <c r="Q331" s="151">
        <v>0</v>
      </c>
      <c r="R331" s="599">
        <v>0</v>
      </c>
      <c r="S331" s="599">
        <v>0</v>
      </c>
      <c r="T331" s="599"/>
      <c r="U331" s="599"/>
      <c r="V331" s="599"/>
      <c r="W331" s="151"/>
      <c r="X331" s="151"/>
    </row>
    <row r="332" spans="1:24">
      <c r="A332" s="591"/>
      <c r="B332" s="600" t="s">
        <v>268</v>
      </c>
      <c r="C332" s="602">
        <v>-7.4472870380494243</v>
      </c>
      <c r="D332" s="601">
        <v>0</v>
      </c>
      <c r="E332" s="601">
        <v>14.70025720503858</v>
      </c>
      <c r="F332" s="601">
        <v>0</v>
      </c>
      <c r="G332" s="601">
        <v>-1.4057901400744235</v>
      </c>
      <c r="H332" s="601">
        <v>0.75360943021862536</v>
      </c>
      <c r="I332" s="602">
        <v>-1.0945064336725219</v>
      </c>
      <c r="J332" s="602">
        <v>-7.0536393855841872E-2</v>
      </c>
      <c r="K332" s="601">
        <v>0</v>
      </c>
      <c r="L332" s="601">
        <v>0</v>
      </c>
      <c r="M332" s="601">
        <v>0.9789975391612058</v>
      </c>
      <c r="N332" s="602">
        <v>0</v>
      </c>
      <c r="O332" s="602">
        <v>0.7896318212658161</v>
      </c>
      <c r="P332" s="602">
        <v>0</v>
      </c>
      <c r="Q332" s="601">
        <v>0</v>
      </c>
      <c r="R332" s="602">
        <v>0</v>
      </c>
      <c r="S332" s="602">
        <v>0</v>
      </c>
      <c r="T332" s="602"/>
      <c r="U332" s="602"/>
      <c r="V332" s="602"/>
      <c r="W332" s="606"/>
      <c r="X332" s="606"/>
    </row>
    <row r="333" spans="1:24">
      <c r="A333" s="591"/>
      <c r="B333" s="589" t="s">
        <v>270</v>
      </c>
      <c r="C333" s="596">
        <v>47966.887873684209</v>
      </c>
      <c r="D333" s="597">
        <v>0</v>
      </c>
      <c r="E333" s="597">
        <v>0</v>
      </c>
      <c r="F333" s="597">
        <v>0</v>
      </c>
      <c r="G333" s="597">
        <v>46336.591142857142</v>
      </c>
      <c r="H333" s="597">
        <v>42198.107384615381</v>
      </c>
      <c r="I333" s="596">
        <v>45840.403078260875</v>
      </c>
      <c r="J333" s="596">
        <v>39352.147199999999</v>
      </c>
      <c r="K333" s="597">
        <v>0</v>
      </c>
      <c r="L333" s="597">
        <v>0</v>
      </c>
      <c r="M333" s="597">
        <v>40592.471862500002</v>
      </c>
      <c r="N333" s="596">
        <v>0</v>
      </c>
      <c r="O333" s="596">
        <v>40554.886266666668</v>
      </c>
      <c r="P333" s="596">
        <v>0</v>
      </c>
      <c r="Q333" s="597">
        <v>0</v>
      </c>
      <c r="R333" s="596">
        <v>0</v>
      </c>
      <c r="S333" s="596">
        <v>0</v>
      </c>
      <c r="T333" s="596"/>
      <c r="U333" s="596"/>
      <c r="V333" s="596"/>
      <c r="W333" s="151"/>
      <c r="X333" s="151"/>
    </row>
    <row r="334" spans="1:24">
      <c r="A334" s="591"/>
      <c r="B334" s="598" t="s">
        <v>272</v>
      </c>
      <c r="C334" s="599">
        <v>48858.74407619048</v>
      </c>
      <c r="D334" s="151">
        <v>0</v>
      </c>
      <c r="E334" s="151">
        <v>0</v>
      </c>
      <c r="F334" s="151">
        <v>0</v>
      </c>
      <c r="G334" s="151">
        <v>48069.618314285712</v>
      </c>
      <c r="H334" s="151">
        <v>44801.803413333335</v>
      </c>
      <c r="I334" s="599">
        <v>47420.706664000005</v>
      </c>
      <c r="J334" s="599">
        <v>36960.044533333334</v>
      </c>
      <c r="K334" s="151">
        <v>0</v>
      </c>
      <c r="L334" s="151">
        <v>0</v>
      </c>
      <c r="M334" s="151">
        <v>38895.035827586202</v>
      </c>
      <c r="N334" s="599">
        <v>0</v>
      </c>
      <c r="O334" s="599">
        <v>38563.323034285713</v>
      </c>
      <c r="P334" s="599">
        <v>0</v>
      </c>
      <c r="Q334" s="151">
        <v>0</v>
      </c>
      <c r="R334" s="599">
        <v>0</v>
      </c>
      <c r="S334" s="599">
        <v>0</v>
      </c>
      <c r="T334" s="599"/>
      <c r="U334" s="599"/>
      <c r="V334" s="599"/>
      <c r="W334" s="151"/>
      <c r="X334" s="151"/>
    </row>
    <row r="335" spans="1:24">
      <c r="A335" s="591"/>
      <c r="B335" s="600" t="s">
        <v>274</v>
      </c>
      <c r="C335" s="602">
        <v>1.8593163785294582</v>
      </c>
      <c r="D335" s="601">
        <v>0</v>
      </c>
      <c r="E335" s="601">
        <v>0</v>
      </c>
      <c r="F335" s="601">
        <v>0</v>
      </c>
      <c r="G335" s="601">
        <v>3.7400834387786399</v>
      </c>
      <c r="H335" s="601">
        <v>6.1701725269015526</v>
      </c>
      <c r="I335" s="602">
        <v>3.4474033377087929</v>
      </c>
      <c r="J335" s="602">
        <v>-6.0787093891198536</v>
      </c>
      <c r="K335" s="601">
        <v>0</v>
      </c>
      <c r="L335" s="601">
        <v>0</v>
      </c>
      <c r="M335" s="601">
        <v>-4.1816523040616307</v>
      </c>
      <c r="N335" s="602">
        <v>0</v>
      </c>
      <c r="O335" s="602">
        <v>-4.9107849034159008</v>
      </c>
      <c r="P335" s="602">
        <v>0</v>
      </c>
      <c r="Q335" s="601">
        <v>0</v>
      </c>
      <c r="R335" s="602">
        <v>0</v>
      </c>
      <c r="S335" s="602">
        <v>0</v>
      </c>
      <c r="T335" s="602"/>
      <c r="U335" s="602"/>
      <c r="V335" s="602"/>
      <c r="W335" s="606"/>
      <c r="X335" s="606"/>
    </row>
    <row r="336" spans="1:24">
      <c r="A336" s="591"/>
      <c r="B336" s="589" t="s">
        <v>276</v>
      </c>
      <c r="C336" s="596">
        <v>0</v>
      </c>
      <c r="D336" s="597">
        <v>0</v>
      </c>
      <c r="E336" s="597">
        <v>0</v>
      </c>
      <c r="F336" s="597">
        <v>0</v>
      </c>
      <c r="G336" s="597">
        <v>0</v>
      </c>
      <c r="H336" s="597">
        <v>0</v>
      </c>
      <c r="I336" s="596">
        <v>0</v>
      </c>
      <c r="J336" s="596">
        <v>0</v>
      </c>
      <c r="K336" s="597">
        <v>0</v>
      </c>
      <c r="L336" s="597">
        <v>0</v>
      </c>
      <c r="M336" s="597">
        <v>0</v>
      </c>
      <c r="N336" s="596">
        <v>0</v>
      </c>
      <c r="O336" s="596">
        <v>0</v>
      </c>
      <c r="P336" s="596">
        <v>0</v>
      </c>
      <c r="Q336" s="597">
        <v>0</v>
      </c>
      <c r="R336" s="596">
        <v>0</v>
      </c>
      <c r="S336" s="596">
        <v>0</v>
      </c>
      <c r="T336" s="596"/>
      <c r="U336" s="596"/>
      <c r="V336" s="596"/>
      <c r="W336" s="151"/>
      <c r="X336" s="151"/>
    </row>
    <row r="337" spans="1:24">
      <c r="A337" s="591"/>
      <c r="B337" s="598" t="s">
        <v>278</v>
      </c>
      <c r="C337" s="599">
        <v>0</v>
      </c>
      <c r="D337" s="151">
        <v>0</v>
      </c>
      <c r="E337" s="151">
        <v>0</v>
      </c>
      <c r="F337" s="151">
        <v>0</v>
      </c>
      <c r="G337" s="151">
        <v>0</v>
      </c>
      <c r="H337" s="151">
        <v>0</v>
      </c>
      <c r="I337" s="599">
        <v>0</v>
      </c>
      <c r="J337" s="599">
        <v>0</v>
      </c>
      <c r="K337" s="151">
        <v>0</v>
      </c>
      <c r="L337" s="151">
        <v>0</v>
      </c>
      <c r="M337" s="151">
        <v>0</v>
      </c>
      <c r="N337" s="599">
        <v>0</v>
      </c>
      <c r="O337" s="599">
        <v>0</v>
      </c>
      <c r="P337" s="599">
        <v>0</v>
      </c>
      <c r="Q337" s="151">
        <v>0</v>
      </c>
      <c r="R337" s="599">
        <v>0</v>
      </c>
      <c r="S337" s="599">
        <v>0</v>
      </c>
      <c r="T337" s="599"/>
      <c r="U337" s="599"/>
      <c r="V337" s="599"/>
      <c r="W337" s="151"/>
      <c r="X337" s="151"/>
    </row>
    <row r="338" spans="1:24">
      <c r="A338" s="591"/>
      <c r="B338" s="600" t="s">
        <v>280</v>
      </c>
      <c r="C338" s="602">
        <v>0</v>
      </c>
      <c r="D338" s="601">
        <v>0</v>
      </c>
      <c r="E338" s="601">
        <v>0</v>
      </c>
      <c r="F338" s="601">
        <v>0</v>
      </c>
      <c r="G338" s="601">
        <v>0</v>
      </c>
      <c r="H338" s="601">
        <v>0</v>
      </c>
      <c r="I338" s="602">
        <v>0</v>
      </c>
      <c r="J338" s="602">
        <v>0</v>
      </c>
      <c r="K338" s="601">
        <v>0</v>
      </c>
      <c r="L338" s="601">
        <v>0</v>
      </c>
      <c r="M338" s="601">
        <v>0</v>
      </c>
      <c r="N338" s="602">
        <v>0</v>
      </c>
      <c r="O338" s="602">
        <v>0</v>
      </c>
      <c r="P338" s="602">
        <v>0</v>
      </c>
      <c r="Q338" s="601">
        <v>0</v>
      </c>
      <c r="R338" s="602">
        <v>0</v>
      </c>
      <c r="S338" s="602">
        <v>0</v>
      </c>
      <c r="T338" s="602"/>
      <c r="U338" s="602"/>
      <c r="V338" s="602"/>
      <c r="W338" s="606"/>
      <c r="X338" s="606"/>
    </row>
    <row r="339" spans="1:24">
      <c r="A339" s="591"/>
      <c r="B339" s="589" t="s">
        <v>282</v>
      </c>
      <c r="C339" s="596">
        <v>75774.047674551213</v>
      </c>
      <c r="D339" s="597">
        <v>0</v>
      </c>
      <c r="E339" s="597">
        <v>61068.888895095952</v>
      </c>
      <c r="F339" s="597">
        <v>0</v>
      </c>
      <c r="G339" s="597">
        <v>58741.739527397265</v>
      </c>
      <c r="H339" s="597">
        <v>53238.316577192985</v>
      </c>
      <c r="I339" s="596">
        <v>64924.3900046532</v>
      </c>
      <c r="J339" s="596">
        <v>47120.757516535428</v>
      </c>
      <c r="K339" s="597">
        <v>0</v>
      </c>
      <c r="L339" s="597">
        <v>0</v>
      </c>
      <c r="M339" s="597">
        <v>46535.77732691358</v>
      </c>
      <c r="N339" s="596">
        <v>0</v>
      </c>
      <c r="O339" s="596">
        <v>46675.424853383462</v>
      </c>
      <c r="P339" s="596">
        <v>0</v>
      </c>
      <c r="Q339" s="597">
        <v>0</v>
      </c>
      <c r="R339" s="596">
        <v>0</v>
      </c>
      <c r="S339" s="596">
        <v>0</v>
      </c>
      <c r="T339" s="596"/>
      <c r="U339" s="596"/>
      <c r="V339" s="596"/>
      <c r="W339" s="151"/>
      <c r="X339" s="151"/>
    </row>
    <row r="340" spans="1:24">
      <c r="A340" s="591"/>
      <c r="B340" s="598" t="s">
        <v>284</v>
      </c>
      <c r="C340" s="599">
        <v>75753.584786514504</v>
      </c>
      <c r="D340" s="151">
        <v>0</v>
      </c>
      <c r="E340" s="151">
        <v>61513.993002928873</v>
      </c>
      <c r="F340" s="151">
        <v>0</v>
      </c>
      <c r="G340" s="151">
        <v>59307.394686111104</v>
      </c>
      <c r="H340" s="151">
        <v>54021.619901543745</v>
      </c>
      <c r="I340" s="599">
        <v>65285.464099351499</v>
      </c>
      <c r="J340" s="599">
        <v>46891.629959398488</v>
      </c>
      <c r="K340" s="151">
        <v>0</v>
      </c>
      <c r="L340" s="151">
        <v>0</v>
      </c>
      <c r="M340" s="151">
        <v>47083.403043127961</v>
      </c>
      <c r="N340" s="599">
        <v>0</v>
      </c>
      <c r="O340" s="599">
        <v>47037.446610450454</v>
      </c>
      <c r="P340" s="599">
        <v>0</v>
      </c>
      <c r="Q340" s="151">
        <v>0</v>
      </c>
      <c r="R340" s="599">
        <v>0</v>
      </c>
      <c r="S340" s="599">
        <v>0</v>
      </c>
      <c r="T340" s="599"/>
      <c r="U340" s="599"/>
      <c r="V340" s="599"/>
      <c r="W340" s="151"/>
      <c r="X340" s="151"/>
    </row>
    <row r="341" spans="1:24">
      <c r="A341" s="591"/>
      <c r="B341" s="600" t="s">
        <v>286</v>
      </c>
      <c r="C341" s="602">
        <v>-2.7005140499550648E-2</v>
      </c>
      <c r="D341" s="601">
        <v>0</v>
      </c>
      <c r="E341" s="601">
        <v>0.72885574944309361</v>
      </c>
      <c r="F341" s="601">
        <v>0</v>
      </c>
      <c r="G341" s="601">
        <v>0.96295268622410424</v>
      </c>
      <c r="H341" s="601">
        <v>1.4713149752115244</v>
      </c>
      <c r="I341" s="602">
        <v>0.5561455327842435</v>
      </c>
      <c r="J341" s="602">
        <v>-0.48625609861330454</v>
      </c>
      <c r="K341" s="601">
        <v>0</v>
      </c>
      <c r="L341" s="601">
        <v>0</v>
      </c>
      <c r="M341" s="601">
        <v>1.1767842887147095</v>
      </c>
      <c r="N341" s="602">
        <v>0</v>
      </c>
      <c r="O341" s="602">
        <v>0.77561534405776134</v>
      </c>
      <c r="P341" s="602">
        <v>0</v>
      </c>
      <c r="Q341" s="601">
        <v>0</v>
      </c>
      <c r="R341" s="602">
        <v>0</v>
      </c>
      <c r="S341" s="602">
        <v>0</v>
      </c>
      <c r="T341" s="602"/>
      <c r="U341" s="602"/>
      <c r="V341" s="602"/>
      <c r="W341" s="606"/>
      <c r="X341" s="606"/>
    </row>
    <row r="342" spans="1:24">
      <c r="A342" s="595" t="s">
        <v>247</v>
      </c>
      <c r="B342" s="589"/>
      <c r="C342" s="596">
        <v>115409.27465911765</v>
      </c>
      <c r="D342" s="597">
        <v>109113.51517165861</v>
      </c>
      <c r="E342" s="597">
        <v>83427.700555111194</v>
      </c>
      <c r="F342" s="597">
        <v>80549.875066261899</v>
      </c>
      <c r="G342" s="597">
        <v>76218.305252094709</v>
      </c>
      <c r="H342" s="597">
        <v>76557.96033903744</v>
      </c>
      <c r="I342" s="596">
        <v>102686.2313987228</v>
      </c>
      <c r="J342" s="596">
        <v>64399.885801052638</v>
      </c>
      <c r="K342" s="597">
        <v>69471.411394867435</v>
      </c>
      <c r="L342" s="597">
        <v>62949.564466431664</v>
      </c>
      <c r="M342" s="597">
        <v>61274.082353797472</v>
      </c>
      <c r="N342" s="596">
        <v>67061.509174603169</v>
      </c>
      <c r="O342" s="596">
        <v>66960.437371678941</v>
      </c>
      <c r="P342" s="596">
        <v>62655.574644444445</v>
      </c>
      <c r="Q342" s="597">
        <v>0</v>
      </c>
      <c r="R342" s="596">
        <v>0</v>
      </c>
      <c r="S342" s="596">
        <v>62655.574644444445</v>
      </c>
      <c r="T342" s="596"/>
      <c r="U342" s="596"/>
      <c r="V342" s="596"/>
      <c r="W342" s="151"/>
      <c r="X342" s="151"/>
    </row>
    <row r="343" spans="1:24">
      <c r="A343" s="591" t="s">
        <v>249</v>
      </c>
      <c r="B343" s="598"/>
      <c r="C343" s="599">
        <v>116739.7840645887</v>
      </c>
      <c r="D343" s="151">
        <v>109561.62957280544</v>
      </c>
      <c r="E343" s="151">
        <v>83348.281568398976</v>
      </c>
      <c r="F343" s="151">
        <v>80292.974757357413</v>
      </c>
      <c r="G343" s="151">
        <v>76109.332569749342</v>
      </c>
      <c r="H343" s="151">
        <v>76381.745625174837</v>
      </c>
      <c r="I343" s="599">
        <v>103212.32795590247</v>
      </c>
      <c r="J343" s="599">
        <v>64603.005077720212</v>
      </c>
      <c r="K343" s="151">
        <v>69222.330849274789</v>
      </c>
      <c r="L343" s="151">
        <v>58472.768040577801</v>
      </c>
      <c r="M343" s="151">
        <v>60300.113744657538</v>
      </c>
      <c r="N343" s="599">
        <v>66627.342043243247</v>
      </c>
      <c r="O343" s="599">
        <v>65304.070443449651</v>
      </c>
      <c r="P343" s="599">
        <v>61578.059739999997</v>
      </c>
      <c r="Q343" s="151">
        <v>0</v>
      </c>
      <c r="R343" s="599">
        <v>44248.624475510202</v>
      </c>
      <c r="S343" s="599">
        <v>45853.201814814813</v>
      </c>
      <c r="T343" s="599"/>
      <c r="U343" s="599"/>
      <c r="V343" s="599"/>
      <c r="W343" s="151"/>
      <c r="X343" s="151"/>
    </row>
    <row r="344" spans="1:24">
      <c r="A344" s="591" t="s">
        <v>251</v>
      </c>
      <c r="B344" s="600"/>
      <c r="C344" s="602">
        <v>1.1528617690397518</v>
      </c>
      <c r="D344" s="601">
        <v>0.41068643095390073</v>
      </c>
      <c r="E344" s="601">
        <v>-9.5194984619953085E-2</v>
      </c>
      <c r="F344" s="601">
        <v>-0.31893321832362154</v>
      </c>
      <c r="G344" s="601">
        <v>-0.14297442325034196</v>
      </c>
      <c r="H344" s="601">
        <v>-0.23017164130579543</v>
      </c>
      <c r="I344" s="602">
        <v>0.5123340783019652</v>
      </c>
      <c r="J344" s="602">
        <v>0.31540316281780417</v>
      </c>
      <c r="K344" s="601">
        <v>-0.35853675719484202</v>
      </c>
      <c r="L344" s="601">
        <v>-7.1117194595383566</v>
      </c>
      <c r="M344" s="601">
        <v>-1.5895278586405017</v>
      </c>
      <c r="N344" s="602">
        <v>-0.64741628499518622</v>
      </c>
      <c r="O344" s="602">
        <v>-2.4736501033218374</v>
      </c>
      <c r="P344" s="602">
        <v>-1.7197430724386298</v>
      </c>
      <c r="Q344" s="601">
        <v>0</v>
      </c>
      <c r="R344" s="602">
        <v>0</v>
      </c>
      <c r="S344" s="602">
        <v>-26.817043694801495</v>
      </c>
      <c r="T344" s="602"/>
      <c r="U344" s="602"/>
      <c r="V344" s="602"/>
      <c r="W344" s="606"/>
      <c r="X344" s="606"/>
    </row>
    <row r="345" spans="1:24">
      <c r="A345" s="591" t="s">
        <v>253</v>
      </c>
      <c r="B345" s="589"/>
      <c r="C345" s="596">
        <v>79485.373303937406</v>
      </c>
      <c r="D345" s="597">
        <v>77884.21142560782</v>
      </c>
      <c r="E345" s="597">
        <v>67393.498990695924</v>
      </c>
      <c r="F345" s="597">
        <v>65608.194341766502</v>
      </c>
      <c r="G345" s="597">
        <v>63613.84803003096</v>
      </c>
      <c r="H345" s="597">
        <v>61401.216242935538</v>
      </c>
      <c r="I345" s="596">
        <v>73705.508191769768</v>
      </c>
      <c r="J345" s="596">
        <v>52622.779724752472</v>
      </c>
      <c r="K345" s="597">
        <v>56375.27559386778</v>
      </c>
      <c r="L345" s="597">
        <v>51425.405268907074</v>
      </c>
      <c r="M345" s="597">
        <v>52006.769481230767</v>
      </c>
      <c r="N345" s="596">
        <v>59854.92848222566</v>
      </c>
      <c r="O345" s="596">
        <v>55023.394112793547</v>
      </c>
      <c r="P345" s="596">
        <v>50449.382593939394</v>
      </c>
      <c r="Q345" s="597">
        <v>0</v>
      </c>
      <c r="R345" s="596">
        <v>0</v>
      </c>
      <c r="S345" s="596">
        <v>50449.382593939394</v>
      </c>
      <c r="T345" s="596"/>
      <c r="U345" s="596"/>
      <c r="V345" s="596"/>
      <c r="W345" s="151"/>
      <c r="X345" s="151"/>
    </row>
    <row r="346" spans="1:24">
      <c r="A346" s="591" t="s">
        <v>255</v>
      </c>
      <c r="B346" s="598"/>
      <c r="C346" s="599">
        <v>80044.915100683895</v>
      </c>
      <c r="D346" s="151">
        <v>77783.855881979762</v>
      </c>
      <c r="E346" s="151">
        <v>67540.451726907631</v>
      </c>
      <c r="F346" s="151">
        <v>65620.11907238909</v>
      </c>
      <c r="G346" s="151">
        <v>63567.47224352332</v>
      </c>
      <c r="H346" s="151">
        <v>61304.266855503978</v>
      </c>
      <c r="I346" s="599">
        <v>73898.324697466276</v>
      </c>
      <c r="J346" s="599">
        <v>53279.468589573466</v>
      </c>
      <c r="K346" s="151">
        <v>56004.983480884439</v>
      </c>
      <c r="L346" s="151">
        <v>50862.858032781951</v>
      </c>
      <c r="M346" s="151">
        <v>51929.230337804875</v>
      </c>
      <c r="N346" s="599">
        <v>59645.546077961015</v>
      </c>
      <c r="O346" s="599">
        <v>54723.268040640585</v>
      </c>
      <c r="P346" s="599">
        <v>49410.908539999997</v>
      </c>
      <c r="Q346" s="151">
        <v>0</v>
      </c>
      <c r="R346" s="599">
        <v>39281.461257142859</v>
      </c>
      <c r="S346" s="599">
        <v>45923.7217704918</v>
      </c>
      <c r="T346" s="599"/>
      <c r="U346" s="599"/>
      <c r="V346" s="599"/>
      <c r="W346" s="151"/>
      <c r="X346" s="151"/>
    </row>
    <row r="347" spans="1:24">
      <c r="A347" s="591" t="s">
        <v>257</v>
      </c>
      <c r="B347" s="600"/>
      <c r="C347" s="602">
        <v>0.70395567572779028</v>
      </c>
      <c r="D347" s="601">
        <v>-0.1288522304984939</v>
      </c>
      <c r="E347" s="601">
        <v>0.21805179789224999</v>
      </c>
      <c r="F347" s="601">
        <v>1.8175672630875342E-2</v>
      </c>
      <c r="G347" s="601">
        <v>-7.2902029894099885E-2</v>
      </c>
      <c r="H347" s="601">
        <v>-0.15789489746909349</v>
      </c>
      <c r="I347" s="602">
        <v>0.26160392951206696</v>
      </c>
      <c r="J347" s="602">
        <v>1.2479174765298515</v>
      </c>
      <c r="K347" s="601">
        <v>-0.65683423997951995</v>
      </c>
      <c r="L347" s="601">
        <v>-1.0939091936826244</v>
      </c>
      <c r="M347" s="601">
        <v>-0.1490943279102859</v>
      </c>
      <c r="N347" s="602">
        <v>-0.3498164805707224</v>
      </c>
      <c r="O347" s="602">
        <v>-0.54545176100501391</v>
      </c>
      <c r="P347" s="602">
        <v>-2.0584474983528369</v>
      </c>
      <c r="Q347" s="601">
        <v>0</v>
      </c>
      <c r="R347" s="602">
        <v>0</v>
      </c>
      <c r="S347" s="602">
        <v>-8.9706961527637645</v>
      </c>
      <c r="T347" s="602"/>
      <c r="U347" s="602"/>
      <c r="V347" s="602"/>
      <c r="W347" s="606"/>
      <c r="X347" s="606"/>
    </row>
    <row r="348" spans="1:24">
      <c r="A348" s="591" t="s">
        <v>259</v>
      </c>
      <c r="B348" s="589"/>
      <c r="C348" s="596">
        <v>68490.39231876297</v>
      </c>
      <c r="D348" s="597">
        <v>65404.056965130876</v>
      </c>
      <c r="E348" s="597">
        <v>57244.093087563822</v>
      </c>
      <c r="F348" s="597">
        <v>56003.641890110433</v>
      </c>
      <c r="G348" s="597">
        <v>53399.036274798498</v>
      </c>
      <c r="H348" s="597">
        <v>52435.679691513287</v>
      </c>
      <c r="I348" s="596">
        <v>62023.818978570336</v>
      </c>
      <c r="J348" s="596">
        <v>45570.456160747664</v>
      </c>
      <c r="K348" s="597">
        <v>51495.169257418216</v>
      </c>
      <c r="L348" s="597">
        <v>46821.797334909716</v>
      </c>
      <c r="M348" s="597">
        <v>44445.823351869156</v>
      </c>
      <c r="N348" s="596">
        <v>53790.272049484542</v>
      </c>
      <c r="O348" s="596">
        <v>49465.233946624168</v>
      </c>
      <c r="P348" s="596">
        <v>43874.66367894737</v>
      </c>
      <c r="Q348" s="597">
        <v>0</v>
      </c>
      <c r="R348" s="596">
        <v>0</v>
      </c>
      <c r="S348" s="596">
        <v>43874.66367894737</v>
      </c>
      <c r="T348" s="596"/>
      <c r="U348" s="596"/>
      <c r="V348" s="596"/>
      <c r="W348" s="151"/>
      <c r="X348" s="151"/>
    </row>
    <row r="349" spans="1:24">
      <c r="A349" s="591" t="s">
        <v>261</v>
      </c>
      <c r="B349" s="598"/>
      <c r="C349" s="599">
        <v>69202.177042910625</v>
      </c>
      <c r="D349" s="151">
        <v>65777.184668638336</v>
      </c>
      <c r="E349" s="151">
        <v>57528.879977825083</v>
      </c>
      <c r="F349" s="151">
        <v>56350.431820000653</v>
      </c>
      <c r="G349" s="151">
        <v>53958.495616539687</v>
      </c>
      <c r="H349" s="151">
        <v>52229.091262563074</v>
      </c>
      <c r="I349" s="599">
        <v>62423.735593316022</v>
      </c>
      <c r="J349" s="599">
        <v>45995.663736601302</v>
      </c>
      <c r="K349" s="151">
        <v>52108.448705444454</v>
      </c>
      <c r="L349" s="151">
        <v>46398.559733686867</v>
      </c>
      <c r="M349" s="151">
        <v>45430.005362790704</v>
      </c>
      <c r="N349" s="599">
        <v>53746.541438067346</v>
      </c>
      <c r="O349" s="599">
        <v>49705.314623734834</v>
      </c>
      <c r="P349" s="599">
        <v>44244.25603783784</v>
      </c>
      <c r="Q349" s="151">
        <v>53078.270400000001</v>
      </c>
      <c r="R349" s="599">
        <v>41960.064063157901</v>
      </c>
      <c r="S349" s="599">
        <v>43218.397081578943</v>
      </c>
      <c r="T349" s="599"/>
      <c r="U349" s="599"/>
      <c r="V349" s="599"/>
      <c r="W349" s="151"/>
      <c r="X349" s="151"/>
    </row>
    <row r="350" spans="1:24">
      <c r="A350" s="591" t="s">
        <v>263</v>
      </c>
      <c r="B350" s="600"/>
      <c r="C350" s="602">
        <v>1.0392475499847034</v>
      </c>
      <c r="D350" s="601">
        <v>0.57049626708384005</v>
      </c>
      <c r="E350" s="601">
        <v>0.497495680166746</v>
      </c>
      <c r="F350" s="601">
        <v>0.61922746126169026</v>
      </c>
      <c r="G350" s="601">
        <v>1.04769557799159</v>
      </c>
      <c r="H350" s="601">
        <v>-0.39398445898976314</v>
      </c>
      <c r="I350" s="602">
        <v>0.64477908863344802</v>
      </c>
      <c r="J350" s="602">
        <v>0.9330772866388205</v>
      </c>
      <c r="K350" s="601">
        <v>1.1909455913437772</v>
      </c>
      <c r="L350" s="601">
        <v>-0.90393283751046516</v>
      </c>
      <c r="M350" s="601">
        <v>2.2143408237259221</v>
      </c>
      <c r="N350" s="602">
        <v>-8.129836446442408E-2</v>
      </c>
      <c r="O350" s="602">
        <v>0.48535235347259503</v>
      </c>
      <c r="P350" s="602">
        <v>0.84238220398670172</v>
      </c>
      <c r="Q350" s="601">
        <v>0</v>
      </c>
      <c r="R350" s="602">
        <v>0</v>
      </c>
      <c r="S350" s="602">
        <v>-1.4957757902616748</v>
      </c>
      <c r="T350" s="602"/>
      <c r="U350" s="602"/>
      <c r="V350" s="602"/>
      <c r="W350" s="606"/>
      <c r="X350" s="606"/>
    </row>
    <row r="351" spans="1:24">
      <c r="A351" s="591" t="s">
        <v>265</v>
      </c>
      <c r="B351" s="589"/>
      <c r="C351" s="596">
        <v>45440.397388325277</v>
      </c>
      <c r="D351" s="597">
        <v>44019.937567883921</v>
      </c>
      <c r="E351" s="597">
        <v>43444.315383322217</v>
      </c>
      <c r="F351" s="597">
        <v>43651.311244364479</v>
      </c>
      <c r="G351" s="597">
        <v>44034.440075744678</v>
      </c>
      <c r="H351" s="597">
        <v>42029.943120763717</v>
      </c>
      <c r="I351" s="596">
        <v>44173.296970433912</v>
      </c>
      <c r="J351" s="596">
        <v>48075.226877602523</v>
      </c>
      <c r="K351" s="597">
        <v>45033.174531765573</v>
      </c>
      <c r="L351" s="597">
        <v>39578.267232676058</v>
      </c>
      <c r="M351" s="597">
        <v>39636.796635019455</v>
      </c>
      <c r="N351" s="596">
        <v>47982.438270297032</v>
      </c>
      <c r="O351" s="596">
        <v>43260.648410024398</v>
      </c>
      <c r="P351" s="596">
        <v>40279.155514285711</v>
      </c>
      <c r="Q351" s="597">
        <v>37978.951515000001</v>
      </c>
      <c r="R351" s="596">
        <v>0</v>
      </c>
      <c r="S351" s="596">
        <v>39747.316439306356</v>
      </c>
      <c r="T351" s="596"/>
      <c r="U351" s="596"/>
      <c r="V351" s="596"/>
      <c r="W351" s="151"/>
      <c r="X351" s="151"/>
    </row>
    <row r="352" spans="1:24">
      <c r="A352" s="591" t="s">
        <v>267</v>
      </c>
      <c r="B352" s="598"/>
      <c r="C352" s="599">
        <v>45800.465433144709</v>
      </c>
      <c r="D352" s="151">
        <v>44934.379973666983</v>
      </c>
      <c r="E352" s="151">
        <v>43204.425828846805</v>
      </c>
      <c r="F352" s="151">
        <v>43857.669274432672</v>
      </c>
      <c r="G352" s="151">
        <v>44676.68949229701</v>
      </c>
      <c r="H352" s="151">
        <v>41315.096178403757</v>
      </c>
      <c r="I352" s="599">
        <v>44395.283326791636</v>
      </c>
      <c r="J352" s="599">
        <v>48780.156261658842</v>
      </c>
      <c r="K352" s="151">
        <v>49855.801100293342</v>
      </c>
      <c r="L352" s="151">
        <v>41978.554474396064</v>
      </c>
      <c r="M352" s="151">
        <v>39395.313046469251</v>
      </c>
      <c r="N352" s="599">
        <v>48175.76580696056</v>
      </c>
      <c r="O352" s="599">
        <v>45984.889247175321</v>
      </c>
      <c r="P352" s="599">
        <v>39667.732794160584</v>
      </c>
      <c r="Q352" s="151">
        <v>37556.669825531921</v>
      </c>
      <c r="R352" s="599">
        <v>38647.608942334096</v>
      </c>
      <c r="S352" s="599">
        <v>38790.093369404196</v>
      </c>
      <c r="T352" s="599"/>
      <c r="U352" s="599"/>
      <c r="V352" s="599"/>
      <c r="W352" s="151"/>
      <c r="X352" s="151"/>
    </row>
    <row r="353" spans="1:24">
      <c r="A353" s="591" t="s">
        <v>269</v>
      </c>
      <c r="B353" s="600"/>
      <c r="C353" s="602">
        <v>0.79239633787168995</v>
      </c>
      <c r="D353" s="601">
        <v>2.0773368984744338</v>
      </c>
      <c r="E353" s="601">
        <v>-0.5521770854455752</v>
      </c>
      <c r="F353" s="601">
        <v>0.47274188148204782</v>
      </c>
      <c r="G353" s="601">
        <v>1.4585161420187991</v>
      </c>
      <c r="H353" s="601">
        <v>-1.7008039727915067</v>
      </c>
      <c r="I353" s="602">
        <v>0.50253517754471366</v>
      </c>
      <c r="J353" s="602">
        <v>1.4663048514592325</v>
      </c>
      <c r="K353" s="601">
        <v>10.709053089575056</v>
      </c>
      <c r="L353" s="601">
        <v>6.0646597477575099</v>
      </c>
      <c r="M353" s="601">
        <v>-0.60924093027449788</v>
      </c>
      <c r="N353" s="602">
        <v>0.40291311494940257</v>
      </c>
      <c r="O353" s="602">
        <v>6.2972723185528103</v>
      </c>
      <c r="P353" s="602">
        <v>-1.5179631060245917</v>
      </c>
      <c r="Q353" s="601">
        <v>-1.1118834844645396</v>
      </c>
      <c r="R353" s="602">
        <v>0</v>
      </c>
      <c r="S353" s="602">
        <v>-2.4082709366400312</v>
      </c>
      <c r="T353" s="602"/>
      <c r="U353" s="602"/>
      <c r="V353" s="602"/>
      <c r="W353" s="606"/>
      <c r="X353" s="606"/>
    </row>
    <row r="354" spans="1:24">
      <c r="A354" s="591" t="s">
        <v>271</v>
      </c>
      <c r="B354" s="589"/>
      <c r="C354" s="596">
        <v>53402.96867845676</v>
      </c>
      <c r="D354" s="597">
        <v>49321.873296441365</v>
      </c>
      <c r="E354" s="597">
        <v>46994.278014894109</v>
      </c>
      <c r="F354" s="597">
        <v>45733.672289952905</v>
      </c>
      <c r="G354" s="597">
        <v>43427.635491689005</v>
      </c>
      <c r="H354" s="597">
        <v>49577.429475144512</v>
      </c>
      <c r="I354" s="596">
        <v>49836.723308499582</v>
      </c>
      <c r="J354" s="596">
        <v>39352.147199999999</v>
      </c>
      <c r="K354" s="597">
        <v>46145.923947514908</v>
      </c>
      <c r="L354" s="597">
        <v>45953.639146792848</v>
      </c>
      <c r="M354" s="597">
        <v>41310.810089940831</v>
      </c>
      <c r="N354" s="596">
        <v>0</v>
      </c>
      <c r="O354" s="596">
        <v>45672.585506440999</v>
      </c>
      <c r="P354" s="596">
        <v>0</v>
      </c>
      <c r="Q354" s="597">
        <v>25000</v>
      </c>
      <c r="R354" s="596">
        <v>0</v>
      </c>
      <c r="S354" s="596">
        <v>25000</v>
      </c>
      <c r="T354" s="596"/>
      <c r="U354" s="596"/>
      <c r="V354" s="596"/>
      <c r="W354" s="151"/>
      <c r="X354" s="151"/>
    </row>
    <row r="355" spans="1:24">
      <c r="A355" s="591" t="s">
        <v>273</v>
      </c>
      <c r="B355" s="598"/>
      <c r="C355" s="599">
        <v>52438.836260749929</v>
      </c>
      <c r="D355" s="151">
        <v>45254.311606261857</v>
      </c>
      <c r="E355" s="151">
        <v>46688.635641272303</v>
      </c>
      <c r="F355" s="151">
        <v>45528.999442803826</v>
      </c>
      <c r="G355" s="151">
        <v>44199.5726645631</v>
      </c>
      <c r="H355" s="151">
        <v>49646.830909374992</v>
      </c>
      <c r="I355" s="599">
        <v>48961.219357781454</v>
      </c>
      <c r="J355" s="599">
        <v>36948.160200000006</v>
      </c>
      <c r="K355" s="151">
        <v>45428.333761957525</v>
      </c>
      <c r="L355" s="151">
        <v>45395.296667572809</v>
      </c>
      <c r="M355" s="151">
        <v>40209.629288235294</v>
      </c>
      <c r="N355" s="599">
        <v>72022.055000000008</v>
      </c>
      <c r="O355" s="599">
        <v>44911.135272844833</v>
      </c>
      <c r="P355" s="599">
        <v>0</v>
      </c>
      <c r="Q355" s="151">
        <v>26200</v>
      </c>
      <c r="R355" s="599">
        <v>0</v>
      </c>
      <c r="S355" s="599">
        <v>26200</v>
      </c>
      <c r="T355" s="599"/>
      <c r="U355" s="599"/>
      <c r="V355" s="599"/>
      <c r="W355" s="151"/>
      <c r="X355" s="151"/>
    </row>
    <row r="356" spans="1:24">
      <c r="A356" s="591" t="s">
        <v>275</v>
      </c>
      <c r="B356" s="600"/>
      <c r="C356" s="602">
        <v>-1.805391051407542</v>
      </c>
      <c r="D356" s="601">
        <v>-8.2469732358543393</v>
      </c>
      <c r="E356" s="601">
        <v>-0.65038210295503873</v>
      </c>
      <c r="F356" s="601">
        <v>-0.44753206314036303</v>
      </c>
      <c r="G356" s="601">
        <v>1.7775252189860196</v>
      </c>
      <c r="H356" s="601">
        <v>0.13998594716427185</v>
      </c>
      <c r="I356" s="602">
        <v>-1.7567446103921767</v>
      </c>
      <c r="J356" s="602">
        <v>-6.1089093506948302</v>
      </c>
      <c r="K356" s="601">
        <v>-1.5550456555459808</v>
      </c>
      <c r="L356" s="601">
        <v>-1.2150125421764464</v>
      </c>
      <c r="M356" s="601">
        <v>-2.665599631931872</v>
      </c>
      <c r="N356" s="602">
        <v>0</v>
      </c>
      <c r="O356" s="602">
        <v>-1.6671931863563587</v>
      </c>
      <c r="P356" s="602">
        <v>0</v>
      </c>
      <c r="Q356" s="601">
        <v>4.8</v>
      </c>
      <c r="R356" s="602">
        <v>0</v>
      </c>
      <c r="S356" s="602">
        <v>4.8</v>
      </c>
      <c r="T356" s="602"/>
      <c r="U356" s="602"/>
      <c r="V356" s="602"/>
      <c r="W356" s="606"/>
      <c r="X356" s="606"/>
    </row>
    <row r="357" spans="1:24">
      <c r="A357" s="591" t="s">
        <v>277</v>
      </c>
      <c r="B357" s="589"/>
      <c r="C357" s="596">
        <v>0</v>
      </c>
      <c r="D357" s="597">
        <v>0</v>
      </c>
      <c r="E357" s="597">
        <v>0</v>
      </c>
      <c r="F357" s="597">
        <v>0</v>
      </c>
      <c r="G357" s="597">
        <v>0</v>
      </c>
      <c r="H357" s="597">
        <v>0</v>
      </c>
      <c r="I357" s="596">
        <v>0</v>
      </c>
      <c r="J357" s="596">
        <v>57236.452393288586</v>
      </c>
      <c r="K357" s="597">
        <v>52082.442894326246</v>
      </c>
      <c r="L357" s="597">
        <v>49732.917677513957</v>
      </c>
      <c r="M357" s="597">
        <v>45671.444712303419</v>
      </c>
      <c r="N357" s="596">
        <v>0</v>
      </c>
      <c r="O357" s="596">
        <v>50788.601742257299</v>
      </c>
      <c r="P357" s="596">
        <v>45960.008809042774</v>
      </c>
      <c r="Q357" s="597">
        <v>44357.55207526133</v>
      </c>
      <c r="R357" s="596">
        <v>40200.47929486166</v>
      </c>
      <c r="S357" s="596">
        <v>44773.965281483164</v>
      </c>
      <c r="T357" s="596"/>
      <c r="U357" s="596"/>
      <c r="V357" s="596"/>
      <c r="W357" s="151"/>
      <c r="X357" s="151"/>
    </row>
    <row r="358" spans="1:24">
      <c r="A358" s="591" t="s">
        <v>279</v>
      </c>
      <c r="B358" s="598"/>
      <c r="C358" s="599">
        <v>63809.16850872818</v>
      </c>
      <c r="D358" s="151">
        <v>58538.320512820515</v>
      </c>
      <c r="E358" s="151">
        <v>52013.500569387754</v>
      </c>
      <c r="F358" s="151">
        <v>53840.047619047618</v>
      </c>
      <c r="G358" s="151">
        <v>57923.333333333336</v>
      </c>
      <c r="H358" s="151">
        <v>0</v>
      </c>
      <c r="I358" s="599">
        <v>59471.330374968071</v>
      </c>
      <c r="J358" s="599">
        <v>58219.442157218626</v>
      </c>
      <c r="K358" s="151">
        <v>51745.544434401854</v>
      </c>
      <c r="L358" s="151">
        <v>50012.753366450357</v>
      </c>
      <c r="M358" s="151">
        <v>45990.012924820032</v>
      </c>
      <c r="N358" s="599">
        <v>0</v>
      </c>
      <c r="O358" s="599">
        <v>50859.765392008449</v>
      </c>
      <c r="P358" s="599">
        <v>46085.950839939258</v>
      </c>
      <c r="Q358" s="151">
        <v>44057.2800546328</v>
      </c>
      <c r="R358" s="599">
        <v>40268.537788679248</v>
      </c>
      <c r="S358" s="599">
        <v>44779.090365721706</v>
      </c>
      <c r="T358" s="599"/>
      <c r="U358" s="599"/>
      <c r="V358" s="599"/>
      <c r="W358" s="151"/>
      <c r="X358" s="151"/>
    </row>
    <row r="359" spans="1:24">
      <c r="A359" s="591" t="s">
        <v>281</v>
      </c>
      <c r="B359" s="600"/>
      <c r="C359" s="602">
        <v>0</v>
      </c>
      <c r="D359" s="601">
        <v>0</v>
      </c>
      <c r="E359" s="601">
        <v>0</v>
      </c>
      <c r="F359" s="601">
        <v>0</v>
      </c>
      <c r="G359" s="601">
        <v>0</v>
      </c>
      <c r="H359" s="601">
        <v>0</v>
      </c>
      <c r="I359" s="602">
        <v>0</v>
      </c>
      <c r="J359" s="602">
        <v>1.7174190971439436</v>
      </c>
      <c r="K359" s="601">
        <v>-0.64685610198421251</v>
      </c>
      <c r="L359" s="601">
        <v>0.5626769994693559</v>
      </c>
      <c r="M359" s="601">
        <v>0.69752164514032577</v>
      </c>
      <c r="N359" s="602">
        <v>0</v>
      </c>
      <c r="O359" s="602">
        <v>0.14011736356179327</v>
      </c>
      <c r="P359" s="602">
        <v>0.27402525404151823</v>
      </c>
      <c r="Q359" s="601">
        <v>-0.67693550834153249</v>
      </c>
      <c r="R359" s="602">
        <v>0.16929771736897672</v>
      </c>
      <c r="S359" s="602">
        <v>1.1446572145936662E-2</v>
      </c>
      <c r="T359" s="602"/>
      <c r="U359" s="602"/>
      <c r="V359" s="602"/>
      <c r="W359" s="606"/>
      <c r="X359" s="606"/>
    </row>
    <row r="360" spans="1:24">
      <c r="A360" s="591" t="s">
        <v>283</v>
      </c>
      <c r="B360" s="589"/>
      <c r="C360" s="596">
        <v>84009.036482834694</v>
      </c>
      <c r="D360" s="597">
        <v>75982.479552900986</v>
      </c>
      <c r="E360" s="597">
        <v>63167.617887218912</v>
      </c>
      <c r="F360" s="597">
        <v>61660.461744727807</v>
      </c>
      <c r="G360" s="597">
        <v>58640.492704222183</v>
      </c>
      <c r="H360" s="597">
        <v>57755.258250489518</v>
      </c>
      <c r="I360" s="596">
        <v>73458.825806119945</v>
      </c>
      <c r="J360" s="596">
        <v>54175.924906059598</v>
      </c>
      <c r="K360" s="597">
        <v>53785.728975032594</v>
      </c>
      <c r="L360" s="597">
        <v>49354.562347030609</v>
      </c>
      <c r="M360" s="597">
        <v>45876.164282673271</v>
      </c>
      <c r="N360" s="596">
        <v>57212.696479410413</v>
      </c>
      <c r="O360" s="596">
        <v>51671.338241047022</v>
      </c>
      <c r="P360" s="596">
        <v>45758.964140479758</v>
      </c>
      <c r="Q360" s="597">
        <v>44171.575398780493</v>
      </c>
      <c r="R360" s="596">
        <v>40200.47929486166</v>
      </c>
      <c r="S360" s="596">
        <v>44650.237449161286</v>
      </c>
      <c r="T360" s="596"/>
      <c r="U360" s="596"/>
      <c r="V360" s="596"/>
      <c r="W360" s="151"/>
      <c r="X360" s="151"/>
    </row>
    <row r="361" spans="1:24">
      <c r="A361" s="591" t="s">
        <v>285</v>
      </c>
      <c r="B361" s="598"/>
      <c r="C361" s="599">
        <v>84691.302308609505</v>
      </c>
      <c r="D361" s="151">
        <v>75916.652892789236</v>
      </c>
      <c r="E361" s="151">
        <v>63725.108062828323</v>
      </c>
      <c r="F361" s="151">
        <v>62091.455053801983</v>
      </c>
      <c r="G361" s="151">
        <v>59024.507887206564</v>
      </c>
      <c r="H361" s="151">
        <v>57514.557974258933</v>
      </c>
      <c r="I361" s="599">
        <v>73954.52597053448</v>
      </c>
      <c r="J361" s="599">
        <v>54861.800102206347</v>
      </c>
      <c r="K361" s="151">
        <v>54093.048684692287</v>
      </c>
      <c r="L361" s="151">
        <v>49168.777607690652</v>
      </c>
      <c r="M361" s="151">
        <v>46014.70414731004</v>
      </c>
      <c r="N361" s="599">
        <v>57012.930827133881</v>
      </c>
      <c r="O361" s="599">
        <v>51830.606228565914</v>
      </c>
      <c r="P361" s="599">
        <v>45855.188354653605</v>
      </c>
      <c r="Q361" s="151">
        <v>43801.787279337739</v>
      </c>
      <c r="R361" s="599">
        <v>40024.100049110319</v>
      </c>
      <c r="S361" s="599">
        <v>44097.216963692648</v>
      </c>
      <c r="T361" s="599"/>
      <c r="U361" s="599"/>
      <c r="V361" s="599"/>
      <c r="W361" s="151"/>
      <c r="X361" s="151"/>
    </row>
    <row r="362" spans="1:24">
      <c r="A362" s="591" t="s">
        <v>287</v>
      </c>
      <c r="B362" s="600"/>
      <c r="C362" s="602">
        <v>0.81213385409344263</v>
      </c>
      <c r="D362" s="601">
        <v>-8.663399838895755E-2</v>
      </c>
      <c r="E362" s="601">
        <v>0.88255690851722268</v>
      </c>
      <c r="F362" s="601">
        <v>0.69897840022423696</v>
      </c>
      <c r="G362" s="601">
        <v>0.65486350007548988</v>
      </c>
      <c r="H362" s="601">
        <v>-0.41675906838931925</v>
      </c>
      <c r="I362" s="602">
        <v>0.6748000107200699</v>
      </c>
      <c r="J362" s="602">
        <v>1.2660147424082728</v>
      </c>
      <c r="K362" s="601">
        <v>0.571377790198494</v>
      </c>
      <c r="L362" s="601">
        <v>-0.37642870386254101</v>
      </c>
      <c r="M362" s="601">
        <v>0.30198659108275289</v>
      </c>
      <c r="N362" s="602">
        <v>-0.34916314833792733</v>
      </c>
      <c r="O362" s="602">
        <v>0.30823275134835021</v>
      </c>
      <c r="P362" s="602">
        <v>0.21028494849323587</v>
      </c>
      <c r="Q362" s="601">
        <v>-0.83716307626411479</v>
      </c>
      <c r="R362" s="602">
        <v>-0.43874911156565577</v>
      </c>
      <c r="S362" s="602">
        <v>-1.2385611299342061</v>
      </c>
      <c r="T362" s="602"/>
      <c r="U362" s="602"/>
      <c r="V362" s="602"/>
      <c r="W362" s="606"/>
      <c r="X362" s="606"/>
    </row>
    <row r="363" spans="1:24">
      <c r="A363" s="588"/>
    </row>
  </sheetData>
  <phoneticPr fontId="15" type="noConversion"/>
  <pageMargins left="0.5" right="0.5" top="1" bottom="1" header="0.5" footer="0.5"/>
  <pageSetup scale="92" pageOrder="overThenDown" orientation="landscape" cellComments="asDisplayed" r:id="rId2"/>
  <headerFooter alignWithMargins="0">
    <oddHeader>&amp;L&amp;"Arial,Bold"&amp;10SREB-State Data Exchange&amp;C&amp;"Arial,Bold"&amp;10Preliminary Tables&amp;R&amp;"Arial,Bold"&amp;10Part 9: Salaries</oddHeader>
    <oddFooter>&amp;L&amp;"Arial,Bold"&amp;10For Agency Review Only&amp;R&amp;"Arial,Bold"&amp;10October 2009</oddFooter>
  </headerFooter>
  <rowBreaks count="15" manualBreakCount="15">
    <brk id="26" min="2" max="18" man="1"/>
    <brk id="47" min="2" max="18" man="1"/>
    <brk id="68" min="2" max="18" man="1"/>
    <brk id="89" min="2" max="18" man="1"/>
    <brk id="110" min="2" max="18" man="1"/>
    <brk id="131" min="2" max="18" man="1"/>
    <brk id="152" min="2" max="18" man="1"/>
    <brk id="173" min="2" max="18" man="1"/>
    <brk id="194" min="2" max="18" man="1"/>
    <brk id="215" min="2" max="18" man="1"/>
    <brk id="236" min="2" max="18" man="1"/>
    <brk id="257" min="2" max="18" man="1"/>
    <brk id="278" min="2" max="18" man="1"/>
    <brk id="299" min="2" max="18" man="1"/>
    <brk id="320" min="2" max="1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sheetPr codeName="Sheet6" enableFormatConditionsCalculation="0">
    <tabColor indexed="17"/>
  </sheetPr>
  <dimension ref="A1:V124"/>
  <sheetViews>
    <sheetView showZeros="0" zoomScale="90" zoomScaleNormal="90" workbookViewId="0">
      <pane xSplit="2" ySplit="5" topLeftCell="C6" activePane="bottomRight" state="frozen"/>
      <selection pane="topRight" activeCell="C1" sqref="C1"/>
      <selection pane="bottomLeft" activeCell="A6" sqref="A6"/>
      <selection pane="bottomRight" sqref="A1:XFD1048576"/>
    </sheetView>
  </sheetViews>
  <sheetFormatPr defaultRowHeight="15.75"/>
  <cols>
    <col min="1" max="1" width="7.125" style="583" customWidth="1"/>
    <col min="2" max="2" width="17.25" style="78" customWidth="1"/>
    <col min="3" max="8" width="11" style="78" customWidth="1"/>
    <col min="9" max="9" width="9.125" style="78" customWidth="1"/>
    <col min="10" max="14" width="7.625" style="78" customWidth="1"/>
    <col min="15" max="15" width="7.75" style="78" customWidth="1"/>
    <col min="16" max="17" width="7.625" style="78" customWidth="1"/>
    <col min="18" max="18" width="7.75" style="78" customWidth="1"/>
    <col min="19" max="19" width="8" style="78" customWidth="1"/>
    <col min="20" max="20" width="7.75" style="78" customWidth="1"/>
    <col min="21" max="21" width="5.625" style="78" customWidth="1"/>
    <col min="22" max="22" width="8.75" style="78" customWidth="1"/>
    <col min="23" max="23" width="9.875" bestFit="1" customWidth="1"/>
  </cols>
  <sheetData>
    <row r="1" spans="1:22">
      <c r="A1" s="570" t="s">
        <v>102</v>
      </c>
    </row>
    <row r="3" spans="1:22">
      <c r="A3" s="571"/>
      <c r="B3" s="572"/>
      <c r="C3" s="577" t="s">
        <v>288</v>
      </c>
      <c r="D3" s="573" t="s">
        <v>327</v>
      </c>
      <c r="E3" s="573"/>
      <c r="F3" s="573"/>
      <c r="G3" s="573"/>
      <c r="H3" s="573"/>
      <c r="I3" s="573"/>
      <c r="J3" s="573"/>
      <c r="K3" s="573"/>
      <c r="L3" s="573"/>
      <c r="M3" s="573"/>
      <c r="N3" s="573"/>
      <c r="O3" s="573"/>
      <c r="P3" s="573"/>
      <c r="Q3" s="573"/>
      <c r="R3" s="573"/>
      <c r="S3" s="573"/>
      <c r="T3" s="573"/>
      <c r="U3" s="574"/>
      <c r="V3" s="573"/>
    </row>
    <row r="4" spans="1:22">
      <c r="A4" s="575"/>
      <c r="B4" s="576"/>
      <c r="C4" s="577" t="s">
        <v>318</v>
      </c>
      <c r="D4" s="573"/>
      <c r="E4" s="573"/>
      <c r="F4" s="573"/>
      <c r="G4" s="573"/>
      <c r="H4" s="573"/>
      <c r="I4" s="577" t="s">
        <v>238</v>
      </c>
      <c r="J4" s="577" t="s">
        <v>1165</v>
      </c>
      <c r="K4" s="573"/>
      <c r="L4" s="573"/>
      <c r="M4" s="573"/>
      <c r="N4" s="573"/>
      <c r="O4" s="577" t="s">
        <v>238</v>
      </c>
      <c r="P4" s="577" t="s">
        <v>289</v>
      </c>
      <c r="Q4" s="573"/>
      <c r="R4" s="615"/>
      <c r="S4" s="577" t="s">
        <v>238</v>
      </c>
      <c r="T4" s="577">
        <v>99</v>
      </c>
      <c r="U4" s="577" t="s">
        <v>238</v>
      </c>
      <c r="V4" s="577" t="s">
        <v>243</v>
      </c>
    </row>
    <row r="5" spans="1:22">
      <c r="A5" s="571" t="s">
        <v>330</v>
      </c>
      <c r="B5" s="577" t="s">
        <v>244</v>
      </c>
      <c r="C5" s="577">
        <v>1</v>
      </c>
      <c r="D5" s="574">
        <v>2</v>
      </c>
      <c r="E5" s="574">
        <v>3</v>
      </c>
      <c r="F5" s="574">
        <v>4</v>
      </c>
      <c r="G5" s="574">
        <v>5</v>
      </c>
      <c r="H5" s="574">
        <v>6</v>
      </c>
      <c r="I5" s="578"/>
      <c r="J5" s="577">
        <v>7</v>
      </c>
      <c r="K5" s="574">
        <v>8</v>
      </c>
      <c r="L5" s="574">
        <v>9</v>
      </c>
      <c r="M5" s="574">
        <v>10</v>
      </c>
      <c r="N5" s="574" t="s">
        <v>1164</v>
      </c>
      <c r="O5" s="578"/>
      <c r="P5" s="577">
        <v>12</v>
      </c>
      <c r="Q5" s="574">
        <v>13</v>
      </c>
      <c r="R5" s="579">
        <v>14</v>
      </c>
      <c r="S5" s="577"/>
      <c r="T5" s="578">
        <v>99</v>
      </c>
      <c r="U5" s="577"/>
      <c r="V5" s="578"/>
    </row>
    <row r="6" spans="1:22">
      <c r="A6" s="571" t="s">
        <v>329</v>
      </c>
      <c r="B6" s="577" t="s">
        <v>290</v>
      </c>
      <c r="C6" s="577">
        <v>1003</v>
      </c>
      <c r="D6" s="574">
        <v>76</v>
      </c>
      <c r="E6" s="574">
        <v>339</v>
      </c>
      <c r="F6" s="574">
        <v>185</v>
      </c>
      <c r="G6" s="574">
        <v>61</v>
      </c>
      <c r="H6" s="574">
        <v>21</v>
      </c>
      <c r="I6" s="577">
        <v>1685</v>
      </c>
      <c r="J6" s="577">
        <v>0</v>
      </c>
      <c r="K6" s="574">
        <v>0</v>
      </c>
      <c r="L6" s="574">
        <v>0</v>
      </c>
      <c r="M6" s="574">
        <v>0</v>
      </c>
      <c r="N6" s="574">
        <v>0</v>
      </c>
      <c r="O6" s="577">
        <v>0</v>
      </c>
      <c r="P6" s="577">
        <v>0</v>
      </c>
      <c r="Q6" s="574">
        <v>0</v>
      </c>
      <c r="R6" s="577">
        <v>0</v>
      </c>
      <c r="S6" s="577">
        <v>0</v>
      </c>
      <c r="T6" s="577">
        <v>0</v>
      </c>
      <c r="U6" s="577">
        <v>0</v>
      </c>
      <c r="V6" s="577">
        <v>1685</v>
      </c>
    </row>
    <row r="7" spans="1:22">
      <c r="A7" s="575"/>
      <c r="B7" s="579" t="s">
        <v>245</v>
      </c>
      <c r="C7" s="579">
        <v>916</v>
      </c>
      <c r="D7" s="78">
        <v>89</v>
      </c>
      <c r="E7" s="78">
        <v>352</v>
      </c>
      <c r="F7" s="78">
        <v>171</v>
      </c>
      <c r="G7" s="78">
        <v>66</v>
      </c>
      <c r="H7" s="78">
        <v>20</v>
      </c>
      <c r="I7" s="579">
        <v>1614</v>
      </c>
      <c r="J7" s="579">
        <v>0</v>
      </c>
      <c r="K7" s="78">
        <v>0</v>
      </c>
      <c r="L7" s="78">
        <v>0</v>
      </c>
      <c r="M7" s="78">
        <v>0</v>
      </c>
      <c r="N7" s="78">
        <v>0</v>
      </c>
      <c r="O7" s="579">
        <v>0</v>
      </c>
      <c r="P7" s="579">
        <v>0</v>
      </c>
      <c r="Q7" s="78">
        <v>0</v>
      </c>
      <c r="R7" s="579">
        <v>0</v>
      </c>
      <c r="S7" s="579">
        <v>0</v>
      </c>
      <c r="T7" s="579">
        <v>0</v>
      </c>
      <c r="U7" s="579">
        <v>0</v>
      </c>
      <c r="V7" s="579">
        <v>1614</v>
      </c>
    </row>
    <row r="8" spans="1:22">
      <c r="A8" s="575"/>
      <c r="B8" s="579" t="s">
        <v>293</v>
      </c>
      <c r="C8" s="579">
        <v>905</v>
      </c>
      <c r="D8" s="78">
        <v>85</v>
      </c>
      <c r="E8" s="78">
        <v>512</v>
      </c>
      <c r="F8" s="78">
        <v>222</v>
      </c>
      <c r="G8" s="78">
        <v>97</v>
      </c>
      <c r="H8" s="78">
        <v>42</v>
      </c>
      <c r="I8" s="579">
        <v>1863</v>
      </c>
      <c r="J8" s="579">
        <v>0</v>
      </c>
      <c r="K8" s="78">
        <v>0</v>
      </c>
      <c r="L8" s="78">
        <v>0</v>
      </c>
      <c r="M8" s="78">
        <v>0</v>
      </c>
      <c r="N8" s="78">
        <v>0</v>
      </c>
      <c r="O8" s="579">
        <v>0</v>
      </c>
      <c r="P8" s="579">
        <v>0</v>
      </c>
      <c r="Q8" s="78">
        <v>0</v>
      </c>
      <c r="R8" s="579">
        <v>0</v>
      </c>
      <c r="S8" s="579">
        <v>0</v>
      </c>
      <c r="T8" s="579">
        <v>0</v>
      </c>
      <c r="U8" s="579">
        <v>0</v>
      </c>
      <c r="V8" s="579">
        <v>1863</v>
      </c>
    </row>
    <row r="9" spans="1:22">
      <c r="A9" s="575"/>
      <c r="B9" s="579" t="s">
        <v>295</v>
      </c>
      <c r="C9" s="579">
        <v>382</v>
      </c>
      <c r="D9" s="78">
        <v>13</v>
      </c>
      <c r="E9" s="78">
        <v>276</v>
      </c>
      <c r="F9" s="78">
        <v>91</v>
      </c>
      <c r="G9" s="78">
        <v>12</v>
      </c>
      <c r="H9" s="78">
        <v>3</v>
      </c>
      <c r="I9" s="579">
        <v>777</v>
      </c>
      <c r="J9" s="579">
        <v>0</v>
      </c>
      <c r="K9" s="78">
        <v>0</v>
      </c>
      <c r="L9" s="78">
        <v>0</v>
      </c>
      <c r="M9" s="78">
        <v>0</v>
      </c>
      <c r="N9" s="78">
        <v>0</v>
      </c>
      <c r="O9" s="579">
        <v>0</v>
      </c>
      <c r="P9" s="579">
        <v>0</v>
      </c>
      <c r="Q9" s="78">
        <v>0</v>
      </c>
      <c r="R9" s="579">
        <v>0</v>
      </c>
      <c r="S9" s="579">
        <v>0</v>
      </c>
      <c r="T9" s="579">
        <v>0</v>
      </c>
      <c r="U9" s="579">
        <v>0</v>
      </c>
      <c r="V9" s="579">
        <v>777</v>
      </c>
    </row>
    <row r="10" spans="1:22">
      <c r="A10" s="575"/>
      <c r="B10" s="579" t="s">
        <v>297</v>
      </c>
      <c r="C10" s="579">
        <v>26</v>
      </c>
      <c r="D10" s="78">
        <v>40</v>
      </c>
      <c r="E10" s="78">
        <v>70</v>
      </c>
      <c r="F10" s="78">
        <v>2</v>
      </c>
      <c r="G10" s="78">
        <v>8</v>
      </c>
      <c r="H10" s="78">
        <v>0</v>
      </c>
      <c r="I10" s="579">
        <v>146</v>
      </c>
      <c r="J10" s="579">
        <v>0</v>
      </c>
      <c r="K10" s="78">
        <v>0</v>
      </c>
      <c r="L10" s="78">
        <v>0</v>
      </c>
      <c r="M10" s="78">
        <v>0</v>
      </c>
      <c r="N10" s="78">
        <v>0</v>
      </c>
      <c r="O10" s="579">
        <v>0</v>
      </c>
      <c r="P10" s="579">
        <v>0</v>
      </c>
      <c r="Q10" s="78">
        <v>0</v>
      </c>
      <c r="R10" s="579">
        <v>0</v>
      </c>
      <c r="S10" s="579">
        <v>0</v>
      </c>
      <c r="T10" s="579">
        <v>0</v>
      </c>
      <c r="U10" s="579">
        <v>0</v>
      </c>
      <c r="V10" s="579">
        <v>146</v>
      </c>
    </row>
    <row r="11" spans="1:22">
      <c r="A11" s="575"/>
      <c r="B11" s="579" t="s">
        <v>299</v>
      </c>
      <c r="C11" s="579">
        <v>0</v>
      </c>
      <c r="D11" s="78">
        <v>0</v>
      </c>
      <c r="E11" s="78">
        <v>0</v>
      </c>
      <c r="F11" s="78">
        <v>0</v>
      </c>
      <c r="G11" s="78">
        <v>0</v>
      </c>
      <c r="H11" s="78">
        <v>0</v>
      </c>
      <c r="I11" s="579">
        <v>0</v>
      </c>
      <c r="J11" s="579">
        <v>0</v>
      </c>
      <c r="K11" s="78">
        <v>281</v>
      </c>
      <c r="L11" s="78">
        <v>1096</v>
      </c>
      <c r="M11" s="78">
        <v>396</v>
      </c>
      <c r="N11" s="78">
        <v>0</v>
      </c>
      <c r="O11" s="579">
        <v>1773</v>
      </c>
      <c r="P11" s="579">
        <v>76</v>
      </c>
      <c r="Q11" s="78">
        <v>85</v>
      </c>
      <c r="R11" s="579">
        <v>0</v>
      </c>
      <c r="S11" s="579">
        <v>161</v>
      </c>
      <c r="T11" s="579">
        <v>0</v>
      </c>
      <c r="U11" s="579">
        <v>0</v>
      </c>
      <c r="V11" s="579">
        <v>1934</v>
      </c>
    </row>
    <row r="12" spans="1:22">
      <c r="A12" s="575"/>
      <c r="B12" s="579" t="s">
        <v>301</v>
      </c>
      <c r="C12" s="579">
        <v>3232</v>
      </c>
      <c r="D12" s="78">
        <v>303</v>
      </c>
      <c r="E12" s="78">
        <v>1549</v>
      </c>
      <c r="F12" s="78">
        <v>671</v>
      </c>
      <c r="G12" s="78">
        <v>244</v>
      </c>
      <c r="H12" s="78">
        <v>86</v>
      </c>
      <c r="I12" s="579">
        <v>6085</v>
      </c>
      <c r="J12" s="579">
        <v>0</v>
      </c>
      <c r="K12" s="78">
        <v>281</v>
      </c>
      <c r="L12" s="78">
        <v>1096</v>
      </c>
      <c r="M12" s="78">
        <v>396</v>
      </c>
      <c r="N12" s="78">
        <v>0</v>
      </c>
      <c r="O12" s="579">
        <v>1773</v>
      </c>
      <c r="P12" s="579">
        <v>76</v>
      </c>
      <c r="Q12" s="78">
        <v>85</v>
      </c>
      <c r="R12" s="579">
        <v>0</v>
      </c>
      <c r="S12" s="579">
        <v>161</v>
      </c>
      <c r="T12" s="579">
        <v>0</v>
      </c>
      <c r="U12" s="579">
        <v>0</v>
      </c>
      <c r="V12" s="579">
        <v>8019</v>
      </c>
    </row>
    <row r="13" spans="1:22">
      <c r="A13" s="571" t="s">
        <v>338</v>
      </c>
      <c r="B13" s="577" t="s">
        <v>290</v>
      </c>
      <c r="C13" s="577">
        <v>359</v>
      </c>
      <c r="D13" s="574">
        <v>0</v>
      </c>
      <c r="E13" s="574">
        <v>345</v>
      </c>
      <c r="F13" s="574">
        <v>110</v>
      </c>
      <c r="G13" s="574">
        <v>41</v>
      </c>
      <c r="H13" s="574">
        <v>41</v>
      </c>
      <c r="I13" s="577">
        <v>896</v>
      </c>
      <c r="J13" s="577">
        <v>0</v>
      </c>
      <c r="K13" s="574">
        <v>0</v>
      </c>
      <c r="L13" s="574">
        <v>5</v>
      </c>
      <c r="M13" s="574">
        <v>0</v>
      </c>
      <c r="N13" s="574">
        <v>0</v>
      </c>
      <c r="O13" s="577">
        <v>5</v>
      </c>
      <c r="P13" s="577">
        <v>0</v>
      </c>
      <c r="Q13" s="574">
        <v>0</v>
      </c>
      <c r="R13" s="577">
        <v>0</v>
      </c>
      <c r="S13" s="577">
        <v>0</v>
      </c>
      <c r="T13" s="577">
        <v>0</v>
      </c>
      <c r="U13" s="577">
        <v>0</v>
      </c>
      <c r="V13" s="577">
        <v>901</v>
      </c>
    </row>
    <row r="14" spans="1:22">
      <c r="A14" s="575"/>
      <c r="B14" s="579" t="s">
        <v>245</v>
      </c>
      <c r="C14" s="579">
        <v>218</v>
      </c>
      <c r="D14" s="78">
        <v>0</v>
      </c>
      <c r="E14" s="78">
        <v>368</v>
      </c>
      <c r="F14" s="78">
        <v>111</v>
      </c>
      <c r="G14" s="78">
        <v>65</v>
      </c>
      <c r="H14" s="78">
        <v>82</v>
      </c>
      <c r="I14" s="579">
        <v>844</v>
      </c>
      <c r="J14" s="579">
        <v>0</v>
      </c>
      <c r="K14" s="78">
        <v>0</v>
      </c>
      <c r="L14" s="78">
        <v>9</v>
      </c>
      <c r="M14" s="78">
        <v>0</v>
      </c>
      <c r="N14" s="78">
        <v>0</v>
      </c>
      <c r="O14" s="579">
        <v>9</v>
      </c>
      <c r="P14" s="579">
        <v>0</v>
      </c>
      <c r="Q14" s="78">
        <v>0</v>
      </c>
      <c r="R14" s="579">
        <v>0</v>
      </c>
      <c r="S14" s="579">
        <v>0</v>
      </c>
      <c r="T14" s="579">
        <v>0</v>
      </c>
      <c r="U14" s="579">
        <v>0</v>
      </c>
      <c r="V14" s="579">
        <v>853</v>
      </c>
    </row>
    <row r="15" spans="1:22">
      <c r="A15" s="575"/>
      <c r="B15" s="579" t="s">
        <v>293</v>
      </c>
      <c r="C15" s="579">
        <v>170</v>
      </c>
      <c r="D15" s="78">
        <v>0</v>
      </c>
      <c r="E15" s="78">
        <v>429</v>
      </c>
      <c r="F15" s="78">
        <v>145</v>
      </c>
      <c r="G15" s="78">
        <v>99</v>
      </c>
      <c r="H15" s="78">
        <v>151</v>
      </c>
      <c r="I15" s="579">
        <v>994</v>
      </c>
      <c r="J15" s="579">
        <v>0</v>
      </c>
      <c r="K15" s="78">
        <v>0</v>
      </c>
      <c r="L15" s="78">
        <v>34</v>
      </c>
      <c r="M15" s="78">
        <v>32</v>
      </c>
      <c r="N15" s="78">
        <v>0</v>
      </c>
      <c r="O15" s="579">
        <v>66</v>
      </c>
      <c r="P15" s="579">
        <v>0</v>
      </c>
      <c r="Q15" s="78">
        <v>0</v>
      </c>
      <c r="R15" s="579">
        <v>0</v>
      </c>
      <c r="S15" s="579">
        <v>0</v>
      </c>
      <c r="T15" s="579">
        <v>0</v>
      </c>
      <c r="U15" s="579">
        <v>0</v>
      </c>
      <c r="V15" s="579">
        <v>1060</v>
      </c>
    </row>
    <row r="16" spans="1:22">
      <c r="A16" s="575"/>
      <c r="B16" s="579" t="s">
        <v>295</v>
      </c>
      <c r="C16" s="579">
        <v>129</v>
      </c>
      <c r="D16" s="78">
        <v>0</v>
      </c>
      <c r="E16" s="78">
        <v>296</v>
      </c>
      <c r="F16" s="78">
        <v>55</v>
      </c>
      <c r="G16" s="78">
        <v>65</v>
      </c>
      <c r="H16" s="78">
        <v>115</v>
      </c>
      <c r="I16" s="579">
        <v>660</v>
      </c>
      <c r="J16" s="579">
        <v>0</v>
      </c>
      <c r="K16" s="78">
        <v>0</v>
      </c>
      <c r="L16" s="78">
        <v>73</v>
      </c>
      <c r="M16" s="78">
        <v>78</v>
      </c>
      <c r="N16" s="78">
        <v>0</v>
      </c>
      <c r="O16" s="579">
        <v>151</v>
      </c>
      <c r="P16" s="579">
        <v>0</v>
      </c>
      <c r="Q16" s="78">
        <v>0</v>
      </c>
      <c r="R16" s="579">
        <v>0</v>
      </c>
      <c r="S16" s="579">
        <v>0</v>
      </c>
      <c r="T16" s="579">
        <v>0</v>
      </c>
      <c r="U16" s="579">
        <v>0</v>
      </c>
      <c r="V16" s="579">
        <v>811</v>
      </c>
    </row>
    <row r="17" spans="1:22">
      <c r="A17" s="575"/>
      <c r="B17" s="579" t="s">
        <v>297</v>
      </c>
      <c r="C17" s="579">
        <v>76</v>
      </c>
      <c r="D17" s="78">
        <v>0</v>
      </c>
      <c r="E17" s="78">
        <v>66</v>
      </c>
      <c r="F17" s="78">
        <v>35</v>
      </c>
      <c r="G17" s="78">
        <v>42</v>
      </c>
      <c r="H17" s="78">
        <v>7</v>
      </c>
      <c r="I17" s="579">
        <v>226</v>
      </c>
      <c r="J17" s="579">
        <v>0</v>
      </c>
      <c r="K17" s="78">
        <v>0</v>
      </c>
      <c r="L17" s="78">
        <v>0</v>
      </c>
      <c r="M17" s="78">
        <v>0</v>
      </c>
      <c r="N17" s="78">
        <v>0</v>
      </c>
      <c r="O17" s="579">
        <v>0</v>
      </c>
      <c r="P17" s="579">
        <v>0</v>
      </c>
      <c r="Q17" s="78">
        <v>0</v>
      </c>
      <c r="R17" s="579">
        <v>0</v>
      </c>
      <c r="S17" s="579">
        <v>0</v>
      </c>
      <c r="T17" s="579">
        <v>0</v>
      </c>
      <c r="U17" s="579">
        <v>0</v>
      </c>
      <c r="V17" s="579">
        <v>226</v>
      </c>
    </row>
    <row r="18" spans="1:22">
      <c r="A18" s="575"/>
      <c r="B18" s="579" t="s">
        <v>299</v>
      </c>
      <c r="C18" s="579">
        <v>0</v>
      </c>
      <c r="D18" s="78">
        <v>0</v>
      </c>
      <c r="E18" s="78">
        <v>0</v>
      </c>
      <c r="F18" s="78">
        <v>0</v>
      </c>
      <c r="G18" s="78">
        <v>0</v>
      </c>
      <c r="H18" s="78">
        <v>0</v>
      </c>
      <c r="I18" s="579">
        <v>0</v>
      </c>
      <c r="J18" s="579">
        <v>0</v>
      </c>
      <c r="K18" s="78">
        <v>171</v>
      </c>
      <c r="L18" s="78">
        <v>234</v>
      </c>
      <c r="M18" s="78">
        <v>790</v>
      </c>
      <c r="N18" s="78">
        <v>0</v>
      </c>
      <c r="O18" s="579">
        <v>1195</v>
      </c>
      <c r="P18" s="579">
        <v>0</v>
      </c>
      <c r="Q18" s="78">
        <v>0</v>
      </c>
      <c r="R18" s="579">
        <v>0</v>
      </c>
      <c r="S18" s="579">
        <v>0</v>
      </c>
      <c r="T18" s="579">
        <v>0</v>
      </c>
      <c r="U18" s="579">
        <v>0</v>
      </c>
      <c r="V18" s="579">
        <v>1195</v>
      </c>
    </row>
    <row r="19" spans="1:22">
      <c r="A19" s="575"/>
      <c r="B19" s="579" t="s">
        <v>301</v>
      </c>
      <c r="C19" s="579">
        <v>952</v>
      </c>
      <c r="D19" s="78">
        <v>0</v>
      </c>
      <c r="E19" s="78">
        <v>1504</v>
      </c>
      <c r="F19" s="78">
        <v>456</v>
      </c>
      <c r="G19" s="78">
        <v>312</v>
      </c>
      <c r="H19" s="78">
        <v>396</v>
      </c>
      <c r="I19" s="579">
        <v>3620</v>
      </c>
      <c r="J19" s="579">
        <v>0</v>
      </c>
      <c r="K19" s="78">
        <v>171</v>
      </c>
      <c r="L19" s="78">
        <v>355</v>
      </c>
      <c r="M19" s="78">
        <v>900</v>
      </c>
      <c r="N19" s="78">
        <v>0</v>
      </c>
      <c r="O19" s="579">
        <v>1426</v>
      </c>
      <c r="P19" s="579">
        <v>0</v>
      </c>
      <c r="Q19" s="78">
        <v>0</v>
      </c>
      <c r="R19" s="579">
        <v>0</v>
      </c>
      <c r="S19" s="579">
        <v>0</v>
      </c>
      <c r="T19" s="579">
        <v>0</v>
      </c>
      <c r="U19" s="579">
        <v>0</v>
      </c>
      <c r="V19" s="579">
        <v>5046</v>
      </c>
    </row>
    <row r="20" spans="1:22">
      <c r="A20" s="571" t="s">
        <v>339</v>
      </c>
      <c r="B20" s="577" t="s">
        <v>290</v>
      </c>
      <c r="C20" s="577">
        <v>379</v>
      </c>
      <c r="D20" s="574">
        <v>0</v>
      </c>
      <c r="E20" s="574">
        <v>0</v>
      </c>
      <c r="F20" s="574">
        <v>36</v>
      </c>
      <c r="G20" s="574">
        <v>0</v>
      </c>
      <c r="H20" s="574">
        <v>0</v>
      </c>
      <c r="I20" s="577">
        <v>415</v>
      </c>
      <c r="J20" s="577">
        <v>0</v>
      </c>
      <c r="K20" s="574">
        <v>0</v>
      </c>
      <c r="L20" s="574">
        <v>0</v>
      </c>
      <c r="M20" s="574">
        <v>0</v>
      </c>
      <c r="N20" s="574">
        <v>0</v>
      </c>
      <c r="O20" s="577">
        <v>0</v>
      </c>
      <c r="P20" s="577">
        <v>0</v>
      </c>
      <c r="Q20" s="574">
        <v>0</v>
      </c>
      <c r="R20" s="577">
        <v>0</v>
      </c>
      <c r="S20" s="577">
        <v>0</v>
      </c>
      <c r="T20" s="577">
        <v>0</v>
      </c>
      <c r="U20" s="577">
        <v>0</v>
      </c>
      <c r="V20" s="577">
        <v>415</v>
      </c>
    </row>
    <row r="21" spans="1:22">
      <c r="A21" s="575"/>
      <c r="B21" s="579" t="s">
        <v>245</v>
      </c>
      <c r="C21" s="579">
        <v>350</v>
      </c>
      <c r="D21" s="78">
        <v>0</v>
      </c>
      <c r="E21" s="78">
        <v>0</v>
      </c>
      <c r="F21" s="78">
        <v>86</v>
      </c>
      <c r="G21" s="78">
        <v>0</v>
      </c>
      <c r="H21" s="78">
        <v>0</v>
      </c>
      <c r="I21" s="579">
        <v>436</v>
      </c>
      <c r="J21" s="579">
        <v>0</v>
      </c>
      <c r="K21" s="78">
        <v>0</v>
      </c>
      <c r="L21" s="78">
        <v>0</v>
      </c>
      <c r="M21" s="78">
        <v>0</v>
      </c>
      <c r="N21" s="78">
        <v>0</v>
      </c>
      <c r="O21" s="579">
        <v>0</v>
      </c>
      <c r="P21" s="579">
        <v>0</v>
      </c>
      <c r="Q21" s="78">
        <v>0</v>
      </c>
      <c r="R21" s="579">
        <v>0</v>
      </c>
      <c r="S21" s="579">
        <v>0</v>
      </c>
      <c r="T21" s="579">
        <v>0</v>
      </c>
      <c r="U21" s="579">
        <v>0</v>
      </c>
      <c r="V21" s="579">
        <v>436</v>
      </c>
    </row>
    <row r="22" spans="1:22">
      <c r="A22" s="575"/>
      <c r="B22" s="579" t="s">
        <v>293</v>
      </c>
      <c r="C22" s="579">
        <v>290</v>
      </c>
      <c r="D22" s="78">
        <v>0</v>
      </c>
      <c r="E22" s="78">
        <v>0</v>
      </c>
      <c r="F22" s="78">
        <v>63</v>
      </c>
      <c r="G22" s="78">
        <v>0</v>
      </c>
      <c r="H22" s="78">
        <v>0</v>
      </c>
      <c r="I22" s="579">
        <v>353</v>
      </c>
      <c r="J22" s="579">
        <v>0</v>
      </c>
      <c r="K22" s="78">
        <v>0</v>
      </c>
      <c r="L22" s="78">
        <v>0</v>
      </c>
      <c r="M22" s="78">
        <v>0</v>
      </c>
      <c r="N22" s="78">
        <v>0</v>
      </c>
      <c r="O22" s="579">
        <v>0</v>
      </c>
      <c r="P22" s="579">
        <v>0</v>
      </c>
      <c r="Q22" s="78">
        <v>0</v>
      </c>
      <c r="R22" s="579">
        <v>0</v>
      </c>
      <c r="S22" s="579">
        <v>0</v>
      </c>
      <c r="T22" s="579">
        <v>0</v>
      </c>
      <c r="U22" s="579">
        <v>0</v>
      </c>
      <c r="V22" s="579">
        <v>353</v>
      </c>
    </row>
    <row r="23" spans="1:22">
      <c r="A23" s="575"/>
      <c r="B23" s="579" t="s">
        <v>295</v>
      </c>
      <c r="C23" s="579">
        <v>107</v>
      </c>
      <c r="D23" s="78">
        <v>0</v>
      </c>
      <c r="E23" s="78">
        <v>0</v>
      </c>
      <c r="F23" s="78">
        <v>11</v>
      </c>
      <c r="G23" s="78">
        <v>0</v>
      </c>
      <c r="H23" s="78">
        <v>0</v>
      </c>
      <c r="I23" s="579">
        <v>118</v>
      </c>
      <c r="J23" s="579">
        <v>0</v>
      </c>
      <c r="K23" s="78">
        <v>0</v>
      </c>
      <c r="L23" s="78">
        <v>0</v>
      </c>
      <c r="M23" s="78">
        <v>0</v>
      </c>
      <c r="N23" s="78">
        <v>0</v>
      </c>
      <c r="O23" s="579">
        <v>0</v>
      </c>
      <c r="P23" s="579">
        <v>0</v>
      </c>
      <c r="Q23" s="78">
        <v>0</v>
      </c>
      <c r="R23" s="579">
        <v>0</v>
      </c>
      <c r="S23" s="579">
        <v>0</v>
      </c>
      <c r="T23" s="579">
        <v>0</v>
      </c>
      <c r="U23" s="579">
        <v>0</v>
      </c>
      <c r="V23" s="579">
        <v>118</v>
      </c>
    </row>
    <row r="24" spans="1:22">
      <c r="A24" s="575"/>
      <c r="B24" s="579" t="s">
        <v>297</v>
      </c>
      <c r="C24" s="579">
        <v>0</v>
      </c>
      <c r="D24" s="78">
        <v>0</v>
      </c>
      <c r="E24" s="78">
        <v>0</v>
      </c>
      <c r="F24" s="78">
        <v>2</v>
      </c>
      <c r="G24" s="78">
        <v>0</v>
      </c>
      <c r="H24" s="78">
        <v>0</v>
      </c>
      <c r="I24" s="579">
        <v>2</v>
      </c>
      <c r="J24" s="579">
        <v>0</v>
      </c>
      <c r="K24" s="78">
        <v>0</v>
      </c>
      <c r="L24" s="78">
        <v>0</v>
      </c>
      <c r="M24" s="78">
        <v>0</v>
      </c>
      <c r="N24" s="78">
        <v>0</v>
      </c>
      <c r="O24" s="579">
        <v>0</v>
      </c>
      <c r="P24" s="579">
        <v>0</v>
      </c>
      <c r="Q24" s="78">
        <v>0</v>
      </c>
      <c r="R24" s="579">
        <v>0</v>
      </c>
      <c r="S24" s="579">
        <v>0</v>
      </c>
      <c r="T24" s="579">
        <v>0</v>
      </c>
      <c r="U24" s="579">
        <v>0</v>
      </c>
      <c r="V24" s="579">
        <v>2</v>
      </c>
    </row>
    <row r="25" spans="1:22">
      <c r="A25" s="575"/>
      <c r="B25" s="579" t="s">
        <v>299</v>
      </c>
      <c r="C25" s="579">
        <v>0</v>
      </c>
      <c r="D25" s="78">
        <v>0</v>
      </c>
      <c r="E25" s="78">
        <v>0</v>
      </c>
      <c r="F25" s="78">
        <v>0</v>
      </c>
      <c r="G25" s="78">
        <v>0</v>
      </c>
      <c r="H25" s="78">
        <v>0</v>
      </c>
      <c r="I25" s="579">
        <v>0</v>
      </c>
      <c r="J25" s="579">
        <v>0</v>
      </c>
      <c r="K25" s="78">
        <v>0</v>
      </c>
      <c r="L25" s="78">
        <v>300</v>
      </c>
      <c r="M25" s="78">
        <v>84</v>
      </c>
      <c r="N25" s="78">
        <v>0</v>
      </c>
      <c r="O25" s="579">
        <v>384</v>
      </c>
      <c r="P25" s="579">
        <v>0</v>
      </c>
      <c r="Q25" s="78">
        <v>0</v>
      </c>
      <c r="R25" s="579">
        <v>0</v>
      </c>
      <c r="S25" s="579">
        <v>0</v>
      </c>
      <c r="T25" s="579">
        <v>0</v>
      </c>
      <c r="U25" s="579">
        <v>0</v>
      </c>
      <c r="V25" s="579">
        <v>384</v>
      </c>
    </row>
    <row r="26" spans="1:22">
      <c r="A26" s="575"/>
      <c r="B26" s="579" t="s">
        <v>301</v>
      </c>
      <c r="C26" s="579">
        <v>1126</v>
      </c>
      <c r="D26" s="78">
        <v>0</v>
      </c>
      <c r="E26" s="78">
        <v>0</v>
      </c>
      <c r="F26" s="78">
        <v>198</v>
      </c>
      <c r="G26" s="78">
        <v>0</v>
      </c>
      <c r="H26" s="78">
        <v>0</v>
      </c>
      <c r="I26" s="579">
        <v>1324</v>
      </c>
      <c r="J26" s="579">
        <v>0</v>
      </c>
      <c r="K26" s="78">
        <v>0</v>
      </c>
      <c r="L26" s="78">
        <v>300</v>
      </c>
      <c r="M26" s="78">
        <v>84</v>
      </c>
      <c r="N26" s="78">
        <v>0</v>
      </c>
      <c r="O26" s="579">
        <v>384</v>
      </c>
      <c r="P26" s="579">
        <v>0</v>
      </c>
      <c r="Q26" s="78">
        <v>0</v>
      </c>
      <c r="R26" s="579">
        <v>0</v>
      </c>
      <c r="S26" s="579">
        <v>0</v>
      </c>
      <c r="T26" s="579">
        <v>0</v>
      </c>
      <c r="U26" s="579">
        <v>0</v>
      </c>
      <c r="V26" s="579">
        <v>1708</v>
      </c>
    </row>
    <row r="27" spans="1:22">
      <c r="A27" s="571" t="s">
        <v>347</v>
      </c>
      <c r="B27" s="577" t="s">
        <v>290</v>
      </c>
      <c r="C27" s="577">
        <v>1944</v>
      </c>
      <c r="D27" s="574">
        <v>193</v>
      </c>
      <c r="E27" s="574">
        <v>304</v>
      </c>
      <c r="F27" s="574">
        <v>64</v>
      </c>
      <c r="G27" s="574">
        <v>0</v>
      </c>
      <c r="H27" s="574">
        <v>24</v>
      </c>
      <c r="I27" s="577">
        <v>2529</v>
      </c>
      <c r="J27" s="577">
        <v>0</v>
      </c>
      <c r="K27" s="574">
        <v>0</v>
      </c>
      <c r="L27" s="574">
        <v>0</v>
      </c>
      <c r="M27" s="574">
        <v>0</v>
      </c>
      <c r="N27" s="574">
        <v>0</v>
      </c>
      <c r="O27" s="577">
        <v>0</v>
      </c>
      <c r="P27" s="577">
        <v>0</v>
      </c>
      <c r="Q27" s="574">
        <v>0</v>
      </c>
      <c r="R27" s="577">
        <v>0</v>
      </c>
      <c r="S27" s="577">
        <v>0</v>
      </c>
      <c r="T27" s="577">
        <v>0</v>
      </c>
      <c r="U27" s="577">
        <v>0</v>
      </c>
      <c r="V27" s="577">
        <v>2529</v>
      </c>
    </row>
    <row r="28" spans="1:22">
      <c r="A28" s="575"/>
      <c r="B28" s="579" t="s">
        <v>245</v>
      </c>
      <c r="C28" s="579">
        <v>1876</v>
      </c>
      <c r="D28" s="78">
        <v>230</v>
      </c>
      <c r="E28" s="78">
        <v>403</v>
      </c>
      <c r="F28" s="78">
        <v>95</v>
      </c>
      <c r="G28" s="78">
        <v>0</v>
      </c>
      <c r="H28" s="78">
        <v>24</v>
      </c>
      <c r="I28" s="579">
        <v>2628</v>
      </c>
      <c r="J28" s="579">
        <v>0</v>
      </c>
      <c r="K28" s="78">
        <v>0</v>
      </c>
      <c r="L28" s="78">
        <v>0</v>
      </c>
      <c r="M28" s="78">
        <v>0</v>
      </c>
      <c r="N28" s="78">
        <v>0</v>
      </c>
      <c r="O28" s="579">
        <v>0</v>
      </c>
      <c r="P28" s="579">
        <v>0</v>
      </c>
      <c r="Q28" s="78">
        <v>0</v>
      </c>
      <c r="R28" s="579">
        <v>0</v>
      </c>
      <c r="S28" s="579">
        <v>0</v>
      </c>
      <c r="T28" s="579">
        <v>0</v>
      </c>
      <c r="U28" s="579">
        <v>0</v>
      </c>
      <c r="V28" s="579">
        <v>2628</v>
      </c>
    </row>
    <row r="29" spans="1:22">
      <c r="A29" s="575"/>
      <c r="B29" s="579" t="s">
        <v>293</v>
      </c>
      <c r="C29" s="579">
        <v>1546</v>
      </c>
      <c r="D29" s="78">
        <v>166</v>
      </c>
      <c r="E29" s="78">
        <v>388</v>
      </c>
      <c r="F29" s="78">
        <v>124</v>
      </c>
      <c r="G29" s="78">
        <v>0</v>
      </c>
      <c r="H29" s="78">
        <v>22</v>
      </c>
      <c r="I29" s="579">
        <v>2246</v>
      </c>
      <c r="J29" s="579">
        <v>0</v>
      </c>
      <c r="K29" s="78">
        <v>0</v>
      </c>
      <c r="L29" s="78">
        <v>0</v>
      </c>
      <c r="M29" s="78">
        <v>0</v>
      </c>
      <c r="N29" s="78">
        <v>0</v>
      </c>
      <c r="O29" s="579">
        <v>0</v>
      </c>
      <c r="P29" s="579">
        <v>0</v>
      </c>
      <c r="Q29" s="78">
        <v>0</v>
      </c>
      <c r="R29" s="579">
        <v>0</v>
      </c>
      <c r="S29" s="579">
        <v>0</v>
      </c>
      <c r="T29" s="579">
        <v>0</v>
      </c>
      <c r="U29" s="579">
        <v>0</v>
      </c>
      <c r="V29" s="579">
        <v>2246</v>
      </c>
    </row>
    <row r="30" spans="1:22">
      <c r="A30" s="575"/>
      <c r="B30" s="579" t="s">
        <v>295</v>
      </c>
      <c r="C30" s="579">
        <v>659</v>
      </c>
      <c r="D30" s="78">
        <v>182</v>
      </c>
      <c r="E30" s="78">
        <v>186</v>
      </c>
      <c r="F30" s="78">
        <v>90</v>
      </c>
      <c r="G30" s="78">
        <v>0</v>
      </c>
      <c r="H30" s="78">
        <v>1</v>
      </c>
      <c r="I30" s="579">
        <v>1118</v>
      </c>
      <c r="J30" s="579">
        <v>0</v>
      </c>
      <c r="K30" s="78">
        <v>0</v>
      </c>
      <c r="L30" s="78">
        <v>0</v>
      </c>
      <c r="M30" s="78">
        <v>0</v>
      </c>
      <c r="N30" s="78">
        <v>0</v>
      </c>
      <c r="O30" s="579">
        <v>0</v>
      </c>
      <c r="P30" s="579">
        <v>0</v>
      </c>
      <c r="Q30" s="78">
        <v>0</v>
      </c>
      <c r="R30" s="579">
        <v>0</v>
      </c>
      <c r="S30" s="579">
        <v>0</v>
      </c>
      <c r="T30" s="579">
        <v>0</v>
      </c>
      <c r="U30" s="579">
        <v>0</v>
      </c>
      <c r="V30" s="579">
        <v>1118</v>
      </c>
    </row>
    <row r="31" spans="1:22">
      <c r="A31" s="575"/>
      <c r="B31" s="579" t="s">
        <v>297</v>
      </c>
      <c r="C31" s="579">
        <v>537</v>
      </c>
      <c r="D31" s="78">
        <v>3</v>
      </c>
      <c r="E31" s="78">
        <v>45</v>
      </c>
      <c r="F31" s="78">
        <v>0</v>
      </c>
      <c r="G31" s="78">
        <v>0</v>
      </c>
      <c r="H31" s="78">
        <v>0</v>
      </c>
      <c r="I31" s="579">
        <v>585</v>
      </c>
      <c r="J31" s="579">
        <v>0</v>
      </c>
      <c r="K31" s="78">
        <v>0</v>
      </c>
      <c r="L31" s="78">
        <v>0</v>
      </c>
      <c r="M31" s="78">
        <v>0</v>
      </c>
      <c r="N31" s="78">
        <v>0</v>
      </c>
      <c r="O31" s="579">
        <v>0</v>
      </c>
      <c r="P31" s="579">
        <v>0</v>
      </c>
      <c r="Q31" s="78">
        <v>0</v>
      </c>
      <c r="R31" s="579">
        <v>0</v>
      </c>
      <c r="S31" s="579">
        <v>0</v>
      </c>
      <c r="T31" s="579">
        <v>0</v>
      </c>
      <c r="U31" s="579">
        <v>0</v>
      </c>
      <c r="V31" s="579">
        <v>585</v>
      </c>
    </row>
    <row r="32" spans="1:22">
      <c r="A32" s="575"/>
      <c r="B32" s="579" t="s">
        <v>299</v>
      </c>
      <c r="C32" s="579">
        <v>0</v>
      </c>
      <c r="D32" s="78">
        <v>0</v>
      </c>
      <c r="E32" s="78">
        <v>0</v>
      </c>
      <c r="F32" s="78">
        <v>0</v>
      </c>
      <c r="G32" s="78">
        <v>0</v>
      </c>
      <c r="H32" s="78">
        <v>0</v>
      </c>
      <c r="I32" s="579">
        <v>0</v>
      </c>
      <c r="J32" s="579">
        <v>1567</v>
      </c>
      <c r="K32" s="78">
        <v>3436</v>
      </c>
      <c r="L32" s="78">
        <v>433</v>
      </c>
      <c r="M32" s="78">
        <v>57</v>
      </c>
      <c r="N32" s="78">
        <v>0</v>
      </c>
      <c r="O32" s="579">
        <v>5493</v>
      </c>
      <c r="P32" s="579">
        <v>0</v>
      </c>
      <c r="Q32" s="78">
        <v>0</v>
      </c>
      <c r="R32" s="579">
        <v>0</v>
      </c>
      <c r="S32" s="579">
        <v>0</v>
      </c>
      <c r="T32" s="579">
        <v>0</v>
      </c>
      <c r="U32" s="579">
        <v>0</v>
      </c>
      <c r="V32" s="579">
        <v>5493</v>
      </c>
    </row>
    <row r="33" spans="1:22">
      <c r="A33" s="575"/>
      <c r="B33" s="579" t="s">
        <v>301</v>
      </c>
      <c r="C33" s="579">
        <v>6562</v>
      </c>
      <c r="D33" s="78">
        <v>774</v>
      </c>
      <c r="E33" s="78">
        <v>1326</v>
      </c>
      <c r="F33" s="78">
        <v>373</v>
      </c>
      <c r="G33" s="78">
        <v>0</v>
      </c>
      <c r="H33" s="78">
        <v>71</v>
      </c>
      <c r="I33" s="579">
        <v>9106</v>
      </c>
      <c r="J33" s="579">
        <v>1567</v>
      </c>
      <c r="K33" s="78">
        <v>3436</v>
      </c>
      <c r="L33" s="78">
        <v>433</v>
      </c>
      <c r="M33" s="78">
        <v>57</v>
      </c>
      <c r="N33" s="78">
        <v>0</v>
      </c>
      <c r="O33" s="579">
        <v>5493</v>
      </c>
      <c r="P33" s="579">
        <v>0</v>
      </c>
      <c r="Q33" s="78">
        <v>0</v>
      </c>
      <c r="R33" s="579">
        <v>0</v>
      </c>
      <c r="S33" s="579">
        <v>0</v>
      </c>
      <c r="T33" s="579">
        <v>0</v>
      </c>
      <c r="U33" s="579">
        <v>0</v>
      </c>
      <c r="V33" s="579">
        <v>14599</v>
      </c>
    </row>
    <row r="34" spans="1:22">
      <c r="A34" s="571" t="s">
        <v>345</v>
      </c>
      <c r="B34" s="577" t="s">
        <v>290</v>
      </c>
      <c r="C34" s="577">
        <v>887</v>
      </c>
      <c r="D34" s="574">
        <v>411</v>
      </c>
      <c r="E34" s="574">
        <v>399</v>
      </c>
      <c r="F34" s="574">
        <v>350</v>
      </c>
      <c r="G34" s="574">
        <v>198</v>
      </c>
      <c r="H34" s="574">
        <v>53</v>
      </c>
      <c r="I34" s="577">
        <v>2298</v>
      </c>
      <c r="J34" s="577">
        <v>54</v>
      </c>
      <c r="K34" s="574">
        <v>46</v>
      </c>
      <c r="L34" s="574">
        <v>79</v>
      </c>
      <c r="M34" s="574">
        <v>12</v>
      </c>
      <c r="N34" s="574">
        <v>0</v>
      </c>
      <c r="O34" s="577">
        <v>191</v>
      </c>
      <c r="P34" s="577">
        <v>0</v>
      </c>
      <c r="Q34" s="574">
        <v>0</v>
      </c>
      <c r="R34" s="577">
        <v>0</v>
      </c>
      <c r="S34" s="577">
        <v>0</v>
      </c>
      <c r="T34" s="577">
        <v>11</v>
      </c>
      <c r="U34" s="577">
        <v>11</v>
      </c>
      <c r="V34" s="577">
        <v>2500</v>
      </c>
    </row>
    <row r="35" spans="1:22">
      <c r="A35" s="575"/>
      <c r="B35" s="579" t="s">
        <v>245</v>
      </c>
      <c r="C35" s="579">
        <v>788</v>
      </c>
      <c r="D35" s="78">
        <v>241</v>
      </c>
      <c r="E35" s="78">
        <v>400</v>
      </c>
      <c r="F35" s="78">
        <v>403</v>
      </c>
      <c r="G35" s="78">
        <v>201</v>
      </c>
      <c r="H35" s="78">
        <v>124</v>
      </c>
      <c r="I35" s="579">
        <v>2157</v>
      </c>
      <c r="J35" s="579">
        <v>87</v>
      </c>
      <c r="K35" s="78">
        <v>162</v>
      </c>
      <c r="L35" s="78">
        <v>147</v>
      </c>
      <c r="M35" s="78">
        <v>43</v>
      </c>
      <c r="N35" s="78">
        <v>0</v>
      </c>
      <c r="O35" s="579">
        <v>439</v>
      </c>
      <c r="P35" s="579">
        <v>0</v>
      </c>
      <c r="Q35" s="78">
        <v>0</v>
      </c>
      <c r="R35" s="579">
        <v>0</v>
      </c>
      <c r="S35" s="579">
        <v>0</v>
      </c>
      <c r="T35" s="579">
        <v>30</v>
      </c>
      <c r="U35" s="579">
        <v>30</v>
      </c>
      <c r="V35" s="579">
        <v>2626</v>
      </c>
    </row>
    <row r="36" spans="1:22">
      <c r="A36" s="575"/>
      <c r="B36" s="579" t="s">
        <v>293</v>
      </c>
      <c r="C36" s="579">
        <v>767</v>
      </c>
      <c r="D36" s="78">
        <v>223</v>
      </c>
      <c r="E36" s="78">
        <v>552</v>
      </c>
      <c r="F36" s="78">
        <v>660</v>
      </c>
      <c r="G36" s="78">
        <v>327</v>
      </c>
      <c r="H36" s="78">
        <v>160</v>
      </c>
      <c r="I36" s="579">
        <v>2689</v>
      </c>
      <c r="J36" s="579">
        <v>154</v>
      </c>
      <c r="K36" s="78">
        <v>116</v>
      </c>
      <c r="L36" s="78">
        <v>277</v>
      </c>
      <c r="M36" s="78">
        <v>76</v>
      </c>
      <c r="N36" s="78">
        <v>0</v>
      </c>
      <c r="O36" s="579">
        <v>623</v>
      </c>
      <c r="P36" s="579">
        <v>0</v>
      </c>
      <c r="Q36" s="78">
        <v>0</v>
      </c>
      <c r="R36" s="579">
        <v>0</v>
      </c>
      <c r="S36" s="579">
        <v>0</v>
      </c>
      <c r="T36" s="579">
        <v>148</v>
      </c>
      <c r="U36" s="579">
        <v>148</v>
      </c>
      <c r="V36" s="579">
        <v>3460</v>
      </c>
    </row>
    <row r="37" spans="1:22">
      <c r="A37" s="575"/>
      <c r="B37" s="579" t="s">
        <v>295</v>
      </c>
      <c r="C37" s="579">
        <v>106</v>
      </c>
      <c r="D37" s="78">
        <v>26</v>
      </c>
      <c r="E37" s="78">
        <v>221</v>
      </c>
      <c r="F37" s="78">
        <v>158</v>
      </c>
      <c r="G37" s="78">
        <v>114</v>
      </c>
      <c r="H37" s="78">
        <v>7</v>
      </c>
      <c r="I37" s="579">
        <v>632</v>
      </c>
      <c r="J37" s="579">
        <v>21</v>
      </c>
      <c r="K37" s="78">
        <v>113</v>
      </c>
      <c r="L37" s="78">
        <v>197</v>
      </c>
      <c r="M37" s="78">
        <v>48</v>
      </c>
      <c r="N37" s="78">
        <v>0</v>
      </c>
      <c r="O37" s="579">
        <v>379</v>
      </c>
      <c r="P37" s="579">
        <v>0</v>
      </c>
      <c r="Q37" s="78">
        <v>0</v>
      </c>
      <c r="R37" s="579">
        <v>0</v>
      </c>
      <c r="S37" s="579">
        <v>0</v>
      </c>
      <c r="T37" s="579">
        <v>13</v>
      </c>
      <c r="U37" s="579">
        <v>13</v>
      </c>
      <c r="V37" s="579">
        <v>1024</v>
      </c>
    </row>
    <row r="38" spans="1:22">
      <c r="A38" s="575"/>
      <c r="B38" s="579" t="s">
        <v>297</v>
      </c>
      <c r="C38" s="579">
        <v>260</v>
      </c>
      <c r="D38" s="78">
        <v>74</v>
      </c>
      <c r="E38" s="78">
        <v>65</v>
      </c>
      <c r="F38" s="78">
        <v>141</v>
      </c>
      <c r="G38" s="78">
        <v>49</v>
      </c>
      <c r="H38" s="78">
        <v>37</v>
      </c>
      <c r="I38" s="579">
        <v>626</v>
      </c>
      <c r="J38" s="579">
        <v>30</v>
      </c>
      <c r="K38" s="78">
        <v>15</v>
      </c>
      <c r="L38" s="78">
        <v>34</v>
      </c>
      <c r="M38" s="78">
        <v>12</v>
      </c>
      <c r="N38" s="78">
        <v>0</v>
      </c>
      <c r="O38" s="579">
        <v>91</v>
      </c>
      <c r="P38" s="579">
        <v>0</v>
      </c>
      <c r="Q38" s="78">
        <v>0</v>
      </c>
      <c r="R38" s="579">
        <v>0</v>
      </c>
      <c r="S38" s="579">
        <v>0</v>
      </c>
      <c r="T38" s="579">
        <v>0</v>
      </c>
      <c r="U38" s="579">
        <v>0</v>
      </c>
      <c r="V38" s="579">
        <v>717</v>
      </c>
    </row>
    <row r="39" spans="1:22">
      <c r="A39" s="575"/>
      <c r="B39" s="579" t="s">
        <v>299</v>
      </c>
      <c r="C39" s="579">
        <v>0</v>
      </c>
      <c r="D39" s="78">
        <v>0</v>
      </c>
      <c r="E39" s="78">
        <v>0</v>
      </c>
      <c r="F39" s="78">
        <v>0</v>
      </c>
      <c r="G39" s="78">
        <v>0</v>
      </c>
      <c r="H39" s="78">
        <v>0</v>
      </c>
      <c r="I39" s="579">
        <v>0</v>
      </c>
      <c r="J39" s="579">
        <v>0</v>
      </c>
      <c r="K39" s="78">
        <v>0</v>
      </c>
      <c r="L39" s="78">
        <v>0</v>
      </c>
      <c r="M39" s="78">
        <v>0</v>
      </c>
      <c r="N39" s="78">
        <v>0</v>
      </c>
      <c r="O39" s="579">
        <v>0</v>
      </c>
      <c r="P39" s="579">
        <v>2249</v>
      </c>
      <c r="Q39" s="78">
        <v>29</v>
      </c>
      <c r="R39" s="579">
        <v>0</v>
      </c>
      <c r="S39" s="579">
        <v>2278</v>
      </c>
      <c r="T39" s="579">
        <v>0</v>
      </c>
      <c r="U39" s="579">
        <v>0</v>
      </c>
      <c r="V39" s="579">
        <v>2278</v>
      </c>
    </row>
    <row r="40" spans="1:22">
      <c r="A40" s="575"/>
      <c r="B40" s="579" t="s">
        <v>301</v>
      </c>
      <c r="C40" s="579">
        <v>2808</v>
      </c>
      <c r="D40" s="78">
        <v>975</v>
      </c>
      <c r="E40" s="78">
        <v>1637</v>
      </c>
      <c r="F40" s="78">
        <v>1712</v>
      </c>
      <c r="G40" s="78">
        <v>889</v>
      </c>
      <c r="H40" s="78">
        <v>381</v>
      </c>
      <c r="I40" s="579">
        <v>8402</v>
      </c>
      <c r="J40" s="579">
        <v>346</v>
      </c>
      <c r="K40" s="78">
        <v>452</v>
      </c>
      <c r="L40" s="78">
        <v>734</v>
      </c>
      <c r="M40" s="78">
        <v>191</v>
      </c>
      <c r="N40" s="78">
        <v>0</v>
      </c>
      <c r="O40" s="579">
        <v>1723</v>
      </c>
      <c r="P40" s="579">
        <v>2249</v>
      </c>
      <c r="Q40" s="78">
        <v>29</v>
      </c>
      <c r="R40" s="579">
        <v>0</v>
      </c>
      <c r="S40" s="579">
        <v>2278</v>
      </c>
      <c r="T40" s="579">
        <v>202</v>
      </c>
      <c r="U40" s="579">
        <v>202</v>
      </c>
      <c r="V40" s="579">
        <v>12605</v>
      </c>
    </row>
    <row r="41" spans="1:22">
      <c r="A41" s="571" t="s">
        <v>348</v>
      </c>
      <c r="B41" s="577" t="s">
        <v>290</v>
      </c>
      <c r="C41" s="577">
        <v>758</v>
      </c>
      <c r="D41" s="574">
        <v>0</v>
      </c>
      <c r="E41" s="574">
        <v>435</v>
      </c>
      <c r="F41" s="574">
        <v>111</v>
      </c>
      <c r="G41" s="574">
        <v>0</v>
      </c>
      <c r="H41" s="574">
        <v>0</v>
      </c>
      <c r="I41" s="577">
        <v>1304</v>
      </c>
      <c r="J41" s="577">
        <v>0</v>
      </c>
      <c r="K41" s="574">
        <v>154</v>
      </c>
      <c r="L41" s="574">
        <v>352</v>
      </c>
      <c r="M41" s="574">
        <v>100</v>
      </c>
      <c r="N41" s="574">
        <v>0</v>
      </c>
      <c r="O41" s="577">
        <v>606</v>
      </c>
      <c r="P41" s="577">
        <v>10</v>
      </c>
      <c r="Q41" s="574">
        <v>0</v>
      </c>
      <c r="R41" s="577">
        <v>0</v>
      </c>
      <c r="S41" s="577">
        <v>10</v>
      </c>
      <c r="T41" s="577">
        <v>0</v>
      </c>
      <c r="U41" s="577">
        <v>0</v>
      </c>
      <c r="V41" s="577">
        <v>1920</v>
      </c>
    </row>
    <row r="42" spans="1:22">
      <c r="A42" s="575"/>
      <c r="B42" s="579" t="s">
        <v>245</v>
      </c>
      <c r="C42" s="579">
        <v>618</v>
      </c>
      <c r="D42" s="78">
        <v>0</v>
      </c>
      <c r="E42" s="78">
        <v>562</v>
      </c>
      <c r="F42" s="78">
        <v>192</v>
      </c>
      <c r="G42" s="78">
        <v>0</v>
      </c>
      <c r="H42" s="78">
        <v>0</v>
      </c>
      <c r="I42" s="579">
        <v>1372</v>
      </c>
      <c r="J42" s="579">
        <v>0</v>
      </c>
      <c r="K42" s="78">
        <v>218</v>
      </c>
      <c r="L42" s="78">
        <v>320</v>
      </c>
      <c r="M42" s="78">
        <v>58</v>
      </c>
      <c r="N42" s="78">
        <v>0</v>
      </c>
      <c r="O42" s="579">
        <v>596</v>
      </c>
      <c r="P42" s="579">
        <v>40</v>
      </c>
      <c r="Q42" s="78">
        <v>0</v>
      </c>
      <c r="R42" s="579">
        <v>0</v>
      </c>
      <c r="S42" s="579">
        <v>40</v>
      </c>
      <c r="T42" s="579">
        <v>0</v>
      </c>
      <c r="U42" s="579">
        <v>0</v>
      </c>
      <c r="V42" s="579">
        <v>2008</v>
      </c>
    </row>
    <row r="43" spans="1:22">
      <c r="A43" s="575"/>
      <c r="B43" s="579" t="s">
        <v>293</v>
      </c>
      <c r="C43" s="579">
        <v>585</v>
      </c>
      <c r="D43" s="78">
        <v>0</v>
      </c>
      <c r="E43" s="78">
        <v>613</v>
      </c>
      <c r="F43" s="78">
        <v>190</v>
      </c>
      <c r="G43" s="78">
        <v>0</v>
      </c>
      <c r="H43" s="78">
        <v>0</v>
      </c>
      <c r="I43" s="579">
        <v>1388</v>
      </c>
      <c r="J43" s="579">
        <v>0</v>
      </c>
      <c r="K43" s="78">
        <v>74</v>
      </c>
      <c r="L43" s="78">
        <v>141</v>
      </c>
      <c r="M43" s="78">
        <v>24</v>
      </c>
      <c r="N43" s="78">
        <v>0</v>
      </c>
      <c r="O43" s="579">
        <v>239</v>
      </c>
      <c r="P43" s="579">
        <v>37</v>
      </c>
      <c r="Q43" s="78">
        <v>0</v>
      </c>
      <c r="R43" s="579">
        <v>0</v>
      </c>
      <c r="S43" s="579">
        <v>37</v>
      </c>
      <c r="T43" s="579">
        <v>0</v>
      </c>
      <c r="U43" s="579">
        <v>0</v>
      </c>
      <c r="V43" s="579">
        <v>1664</v>
      </c>
    </row>
    <row r="44" spans="1:22">
      <c r="A44" s="575"/>
      <c r="B44" s="579" t="s">
        <v>295</v>
      </c>
      <c r="C44" s="579">
        <v>94</v>
      </c>
      <c r="D44" s="78">
        <v>0</v>
      </c>
      <c r="E44" s="78">
        <v>267</v>
      </c>
      <c r="F44" s="78">
        <v>18</v>
      </c>
      <c r="G44" s="78">
        <v>0</v>
      </c>
      <c r="H44" s="78">
        <v>0</v>
      </c>
      <c r="I44" s="579">
        <v>379</v>
      </c>
      <c r="J44" s="579">
        <v>0</v>
      </c>
      <c r="K44" s="78">
        <v>66</v>
      </c>
      <c r="L44" s="78">
        <v>225</v>
      </c>
      <c r="M44" s="78">
        <v>43</v>
      </c>
      <c r="N44" s="78">
        <v>0</v>
      </c>
      <c r="O44" s="579">
        <v>334</v>
      </c>
      <c r="P44" s="579">
        <v>71</v>
      </c>
      <c r="Q44" s="78">
        <v>0</v>
      </c>
      <c r="R44" s="579">
        <v>0</v>
      </c>
      <c r="S44" s="579">
        <v>71</v>
      </c>
      <c r="T44" s="579">
        <v>0</v>
      </c>
      <c r="U44" s="579">
        <v>0</v>
      </c>
      <c r="V44" s="579">
        <v>784</v>
      </c>
    </row>
    <row r="45" spans="1:22">
      <c r="A45" s="575"/>
      <c r="B45" s="579" t="s">
        <v>297</v>
      </c>
      <c r="C45" s="579">
        <v>152</v>
      </c>
      <c r="D45" s="78">
        <v>0</v>
      </c>
      <c r="E45" s="78">
        <v>282</v>
      </c>
      <c r="F45" s="78">
        <v>143</v>
      </c>
      <c r="G45" s="78">
        <v>0</v>
      </c>
      <c r="H45" s="78">
        <v>0</v>
      </c>
      <c r="I45" s="579">
        <v>577</v>
      </c>
      <c r="J45" s="579">
        <v>0</v>
      </c>
      <c r="K45" s="78">
        <v>0</v>
      </c>
      <c r="L45" s="78">
        <v>0</v>
      </c>
      <c r="M45" s="78">
        <v>0</v>
      </c>
      <c r="N45" s="78">
        <v>0</v>
      </c>
      <c r="O45" s="579">
        <v>0</v>
      </c>
      <c r="P45" s="579">
        <v>0</v>
      </c>
      <c r="Q45" s="78">
        <v>0</v>
      </c>
      <c r="R45" s="579">
        <v>0</v>
      </c>
      <c r="S45" s="579">
        <v>0</v>
      </c>
      <c r="T45" s="579">
        <v>0</v>
      </c>
      <c r="U45" s="579">
        <v>0</v>
      </c>
      <c r="V45" s="579">
        <v>577</v>
      </c>
    </row>
    <row r="46" spans="1:22">
      <c r="A46" s="575"/>
      <c r="B46" s="579" t="s">
        <v>299</v>
      </c>
      <c r="C46" s="579">
        <v>0</v>
      </c>
      <c r="D46" s="78">
        <v>0</v>
      </c>
      <c r="E46" s="78">
        <v>0</v>
      </c>
      <c r="F46" s="78">
        <v>0</v>
      </c>
      <c r="G46" s="78">
        <v>0</v>
      </c>
      <c r="H46" s="78">
        <v>0</v>
      </c>
      <c r="I46" s="579">
        <v>0</v>
      </c>
      <c r="J46" s="579">
        <v>0</v>
      </c>
      <c r="K46" s="78">
        <v>0</v>
      </c>
      <c r="L46" s="78">
        <v>0</v>
      </c>
      <c r="M46" s="78">
        <v>0</v>
      </c>
      <c r="N46" s="78">
        <v>0</v>
      </c>
      <c r="O46" s="579">
        <v>0</v>
      </c>
      <c r="P46" s="579">
        <v>0</v>
      </c>
      <c r="Q46" s="78">
        <v>0</v>
      </c>
      <c r="R46" s="579">
        <v>0</v>
      </c>
      <c r="S46" s="579">
        <v>0</v>
      </c>
      <c r="T46" s="579">
        <v>0</v>
      </c>
      <c r="U46" s="579">
        <v>0</v>
      </c>
      <c r="V46" s="579">
        <v>0</v>
      </c>
    </row>
    <row r="47" spans="1:22">
      <c r="A47" s="575"/>
      <c r="B47" s="579" t="s">
        <v>301</v>
      </c>
      <c r="C47" s="579">
        <v>2207</v>
      </c>
      <c r="D47" s="78">
        <v>0</v>
      </c>
      <c r="E47" s="78">
        <v>2159</v>
      </c>
      <c r="F47" s="78">
        <v>654</v>
      </c>
      <c r="G47" s="78">
        <v>0</v>
      </c>
      <c r="H47" s="78">
        <v>0</v>
      </c>
      <c r="I47" s="579">
        <v>5020</v>
      </c>
      <c r="J47" s="579">
        <v>0</v>
      </c>
      <c r="K47" s="78">
        <v>512</v>
      </c>
      <c r="L47" s="78">
        <v>1038</v>
      </c>
      <c r="M47" s="78">
        <v>225</v>
      </c>
      <c r="N47" s="78">
        <v>0</v>
      </c>
      <c r="O47" s="579">
        <v>1775</v>
      </c>
      <c r="P47" s="579">
        <v>158</v>
      </c>
      <c r="Q47" s="78">
        <v>0</v>
      </c>
      <c r="R47" s="579">
        <v>0</v>
      </c>
      <c r="S47" s="579">
        <v>158</v>
      </c>
      <c r="T47" s="579">
        <v>0</v>
      </c>
      <c r="U47" s="579">
        <v>0</v>
      </c>
      <c r="V47" s="579">
        <v>6953</v>
      </c>
    </row>
    <row r="48" spans="1:22">
      <c r="A48" s="571" t="s">
        <v>308</v>
      </c>
      <c r="B48" s="577" t="s">
        <v>290</v>
      </c>
      <c r="C48" s="577">
        <v>429</v>
      </c>
      <c r="D48" s="574">
        <v>356</v>
      </c>
      <c r="E48" s="574">
        <v>295</v>
      </c>
      <c r="F48" s="574">
        <v>248</v>
      </c>
      <c r="G48" s="574">
        <v>0</v>
      </c>
      <c r="H48" s="574">
        <v>0</v>
      </c>
      <c r="I48" s="577">
        <v>1328</v>
      </c>
      <c r="J48" s="577">
        <v>20</v>
      </c>
      <c r="K48" s="574">
        <v>76</v>
      </c>
      <c r="L48" s="574">
        <v>34</v>
      </c>
      <c r="M48" s="574">
        <v>13</v>
      </c>
      <c r="N48" s="574">
        <v>0</v>
      </c>
      <c r="O48" s="577">
        <v>143</v>
      </c>
      <c r="P48" s="577">
        <v>0</v>
      </c>
      <c r="Q48" s="574">
        <v>0</v>
      </c>
      <c r="R48" s="577">
        <v>98</v>
      </c>
      <c r="S48" s="577">
        <v>98</v>
      </c>
      <c r="T48" s="577">
        <v>0</v>
      </c>
      <c r="U48" s="577">
        <v>0</v>
      </c>
      <c r="V48" s="577">
        <v>1569</v>
      </c>
    </row>
    <row r="49" spans="1:22">
      <c r="A49" s="575"/>
      <c r="B49" s="579" t="s">
        <v>245</v>
      </c>
      <c r="C49" s="579">
        <v>297</v>
      </c>
      <c r="D49" s="78">
        <v>342</v>
      </c>
      <c r="E49" s="78">
        <v>286</v>
      </c>
      <c r="F49" s="78">
        <v>287</v>
      </c>
      <c r="G49" s="78">
        <v>0</v>
      </c>
      <c r="H49" s="78">
        <v>0</v>
      </c>
      <c r="I49" s="579">
        <v>1212</v>
      </c>
      <c r="J49" s="579">
        <v>28</v>
      </c>
      <c r="K49" s="78">
        <v>95</v>
      </c>
      <c r="L49" s="78">
        <v>36</v>
      </c>
      <c r="M49" s="78">
        <v>43</v>
      </c>
      <c r="N49" s="78">
        <v>0</v>
      </c>
      <c r="O49" s="579">
        <v>202</v>
      </c>
      <c r="P49" s="579">
        <v>0</v>
      </c>
      <c r="Q49" s="78">
        <v>0</v>
      </c>
      <c r="R49" s="579">
        <v>21</v>
      </c>
      <c r="S49" s="579">
        <v>21</v>
      </c>
      <c r="T49" s="579">
        <v>0</v>
      </c>
      <c r="U49" s="579">
        <v>0</v>
      </c>
      <c r="V49" s="579">
        <v>1435</v>
      </c>
    </row>
    <row r="50" spans="1:22">
      <c r="A50" s="575"/>
      <c r="B50" s="579" t="s">
        <v>293</v>
      </c>
      <c r="C50" s="579">
        <v>278</v>
      </c>
      <c r="D50" s="78">
        <v>367</v>
      </c>
      <c r="E50" s="78">
        <v>337</v>
      </c>
      <c r="F50" s="78">
        <v>529</v>
      </c>
      <c r="G50" s="78">
        <v>0</v>
      </c>
      <c r="H50" s="78">
        <v>0</v>
      </c>
      <c r="I50" s="579">
        <v>1511</v>
      </c>
      <c r="J50" s="579">
        <v>36</v>
      </c>
      <c r="K50" s="78">
        <v>142</v>
      </c>
      <c r="L50" s="78">
        <v>44</v>
      </c>
      <c r="M50" s="78">
        <v>67</v>
      </c>
      <c r="N50" s="78">
        <v>0</v>
      </c>
      <c r="O50" s="579">
        <v>289</v>
      </c>
      <c r="P50" s="579">
        <v>0</v>
      </c>
      <c r="Q50" s="78">
        <v>1</v>
      </c>
      <c r="R50" s="579">
        <v>38</v>
      </c>
      <c r="S50" s="579">
        <v>39</v>
      </c>
      <c r="T50" s="579">
        <v>0</v>
      </c>
      <c r="U50" s="579">
        <v>0</v>
      </c>
      <c r="V50" s="579">
        <v>1839</v>
      </c>
    </row>
    <row r="51" spans="1:22">
      <c r="A51" s="575"/>
      <c r="B51" s="579" t="s">
        <v>295</v>
      </c>
      <c r="C51" s="579">
        <v>213</v>
      </c>
      <c r="D51" s="78">
        <v>300</v>
      </c>
      <c r="E51" s="78">
        <v>308</v>
      </c>
      <c r="F51" s="78">
        <v>224</v>
      </c>
      <c r="G51" s="78">
        <v>0</v>
      </c>
      <c r="H51" s="78">
        <v>0</v>
      </c>
      <c r="I51" s="579">
        <v>1045</v>
      </c>
      <c r="J51" s="579">
        <v>13</v>
      </c>
      <c r="K51" s="78">
        <v>186</v>
      </c>
      <c r="L51" s="78">
        <v>114</v>
      </c>
      <c r="M51" s="78">
        <v>87</v>
      </c>
      <c r="N51" s="78">
        <v>0</v>
      </c>
      <c r="O51" s="579">
        <v>400</v>
      </c>
      <c r="P51" s="579">
        <v>66</v>
      </c>
      <c r="Q51" s="78">
        <v>47</v>
      </c>
      <c r="R51" s="579">
        <v>437</v>
      </c>
      <c r="S51" s="579">
        <v>550</v>
      </c>
      <c r="T51" s="579">
        <v>0</v>
      </c>
      <c r="U51" s="579">
        <v>0</v>
      </c>
      <c r="V51" s="579">
        <v>1995</v>
      </c>
    </row>
    <row r="52" spans="1:22">
      <c r="A52" s="575"/>
      <c r="B52" s="579" t="s">
        <v>297</v>
      </c>
      <c r="C52" s="579">
        <v>21</v>
      </c>
      <c r="D52" s="78">
        <v>16</v>
      </c>
      <c r="E52" s="78">
        <v>10</v>
      </c>
      <c r="F52" s="78">
        <v>19</v>
      </c>
      <c r="G52" s="78">
        <v>0</v>
      </c>
      <c r="H52" s="78">
        <v>0</v>
      </c>
      <c r="I52" s="579">
        <v>66</v>
      </c>
      <c r="J52" s="579">
        <v>0</v>
      </c>
      <c r="K52" s="78">
        <v>125</v>
      </c>
      <c r="L52" s="78">
        <v>0</v>
      </c>
      <c r="M52" s="78">
        <v>0</v>
      </c>
      <c r="N52" s="78">
        <v>0</v>
      </c>
      <c r="O52" s="579">
        <v>125</v>
      </c>
      <c r="P52" s="579">
        <v>0</v>
      </c>
      <c r="Q52" s="78">
        <v>5</v>
      </c>
      <c r="R52" s="579">
        <v>0</v>
      </c>
      <c r="S52" s="579">
        <v>5</v>
      </c>
      <c r="T52" s="579">
        <v>0</v>
      </c>
      <c r="U52" s="579">
        <v>0</v>
      </c>
      <c r="V52" s="579">
        <v>196</v>
      </c>
    </row>
    <row r="53" spans="1:22">
      <c r="A53" s="575"/>
      <c r="B53" s="579" t="s">
        <v>299</v>
      </c>
      <c r="C53" s="579">
        <v>0</v>
      </c>
      <c r="D53" s="78">
        <v>0</v>
      </c>
      <c r="E53" s="78">
        <v>0</v>
      </c>
      <c r="F53" s="78">
        <v>8</v>
      </c>
      <c r="G53" s="78">
        <v>0</v>
      </c>
      <c r="H53" s="78">
        <v>0</v>
      </c>
      <c r="I53" s="579">
        <v>8</v>
      </c>
      <c r="J53" s="579">
        <v>0</v>
      </c>
      <c r="K53" s="78">
        <v>8</v>
      </c>
      <c r="L53" s="78">
        <v>0</v>
      </c>
      <c r="M53" s="78">
        <v>0</v>
      </c>
      <c r="N53" s="78">
        <v>0</v>
      </c>
      <c r="O53" s="579">
        <v>8</v>
      </c>
      <c r="P53" s="579">
        <v>0</v>
      </c>
      <c r="Q53" s="78">
        <v>0</v>
      </c>
      <c r="R53" s="579">
        <v>524</v>
      </c>
      <c r="S53" s="579">
        <v>524</v>
      </c>
      <c r="T53" s="579">
        <v>0</v>
      </c>
      <c r="U53" s="579">
        <v>0</v>
      </c>
      <c r="V53" s="579">
        <v>540</v>
      </c>
    </row>
    <row r="54" spans="1:22">
      <c r="A54" s="575"/>
      <c r="B54" s="579" t="s">
        <v>301</v>
      </c>
      <c r="C54" s="579">
        <v>1238</v>
      </c>
      <c r="D54" s="78">
        <v>1381</v>
      </c>
      <c r="E54" s="78">
        <v>1236</v>
      </c>
      <c r="F54" s="78">
        <v>1315</v>
      </c>
      <c r="G54" s="78">
        <v>0</v>
      </c>
      <c r="H54" s="78">
        <v>0</v>
      </c>
      <c r="I54" s="579">
        <v>5170</v>
      </c>
      <c r="J54" s="579">
        <v>97</v>
      </c>
      <c r="K54" s="78">
        <v>632</v>
      </c>
      <c r="L54" s="78">
        <v>228</v>
      </c>
      <c r="M54" s="78">
        <v>210</v>
      </c>
      <c r="N54" s="78">
        <v>0</v>
      </c>
      <c r="O54" s="579">
        <v>1167</v>
      </c>
      <c r="P54" s="579">
        <v>66</v>
      </c>
      <c r="Q54" s="78">
        <v>53</v>
      </c>
      <c r="R54" s="579">
        <v>1118</v>
      </c>
      <c r="S54" s="579">
        <v>1237</v>
      </c>
      <c r="T54" s="579">
        <v>0</v>
      </c>
      <c r="U54" s="579">
        <v>0</v>
      </c>
      <c r="V54" s="579">
        <v>7574</v>
      </c>
    </row>
    <row r="55" spans="1:22">
      <c r="A55" s="571" t="s">
        <v>340</v>
      </c>
      <c r="B55" s="577" t="s">
        <v>290</v>
      </c>
      <c r="C55" s="577">
        <v>653</v>
      </c>
      <c r="D55" s="574">
        <v>150</v>
      </c>
      <c r="E55" s="574">
        <v>233</v>
      </c>
      <c r="F55" s="574">
        <v>306</v>
      </c>
      <c r="G55" s="574">
        <v>0</v>
      </c>
      <c r="H55" s="574">
        <v>43</v>
      </c>
      <c r="I55" s="577">
        <v>1385</v>
      </c>
      <c r="J55" s="577">
        <v>0</v>
      </c>
      <c r="K55" s="574">
        <v>524</v>
      </c>
      <c r="L55" s="574">
        <v>274</v>
      </c>
      <c r="M55" s="574">
        <v>39</v>
      </c>
      <c r="N55" s="574">
        <v>0</v>
      </c>
      <c r="O55" s="577">
        <v>837</v>
      </c>
      <c r="P55" s="577">
        <v>0</v>
      </c>
      <c r="Q55" s="574">
        <v>0</v>
      </c>
      <c r="R55" s="577">
        <v>0</v>
      </c>
      <c r="S55" s="577">
        <v>0</v>
      </c>
      <c r="T55" s="577">
        <v>0</v>
      </c>
      <c r="U55" s="577">
        <v>0</v>
      </c>
      <c r="V55" s="577">
        <v>2222</v>
      </c>
    </row>
    <row r="56" spans="1:22">
      <c r="A56" s="575"/>
      <c r="B56" s="579" t="s">
        <v>245</v>
      </c>
      <c r="C56" s="579">
        <v>404</v>
      </c>
      <c r="D56" s="78">
        <v>150</v>
      </c>
      <c r="E56" s="78">
        <v>283</v>
      </c>
      <c r="F56" s="78">
        <v>330</v>
      </c>
      <c r="G56" s="78">
        <v>0</v>
      </c>
      <c r="H56" s="78">
        <v>48</v>
      </c>
      <c r="I56" s="579">
        <v>1215</v>
      </c>
      <c r="J56" s="579">
        <v>0</v>
      </c>
      <c r="K56" s="78">
        <v>446</v>
      </c>
      <c r="L56" s="78">
        <v>193</v>
      </c>
      <c r="M56" s="78">
        <v>36</v>
      </c>
      <c r="N56" s="78">
        <v>0</v>
      </c>
      <c r="O56" s="579">
        <v>675</v>
      </c>
      <c r="P56" s="579">
        <v>0</v>
      </c>
      <c r="Q56" s="78">
        <v>0</v>
      </c>
      <c r="R56" s="579">
        <v>0</v>
      </c>
      <c r="S56" s="579">
        <v>0</v>
      </c>
      <c r="T56" s="579">
        <v>0</v>
      </c>
      <c r="U56" s="579">
        <v>0</v>
      </c>
      <c r="V56" s="579">
        <v>1890</v>
      </c>
    </row>
    <row r="57" spans="1:22">
      <c r="A57" s="575"/>
      <c r="B57" s="579" t="s">
        <v>293</v>
      </c>
      <c r="C57" s="579">
        <v>300</v>
      </c>
      <c r="D57" s="78">
        <v>95</v>
      </c>
      <c r="E57" s="78">
        <v>397</v>
      </c>
      <c r="F57" s="78">
        <v>456</v>
      </c>
      <c r="G57" s="78">
        <v>0</v>
      </c>
      <c r="H57" s="78">
        <v>51</v>
      </c>
      <c r="I57" s="579">
        <v>1299</v>
      </c>
      <c r="J57" s="579">
        <v>0</v>
      </c>
      <c r="K57" s="78">
        <v>395</v>
      </c>
      <c r="L57" s="78">
        <v>333</v>
      </c>
      <c r="M57" s="78">
        <v>42</v>
      </c>
      <c r="N57" s="78">
        <v>0</v>
      </c>
      <c r="O57" s="579">
        <v>770</v>
      </c>
      <c r="P57" s="579">
        <v>0</v>
      </c>
      <c r="Q57" s="78">
        <v>0</v>
      </c>
      <c r="R57" s="579">
        <v>0</v>
      </c>
      <c r="S57" s="579">
        <v>0</v>
      </c>
      <c r="T57" s="579">
        <v>0</v>
      </c>
      <c r="U57" s="579">
        <v>0</v>
      </c>
      <c r="V57" s="579">
        <v>2069</v>
      </c>
    </row>
    <row r="58" spans="1:22">
      <c r="A58" s="575"/>
      <c r="B58" s="579" t="s">
        <v>295</v>
      </c>
      <c r="C58" s="579">
        <v>18</v>
      </c>
      <c r="D58" s="78">
        <v>12</v>
      </c>
      <c r="E58" s="78">
        <v>25</v>
      </c>
      <c r="F58" s="78">
        <v>38</v>
      </c>
      <c r="G58" s="78">
        <v>0</v>
      </c>
      <c r="H58" s="78">
        <v>3</v>
      </c>
      <c r="I58" s="579">
        <v>96</v>
      </c>
      <c r="J58" s="579">
        <v>0</v>
      </c>
      <c r="K58" s="78">
        <v>75</v>
      </c>
      <c r="L58" s="78">
        <v>99</v>
      </c>
      <c r="M58" s="78">
        <v>9</v>
      </c>
      <c r="N58" s="78">
        <v>0</v>
      </c>
      <c r="O58" s="579">
        <v>183</v>
      </c>
      <c r="P58" s="579">
        <v>0</v>
      </c>
      <c r="Q58" s="78">
        <v>0</v>
      </c>
      <c r="R58" s="579">
        <v>0</v>
      </c>
      <c r="S58" s="579">
        <v>0</v>
      </c>
      <c r="T58" s="579">
        <v>0</v>
      </c>
      <c r="U58" s="579">
        <v>0</v>
      </c>
      <c r="V58" s="579">
        <v>279</v>
      </c>
    </row>
    <row r="59" spans="1:22">
      <c r="A59" s="575"/>
      <c r="B59" s="579" t="s">
        <v>297</v>
      </c>
      <c r="C59" s="579">
        <v>0</v>
      </c>
      <c r="D59" s="78">
        <v>0</v>
      </c>
      <c r="E59" s="78">
        <v>0</v>
      </c>
      <c r="F59" s="78">
        <v>3</v>
      </c>
      <c r="G59" s="78">
        <v>0</v>
      </c>
      <c r="H59" s="78">
        <v>0</v>
      </c>
      <c r="I59" s="579">
        <v>3</v>
      </c>
      <c r="J59" s="579">
        <v>0</v>
      </c>
      <c r="K59" s="78">
        <v>0</v>
      </c>
      <c r="L59" s="78">
        <v>37</v>
      </c>
      <c r="M59" s="78">
        <v>0</v>
      </c>
      <c r="N59" s="78">
        <v>0</v>
      </c>
      <c r="O59" s="579">
        <v>37</v>
      </c>
      <c r="P59" s="579">
        <v>0</v>
      </c>
      <c r="Q59" s="78">
        <v>0</v>
      </c>
      <c r="R59" s="579">
        <v>0</v>
      </c>
      <c r="S59" s="579">
        <v>0</v>
      </c>
      <c r="T59" s="579">
        <v>0</v>
      </c>
      <c r="U59" s="579">
        <v>0</v>
      </c>
      <c r="V59" s="579">
        <v>40</v>
      </c>
    </row>
    <row r="60" spans="1:22">
      <c r="A60" s="575"/>
      <c r="B60" s="579" t="s">
        <v>299</v>
      </c>
      <c r="C60" s="579">
        <v>0</v>
      </c>
      <c r="D60" s="78">
        <v>0</v>
      </c>
      <c r="E60" s="78">
        <v>0</v>
      </c>
      <c r="F60" s="78">
        <v>0</v>
      </c>
      <c r="G60" s="78">
        <v>0</v>
      </c>
      <c r="H60" s="78">
        <v>0</v>
      </c>
      <c r="I60" s="579">
        <v>0</v>
      </c>
      <c r="J60" s="579">
        <v>0</v>
      </c>
      <c r="K60" s="78">
        <v>0</v>
      </c>
      <c r="L60" s="78">
        <v>0</v>
      </c>
      <c r="M60" s="78">
        <v>0</v>
      </c>
      <c r="N60" s="78">
        <v>0</v>
      </c>
      <c r="O60" s="579">
        <v>0</v>
      </c>
      <c r="P60" s="579">
        <v>0</v>
      </c>
      <c r="Q60" s="78">
        <v>0</v>
      </c>
      <c r="R60" s="579">
        <v>0</v>
      </c>
      <c r="S60" s="579">
        <v>0</v>
      </c>
      <c r="T60" s="579">
        <v>0</v>
      </c>
      <c r="U60" s="579">
        <v>0</v>
      </c>
      <c r="V60" s="579">
        <v>0</v>
      </c>
    </row>
    <row r="61" spans="1:22">
      <c r="A61" s="575"/>
      <c r="B61" s="579" t="s">
        <v>301</v>
      </c>
      <c r="C61" s="579">
        <v>1375</v>
      </c>
      <c r="D61" s="78">
        <v>407</v>
      </c>
      <c r="E61" s="78">
        <v>938</v>
      </c>
      <c r="F61" s="78">
        <v>1133</v>
      </c>
      <c r="G61" s="78">
        <v>0</v>
      </c>
      <c r="H61" s="78">
        <v>145</v>
      </c>
      <c r="I61" s="579">
        <v>3998</v>
      </c>
      <c r="J61" s="579">
        <v>0</v>
      </c>
      <c r="K61" s="78">
        <v>1440</v>
      </c>
      <c r="L61" s="78">
        <v>936</v>
      </c>
      <c r="M61" s="78">
        <v>126</v>
      </c>
      <c r="N61" s="78">
        <v>0</v>
      </c>
      <c r="O61" s="579">
        <v>2502</v>
      </c>
      <c r="P61" s="579">
        <v>0</v>
      </c>
      <c r="Q61" s="78">
        <v>0</v>
      </c>
      <c r="R61" s="579">
        <v>0</v>
      </c>
      <c r="S61" s="579">
        <v>0</v>
      </c>
      <c r="T61" s="579">
        <v>0</v>
      </c>
      <c r="U61" s="579">
        <v>0</v>
      </c>
      <c r="V61" s="579">
        <v>6500</v>
      </c>
    </row>
    <row r="62" spans="1:22">
      <c r="A62" s="571" t="s">
        <v>341</v>
      </c>
      <c r="B62" s="577" t="s">
        <v>290</v>
      </c>
      <c r="C62" s="577">
        <v>357</v>
      </c>
      <c r="D62" s="574">
        <v>242</v>
      </c>
      <c r="E62" s="574">
        <v>0</v>
      </c>
      <c r="F62" s="574">
        <v>82</v>
      </c>
      <c r="G62" s="574">
        <v>27</v>
      </c>
      <c r="H62" s="574">
        <v>0</v>
      </c>
      <c r="I62" s="577">
        <v>708</v>
      </c>
      <c r="J62" s="577">
        <v>0</v>
      </c>
      <c r="K62" s="574">
        <v>0</v>
      </c>
      <c r="L62" s="574">
        <v>0</v>
      </c>
      <c r="M62" s="574">
        <v>0</v>
      </c>
      <c r="N62" s="574">
        <v>0</v>
      </c>
      <c r="O62" s="577">
        <v>0</v>
      </c>
      <c r="P62" s="577">
        <v>0</v>
      </c>
      <c r="Q62" s="574">
        <v>0</v>
      </c>
      <c r="R62" s="577">
        <v>0</v>
      </c>
      <c r="S62" s="577">
        <v>0</v>
      </c>
      <c r="T62" s="577">
        <v>0</v>
      </c>
      <c r="U62" s="577">
        <v>0</v>
      </c>
      <c r="V62" s="577">
        <v>708</v>
      </c>
    </row>
    <row r="63" spans="1:22">
      <c r="A63" s="575"/>
      <c r="B63" s="579" t="s">
        <v>245</v>
      </c>
      <c r="C63" s="579">
        <v>380</v>
      </c>
      <c r="D63" s="78">
        <v>308</v>
      </c>
      <c r="E63" s="78">
        <v>0</v>
      </c>
      <c r="F63" s="78">
        <v>114</v>
      </c>
      <c r="G63" s="78">
        <v>20</v>
      </c>
      <c r="H63" s="78">
        <v>0</v>
      </c>
      <c r="I63" s="579">
        <v>822</v>
      </c>
      <c r="J63" s="579">
        <v>0</v>
      </c>
      <c r="K63" s="78">
        <v>0</v>
      </c>
      <c r="L63" s="78">
        <v>0</v>
      </c>
      <c r="M63" s="78">
        <v>0</v>
      </c>
      <c r="N63" s="78">
        <v>0</v>
      </c>
      <c r="O63" s="579">
        <v>0</v>
      </c>
      <c r="P63" s="579">
        <v>0</v>
      </c>
      <c r="Q63" s="78">
        <v>0</v>
      </c>
      <c r="R63" s="579">
        <v>0</v>
      </c>
      <c r="S63" s="579">
        <v>0</v>
      </c>
      <c r="T63" s="579">
        <v>0</v>
      </c>
      <c r="U63" s="579">
        <v>0</v>
      </c>
      <c r="V63" s="579">
        <v>822</v>
      </c>
    </row>
    <row r="64" spans="1:22">
      <c r="A64" s="575"/>
      <c r="B64" s="579" t="s">
        <v>293</v>
      </c>
      <c r="C64" s="579">
        <v>488</v>
      </c>
      <c r="D64" s="78">
        <v>337</v>
      </c>
      <c r="E64" s="78">
        <v>0</v>
      </c>
      <c r="F64" s="78">
        <v>167</v>
      </c>
      <c r="G64" s="78">
        <v>34</v>
      </c>
      <c r="H64" s="78">
        <v>0</v>
      </c>
      <c r="I64" s="579">
        <v>1026</v>
      </c>
      <c r="J64" s="579">
        <v>0</v>
      </c>
      <c r="K64" s="78">
        <v>0</v>
      </c>
      <c r="L64" s="78">
        <v>0</v>
      </c>
      <c r="M64" s="78">
        <v>0</v>
      </c>
      <c r="N64" s="78">
        <v>0</v>
      </c>
      <c r="O64" s="579">
        <v>0</v>
      </c>
      <c r="P64" s="579">
        <v>0</v>
      </c>
      <c r="Q64" s="78">
        <v>0</v>
      </c>
      <c r="R64" s="579">
        <v>0</v>
      </c>
      <c r="S64" s="579">
        <v>0</v>
      </c>
      <c r="T64" s="579">
        <v>0</v>
      </c>
      <c r="U64" s="579">
        <v>0</v>
      </c>
      <c r="V64" s="579">
        <v>1026</v>
      </c>
    </row>
    <row r="65" spans="1:22">
      <c r="A65" s="575"/>
      <c r="B65" s="579" t="s">
        <v>295</v>
      </c>
      <c r="C65" s="579">
        <v>272</v>
      </c>
      <c r="D65" s="78">
        <v>197</v>
      </c>
      <c r="E65" s="78">
        <v>0</v>
      </c>
      <c r="F65" s="78">
        <v>126</v>
      </c>
      <c r="G65" s="78">
        <v>49</v>
      </c>
      <c r="H65" s="78">
        <v>0</v>
      </c>
      <c r="I65" s="579">
        <v>644</v>
      </c>
      <c r="J65" s="579">
        <v>0</v>
      </c>
      <c r="K65" s="78">
        <v>0</v>
      </c>
      <c r="L65" s="78">
        <v>0</v>
      </c>
      <c r="M65" s="78">
        <v>0</v>
      </c>
      <c r="N65" s="78">
        <v>0</v>
      </c>
      <c r="O65" s="579">
        <v>0</v>
      </c>
      <c r="P65" s="579">
        <v>0</v>
      </c>
      <c r="Q65" s="78">
        <v>0</v>
      </c>
      <c r="R65" s="579">
        <v>0</v>
      </c>
      <c r="S65" s="579">
        <v>0</v>
      </c>
      <c r="T65" s="579">
        <v>0</v>
      </c>
      <c r="U65" s="579">
        <v>0</v>
      </c>
      <c r="V65" s="579">
        <v>644</v>
      </c>
    </row>
    <row r="66" spans="1:22">
      <c r="A66" s="575"/>
      <c r="B66" s="579" t="s">
        <v>297</v>
      </c>
      <c r="C66" s="579">
        <v>53</v>
      </c>
      <c r="D66" s="78">
        <v>19</v>
      </c>
      <c r="E66" s="78">
        <v>0</v>
      </c>
      <c r="F66" s="78">
        <v>0</v>
      </c>
      <c r="G66" s="78">
        <v>0</v>
      </c>
      <c r="H66" s="78">
        <v>0</v>
      </c>
      <c r="I66" s="579">
        <v>72</v>
      </c>
      <c r="J66" s="579">
        <v>0</v>
      </c>
      <c r="K66" s="78">
        <v>0</v>
      </c>
      <c r="L66" s="78">
        <v>0</v>
      </c>
      <c r="M66" s="78">
        <v>0</v>
      </c>
      <c r="N66" s="78">
        <v>0</v>
      </c>
      <c r="O66" s="579">
        <v>0</v>
      </c>
      <c r="P66" s="579">
        <v>0</v>
      </c>
      <c r="Q66" s="78">
        <v>0</v>
      </c>
      <c r="R66" s="579">
        <v>0</v>
      </c>
      <c r="S66" s="579">
        <v>0</v>
      </c>
      <c r="T66" s="579">
        <v>0</v>
      </c>
      <c r="U66" s="579">
        <v>0</v>
      </c>
      <c r="V66" s="579">
        <v>72</v>
      </c>
    </row>
    <row r="67" spans="1:22">
      <c r="A67" s="575"/>
      <c r="B67" s="579" t="s">
        <v>299</v>
      </c>
      <c r="C67" s="579">
        <v>0</v>
      </c>
      <c r="D67" s="78">
        <v>0</v>
      </c>
      <c r="E67" s="78">
        <v>0</v>
      </c>
      <c r="F67" s="78">
        <v>0</v>
      </c>
      <c r="G67" s="78">
        <v>0</v>
      </c>
      <c r="H67" s="78">
        <v>0</v>
      </c>
      <c r="I67" s="579">
        <v>0</v>
      </c>
      <c r="J67" s="579">
        <v>0</v>
      </c>
      <c r="K67" s="78">
        <v>1168.3</v>
      </c>
      <c r="L67" s="78">
        <v>1192</v>
      </c>
      <c r="M67" s="78">
        <v>145</v>
      </c>
      <c r="N67" s="78">
        <v>0</v>
      </c>
      <c r="O67" s="579">
        <v>2505.3000000000002</v>
      </c>
      <c r="P67" s="579">
        <v>0</v>
      </c>
      <c r="Q67" s="78">
        <v>0</v>
      </c>
      <c r="R67" s="579">
        <v>0</v>
      </c>
      <c r="S67" s="579">
        <v>0</v>
      </c>
      <c r="T67" s="579">
        <v>0</v>
      </c>
      <c r="U67" s="579">
        <v>0</v>
      </c>
      <c r="V67" s="579">
        <v>2505.3000000000002</v>
      </c>
    </row>
    <row r="68" spans="1:22">
      <c r="A68" s="575"/>
      <c r="B68" s="579" t="s">
        <v>301</v>
      </c>
      <c r="C68" s="579">
        <v>1550</v>
      </c>
      <c r="D68" s="78">
        <v>1103</v>
      </c>
      <c r="E68" s="78">
        <v>0</v>
      </c>
      <c r="F68" s="78">
        <v>489</v>
      </c>
      <c r="G68" s="78">
        <v>130</v>
      </c>
      <c r="H68" s="78">
        <v>0</v>
      </c>
      <c r="I68" s="579">
        <v>3272</v>
      </c>
      <c r="J68" s="579">
        <v>0</v>
      </c>
      <c r="K68" s="78">
        <v>1168.3</v>
      </c>
      <c r="L68" s="78">
        <v>1192</v>
      </c>
      <c r="M68" s="78">
        <v>145</v>
      </c>
      <c r="N68" s="78">
        <v>0</v>
      </c>
      <c r="O68" s="579">
        <v>2505.3000000000002</v>
      </c>
      <c r="P68" s="579">
        <v>0</v>
      </c>
      <c r="Q68" s="78">
        <v>0</v>
      </c>
      <c r="R68" s="579">
        <v>0</v>
      </c>
      <c r="S68" s="579">
        <v>0</v>
      </c>
      <c r="T68" s="579">
        <v>0</v>
      </c>
      <c r="U68" s="579">
        <v>0</v>
      </c>
      <c r="V68" s="579">
        <v>5777.3</v>
      </c>
    </row>
    <row r="69" spans="1:22">
      <c r="A69" s="571" t="s">
        <v>342</v>
      </c>
      <c r="B69" s="577" t="s">
        <v>290</v>
      </c>
      <c r="C69" s="577">
        <v>1309</v>
      </c>
      <c r="D69" s="574">
        <v>398</v>
      </c>
      <c r="E69" s="574">
        <v>916</v>
      </c>
      <c r="F69" s="574">
        <v>44</v>
      </c>
      <c r="G69" s="574">
        <v>100</v>
      </c>
      <c r="H69" s="574">
        <v>115</v>
      </c>
      <c r="I69" s="577">
        <v>2882</v>
      </c>
      <c r="J69" s="577">
        <v>0</v>
      </c>
      <c r="K69" s="574">
        <v>0</v>
      </c>
      <c r="L69" s="574">
        <v>0</v>
      </c>
      <c r="M69" s="574">
        <v>0</v>
      </c>
      <c r="N69" s="574">
        <v>0</v>
      </c>
      <c r="O69" s="577">
        <v>0</v>
      </c>
      <c r="P69" s="577">
        <v>0</v>
      </c>
      <c r="Q69" s="574">
        <v>0</v>
      </c>
      <c r="R69" s="577">
        <v>0</v>
      </c>
      <c r="S69" s="577">
        <v>0</v>
      </c>
      <c r="T69" s="577">
        <v>0</v>
      </c>
      <c r="U69" s="577">
        <v>0</v>
      </c>
      <c r="V69" s="577">
        <v>2882</v>
      </c>
    </row>
    <row r="70" spans="1:22">
      <c r="A70" s="575"/>
      <c r="B70" s="579" t="s">
        <v>245</v>
      </c>
      <c r="C70" s="579">
        <v>780</v>
      </c>
      <c r="D70" s="78">
        <v>538</v>
      </c>
      <c r="E70" s="78">
        <v>1178</v>
      </c>
      <c r="F70" s="78">
        <v>82</v>
      </c>
      <c r="G70" s="78">
        <v>173</v>
      </c>
      <c r="H70" s="78">
        <v>100</v>
      </c>
      <c r="I70" s="579">
        <v>2851</v>
      </c>
      <c r="J70" s="579">
        <v>0</v>
      </c>
      <c r="K70" s="78">
        <v>0</v>
      </c>
      <c r="L70" s="78">
        <v>0</v>
      </c>
      <c r="M70" s="78">
        <v>0</v>
      </c>
      <c r="N70" s="78">
        <v>0</v>
      </c>
      <c r="O70" s="579">
        <v>0</v>
      </c>
      <c r="P70" s="579">
        <v>0</v>
      </c>
      <c r="Q70" s="78">
        <v>0</v>
      </c>
      <c r="R70" s="579">
        <v>0</v>
      </c>
      <c r="S70" s="579">
        <v>0</v>
      </c>
      <c r="T70" s="579">
        <v>0</v>
      </c>
      <c r="U70" s="579">
        <v>0</v>
      </c>
      <c r="V70" s="579">
        <v>2851</v>
      </c>
    </row>
    <row r="71" spans="1:22">
      <c r="A71" s="575"/>
      <c r="B71" s="579" t="s">
        <v>293</v>
      </c>
      <c r="C71" s="579">
        <v>673</v>
      </c>
      <c r="D71" s="78">
        <v>382</v>
      </c>
      <c r="E71" s="78">
        <v>1055</v>
      </c>
      <c r="F71" s="78">
        <v>109</v>
      </c>
      <c r="G71" s="78">
        <v>246</v>
      </c>
      <c r="H71" s="78">
        <v>87</v>
      </c>
      <c r="I71" s="579">
        <v>2552</v>
      </c>
      <c r="J71" s="579">
        <v>0</v>
      </c>
      <c r="K71" s="78">
        <v>0</v>
      </c>
      <c r="L71" s="78">
        <v>0</v>
      </c>
      <c r="M71" s="78">
        <v>0</v>
      </c>
      <c r="N71" s="78">
        <v>0</v>
      </c>
      <c r="O71" s="579">
        <v>0</v>
      </c>
      <c r="P71" s="579">
        <v>0</v>
      </c>
      <c r="Q71" s="78">
        <v>0</v>
      </c>
      <c r="R71" s="579">
        <v>0</v>
      </c>
      <c r="S71" s="579">
        <v>0</v>
      </c>
      <c r="T71" s="579">
        <v>0</v>
      </c>
      <c r="U71" s="579">
        <v>0</v>
      </c>
      <c r="V71" s="579">
        <v>2552</v>
      </c>
    </row>
    <row r="72" spans="1:22">
      <c r="A72" s="575"/>
      <c r="B72" s="579" t="s">
        <v>295</v>
      </c>
      <c r="C72" s="579">
        <v>16</v>
      </c>
      <c r="D72" s="78">
        <v>60</v>
      </c>
      <c r="E72" s="78">
        <v>35</v>
      </c>
      <c r="F72" s="78">
        <v>9</v>
      </c>
      <c r="G72" s="78">
        <v>48</v>
      </c>
      <c r="H72" s="78">
        <v>3</v>
      </c>
      <c r="I72" s="579">
        <v>171</v>
      </c>
      <c r="J72" s="579">
        <v>0</v>
      </c>
      <c r="K72" s="78">
        <v>0</v>
      </c>
      <c r="L72" s="78">
        <v>0</v>
      </c>
      <c r="M72" s="78">
        <v>0</v>
      </c>
      <c r="N72" s="78">
        <v>0</v>
      </c>
      <c r="O72" s="579">
        <v>0</v>
      </c>
      <c r="P72" s="579">
        <v>0</v>
      </c>
      <c r="Q72" s="78">
        <v>0</v>
      </c>
      <c r="R72" s="579">
        <v>0</v>
      </c>
      <c r="S72" s="579">
        <v>0</v>
      </c>
      <c r="T72" s="579">
        <v>0</v>
      </c>
      <c r="U72" s="579">
        <v>0</v>
      </c>
      <c r="V72" s="579">
        <v>171</v>
      </c>
    </row>
    <row r="73" spans="1:22">
      <c r="A73" s="575"/>
      <c r="B73" s="579" t="s">
        <v>297</v>
      </c>
      <c r="C73" s="579">
        <v>648</v>
      </c>
      <c r="D73" s="78">
        <v>410</v>
      </c>
      <c r="E73" s="78">
        <v>923</v>
      </c>
      <c r="F73" s="78">
        <v>33</v>
      </c>
      <c r="G73" s="78">
        <v>105</v>
      </c>
      <c r="H73" s="78">
        <v>82</v>
      </c>
      <c r="I73" s="579">
        <v>2201</v>
      </c>
      <c r="J73" s="579">
        <v>0</v>
      </c>
      <c r="K73" s="78">
        <v>0</v>
      </c>
      <c r="L73" s="78">
        <v>0</v>
      </c>
      <c r="M73" s="78">
        <v>0</v>
      </c>
      <c r="N73" s="78">
        <v>0</v>
      </c>
      <c r="O73" s="579">
        <v>0</v>
      </c>
      <c r="P73" s="579">
        <v>0</v>
      </c>
      <c r="Q73" s="78">
        <v>0</v>
      </c>
      <c r="R73" s="579">
        <v>0</v>
      </c>
      <c r="S73" s="579">
        <v>0</v>
      </c>
      <c r="T73" s="579">
        <v>0</v>
      </c>
      <c r="U73" s="579">
        <v>0</v>
      </c>
      <c r="V73" s="579">
        <v>2201</v>
      </c>
    </row>
    <row r="74" spans="1:22">
      <c r="A74" s="575"/>
      <c r="B74" s="579" t="s">
        <v>299</v>
      </c>
      <c r="C74" s="579">
        <v>0</v>
      </c>
      <c r="D74" s="78">
        <v>0</v>
      </c>
      <c r="E74" s="78">
        <v>0</v>
      </c>
      <c r="F74" s="78">
        <v>0</v>
      </c>
      <c r="G74" s="78">
        <v>0</v>
      </c>
      <c r="H74" s="78">
        <v>0</v>
      </c>
      <c r="I74" s="579">
        <v>0</v>
      </c>
      <c r="J74" s="579">
        <v>0</v>
      </c>
      <c r="K74" s="78">
        <v>2690</v>
      </c>
      <c r="L74" s="78">
        <v>2770</v>
      </c>
      <c r="M74" s="78">
        <v>1347</v>
      </c>
      <c r="N74" s="78">
        <v>0</v>
      </c>
      <c r="O74" s="579">
        <v>6807</v>
      </c>
      <c r="P74" s="579">
        <v>0</v>
      </c>
      <c r="Q74" s="78">
        <v>0</v>
      </c>
      <c r="R74" s="579">
        <v>0</v>
      </c>
      <c r="S74" s="579">
        <v>0</v>
      </c>
      <c r="T74" s="579">
        <v>0</v>
      </c>
      <c r="U74" s="579">
        <v>0</v>
      </c>
      <c r="V74" s="579">
        <v>6807</v>
      </c>
    </row>
    <row r="75" spans="1:22">
      <c r="A75" s="575"/>
      <c r="B75" s="579" t="s">
        <v>301</v>
      </c>
      <c r="C75" s="579">
        <v>3426</v>
      </c>
      <c r="D75" s="78">
        <v>1788</v>
      </c>
      <c r="E75" s="78">
        <v>4107</v>
      </c>
      <c r="F75" s="78">
        <v>277</v>
      </c>
      <c r="G75" s="78">
        <v>672</v>
      </c>
      <c r="H75" s="78">
        <v>387</v>
      </c>
      <c r="I75" s="579">
        <v>10657</v>
      </c>
      <c r="J75" s="579">
        <v>0</v>
      </c>
      <c r="K75" s="78">
        <v>2690</v>
      </c>
      <c r="L75" s="78">
        <v>2770</v>
      </c>
      <c r="M75" s="78">
        <v>1347</v>
      </c>
      <c r="N75" s="78">
        <v>0</v>
      </c>
      <c r="O75" s="579">
        <v>6807</v>
      </c>
      <c r="P75" s="579">
        <v>0</v>
      </c>
      <c r="Q75" s="78">
        <v>0</v>
      </c>
      <c r="R75" s="579">
        <v>0</v>
      </c>
      <c r="S75" s="579">
        <v>0</v>
      </c>
      <c r="T75" s="579">
        <v>0</v>
      </c>
      <c r="U75" s="579">
        <v>0</v>
      </c>
      <c r="V75" s="579">
        <v>17464</v>
      </c>
    </row>
    <row r="76" spans="1:22">
      <c r="A76" s="571" t="s">
        <v>311</v>
      </c>
      <c r="B76" s="577" t="s">
        <v>290</v>
      </c>
      <c r="C76" s="577">
        <v>697</v>
      </c>
      <c r="D76" s="574">
        <v>0</v>
      </c>
      <c r="E76" s="574">
        <v>232</v>
      </c>
      <c r="F76" s="574">
        <v>0</v>
      </c>
      <c r="G76" s="574">
        <v>197</v>
      </c>
      <c r="H76" s="574">
        <v>32</v>
      </c>
      <c r="I76" s="577">
        <v>1158</v>
      </c>
      <c r="J76" s="577">
        <v>0</v>
      </c>
      <c r="K76" s="574">
        <v>0</v>
      </c>
      <c r="L76" s="574">
        <v>0</v>
      </c>
      <c r="M76" s="574">
        <v>0</v>
      </c>
      <c r="N76" s="574">
        <v>0</v>
      </c>
      <c r="O76" s="577">
        <v>0</v>
      </c>
      <c r="P76" s="577">
        <v>0</v>
      </c>
      <c r="Q76" s="574">
        <v>0</v>
      </c>
      <c r="R76" s="577">
        <v>0</v>
      </c>
      <c r="S76" s="577">
        <v>0</v>
      </c>
      <c r="T76" s="577">
        <v>0</v>
      </c>
      <c r="U76" s="577">
        <v>0</v>
      </c>
      <c r="V76" s="577">
        <v>1158</v>
      </c>
    </row>
    <row r="77" spans="1:22">
      <c r="A77" s="575"/>
      <c r="B77" s="579" t="s">
        <v>245</v>
      </c>
      <c r="C77" s="579">
        <v>557</v>
      </c>
      <c r="D77" s="78">
        <v>0</v>
      </c>
      <c r="E77" s="78">
        <v>152</v>
      </c>
      <c r="F77" s="78">
        <v>0</v>
      </c>
      <c r="G77" s="78">
        <v>189</v>
      </c>
      <c r="H77" s="78">
        <v>56</v>
      </c>
      <c r="I77" s="579">
        <v>954</v>
      </c>
      <c r="J77" s="579">
        <v>0</v>
      </c>
      <c r="K77" s="78">
        <v>0</v>
      </c>
      <c r="L77" s="78">
        <v>0</v>
      </c>
      <c r="M77" s="78">
        <v>0</v>
      </c>
      <c r="N77" s="78">
        <v>0</v>
      </c>
      <c r="O77" s="579">
        <v>0</v>
      </c>
      <c r="P77" s="579">
        <v>0</v>
      </c>
      <c r="Q77" s="78">
        <v>0</v>
      </c>
      <c r="R77" s="579">
        <v>0</v>
      </c>
      <c r="S77" s="579">
        <v>0</v>
      </c>
      <c r="T77" s="579">
        <v>0</v>
      </c>
      <c r="U77" s="579">
        <v>0</v>
      </c>
      <c r="V77" s="579">
        <v>954</v>
      </c>
    </row>
    <row r="78" spans="1:22">
      <c r="A78" s="575"/>
      <c r="B78" s="579" t="s">
        <v>293</v>
      </c>
      <c r="C78" s="579">
        <v>502</v>
      </c>
      <c r="D78" s="78">
        <v>0</v>
      </c>
      <c r="E78" s="78">
        <v>215</v>
      </c>
      <c r="F78" s="78">
        <v>0</v>
      </c>
      <c r="G78" s="78">
        <v>264</v>
      </c>
      <c r="H78" s="78">
        <v>66</v>
      </c>
      <c r="I78" s="579">
        <v>1047</v>
      </c>
      <c r="J78" s="579">
        <v>0</v>
      </c>
      <c r="K78" s="78">
        <v>0</v>
      </c>
      <c r="L78" s="78">
        <v>0</v>
      </c>
      <c r="M78" s="78">
        <v>0</v>
      </c>
      <c r="N78" s="78">
        <v>0</v>
      </c>
      <c r="O78" s="579">
        <v>0</v>
      </c>
      <c r="P78" s="579">
        <v>0</v>
      </c>
      <c r="Q78" s="78">
        <v>0</v>
      </c>
      <c r="R78" s="579">
        <v>0</v>
      </c>
      <c r="S78" s="579">
        <v>0</v>
      </c>
      <c r="T78" s="579">
        <v>0</v>
      </c>
      <c r="U78" s="579">
        <v>0</v>
      </c>
      <c r="V78" s="579">
        <v>1047</v>
      </c>
    </row>
    <row r="79" spans="1:22">
      <c r="A79" s="575"/>
      <c r="B79" s="579" t="s">
        <v>295</v>
      </c>
      <c r="C79" s="579">
        <v>295</v>
      </c>
      <c r="D79" s="78">
        <v>0</v>
      </c>
      <c r="E79" s="78">
        <v>182</v>
      </c>
      <c r="F79" s="78">
        <v>0</v>
      </c>
      <c r="G79" s="78">
        <v>275</v>
      </c>
      <c r="H79" s="78">
        <v>60</v>
      </c>
      <c r="I79" s="579">
        <v>812</v>
      </c>
      <c r="J79" s="579">
        <v>0</v>
      </c>
      <c r="K79" s="78">
        <v>0</v>
      </c>
      <c r="L79" s="78">
        <v>0</v>
      </c>
      <c r="M79" s="78">
        <v>0</v>
      </c>
      <c r="N79" s="78">
        <v>0</v>
      </c>
      <c r="O79" s="579">
        <v>0</v>
      </c>
      <c r="P79" s="579">
        <v>0</v>
      </c>
      <c r="Q79" s="78">
        <v>0</v>
      </c>
      <c r="R79" s="579">
        <v>0</v>
      </c>
      <c r="S79" s="579">
        <v>0</v>
      </c>
      <c r="T79" s="579">
        <v>0</v>
      </c>
      <c r="U79" s="579">
        <v>0</v>
      </c>
      <c r="V79" s="579">
        <v>812</v>
      </c>
    </row>
    <row r="80" spans="1:22">
      <c r="A80" s="575"/>
      <c r="B80" s="579" t="s">
        <v>297</v>
      </c>
      <c r="C80" s="579">
        <v>0</v>
      </c>
      <c r="D80" s="78">
        <v>0</v>
      </c>
      <c r="E80" s="78">
        <v>0</v>
      </c>
      <c r="F80" s="78">
        <v>0</v>
      </c>
      <c r="G80" s="78">
        <v>0</v>
      </c>
      <c r="H80" s="78">
        <v>0</v>
      </c>
      <c r="I80" s="579">
        <v>0</v>
      </c>
      <c r="J80" s="579">
        <v>0</v>
      </c>
      <c r="K80" s="78">
        <v>0</v>
      </c>
      <c r="L80" s="78">
        <v>0</v>
      </c>
      <c r="M80" s="78">
        <v>0</v>
      </c>
      <c r="N80" s="78">
        <v>0</v>
      </c>
      <c r="O80" s="579">
        <v>0</v>
      </c>
      <c r="P80" s="579">
        <v>0</v>
      </c>
      <c r="Q80" s="78">
        <v>0</v>
      </c>
      <c r="R80" s="579">
        <v>0</v>
      </c>
      <c r="S80" s="579">
        <v>0</v>
      </c>
      <c r="T80" s="579">
        <v>0</v>
      </c>
      <c r="U80" s="579">
        <v>0</v>
      </c>
      <c r="V80" s="579">
        <v>0</v>
      </c>
    </row>
    <row r="81" spans="1:22">
      <c r="A81" s="575"/>
      <c r="B81" s="579" t="s">
        <v>299</v>
      </c>
      <c r="C81" s="579">
        <v>0</v>
      </c>
      <c r="D81" s="78">
        <v>0</v>
      </c>
      <c r="E81" s="78">
        <v>0</v>
      </c>
      <c r="F81" s="78">
        <v>0</v>
      </c>
      <c r="G81" s="78">
        <v>0</v>
      </c>
      <c r="H81" s="78">
        <v>0</v>
      </c>
      <c r="I81" s="579">
        <v>0</v>
      </c>
      <c r="J81" s="579">
        <v>122</v>
      </c>
      <c r="K81" s="78">
        <v>444</v>
      </c>
      <c r="L81" s="78">
        <v>294</v>
      </c>
      <c r="M81" s="78">
        <v>376</v>
      </c>
      <c r="N81" s="78">
        <v>0</v>
      </c>
      <c r="O81" s="579">
        <v>1236</v>
      </c>
      <c r="P81" s="579">
        <v>309</v>
      </c>
      <c r="Q81" s="78">
        <v>814</v>
      </c>
      <c r="R81" s="579">
        <v>6</v>
      </c>
      <c r="S81" s="579">
        <v>1129</v>
      </c>
      <c r="T81" s="579">
        <v>0</v>
      </c>
      <c r="U81" s="579">
        <v>0</v>
      </c>
      <c r="V81" s="579">
        <v>2365</v>
      </c>
    </row>
    <row r="82" spans="1:22">
      <c r="A82" s="575"/>
      <c r="B82" s="579" t="s">
        <v>301</v>
      </c>
      <c r="C82" s="579">
        <v>2051</v>
      </c>
      <c r="D82" s="78">
        <v>0</v>
      </c>
      <c r="E82" s="78">
        <v>781</v>
      </c>
      <c r="F82" s="78">
        <v>0</v>
      </c>
      <c r="G82" s="78">
        <v>925</v>
      </c>
      <c r="H82" s="78">
        <v>214</v>
      </c>
      <c r="I82" s="579">
        <v>3971</v>
      </c>
      <c r="J82" s="579">
        <v>122</v>
      </c>
      <c r="K82" s="78">
        <v>444</v>
      </c>
      <c r="L82" s="78">
        <v>294</v>
      </c>
      <c r="M82" s="78">
        <v>376</v>
      </c>
      <c r="N82" s="78">
        <v>0</v>
      </c>
      <c r="O82" s="579">
        <v>1236</v>
      </c>
      <c r="P82" s="579">
        <v>309</v>
      </c>
      <c r="Q82" s="78">
        <v>814</v>
      </c>
      <c r="R82" s="579">
        <v>6</v>
      </c>
      <c r="S82" s="579">
        <v>1129</v>
      </c>
      <c r="T82" s="579">
        <v>0</v>
      </c>
      <c r="U82" s="579">
        <v>0</v>
      </c>
      <c r="V82" s="579">
        <v>6336</v>
      </c>
    </row>
    <row r="83" spans="1:22">
      <c r="A83" s="571" t="s">
        <v>346</v>
      </c>
      <c r="B83" s="577" t="s">
        <v>290</v>
      </c>
      <c r="C83" s="577">
        <v>666</v>
      </c>
      <c r="D83" s="574">
        <v>0</v>
      </c>
      <c r="E83" s="574">
        <v>198</v>
      </c>
      <c r="F83" s="574">
        <v>53</v>
      </c>
      <c r="G83" s="574">
        <v>165</v>
      </c>
      <c r="H83" s="574">
        <v>74</v>
      </c>
      <c r="I83" s="577">
        <v>1156</v>
      </c>
      <c r="J83" s="577">
        <v>11</v>
      </c>
      <c r="K83" s="574">
        <v>0</v>
      </c>
      <c r="L83" s="574">
        <v>0</v>
      </c>
      <c r="M83" s="574">
        <v>16</v>
      </c>
      <c r="N83" s="574">
        <v>0</v>
      </c>
      <c r="O83" s="577">
        <v>27</v>
      </c>
      <c r="P83" s="577">
        <v>0</v>
      </c>
      <c r="Q83" s="574">
        <v>0</v>
      </c>
      <c r="R83" s="577">
        <v>0</v>
      </c>
      <c r="S83" s="577">
        <v>0</v>
      </c>
      <c r="T83" s="577">
        <v>0</v>
      </c>
      <c r="U83" s="577">
        <v>0</v>
      </c>
      <c r="V83" s="577">
        <v>1183</v>
      </c>
    </row>
    <row r="84" spans="1:22">
      <c r="A84" s="575"/>
      <c r="B84" s="579" t="s">
        <v>245</v>
      </c>
      <c r="C84" s="579">
        <v>598</v>
      </c>
      <c r="D84" s="78">
        <v>0</v>
      </c>
      <c r="E84" s="78">
        <v>249</v>
      </c>
      <c r="F84" s="78">
        <v>51</v>
      </c>
      <c r="G84" s="78">
        <v>181</v>
      </c>
      <c r="H84" s="78">
        <v>111</v>
      </c>
      <c r="I84" s="579">
        <v>1190</v>
      </c>
      <c r="J84" s="579">
        <v>16</v>
      </c>
      <c r="K84" s="78">
        <v>0</v>
      </c>
      <c r="L84" s="78">
        <v>0</v>
      </c>
      <c r="M84" s="78">
        <v>22</v>
      </c>
      <c r="N84" s="78">
        <v>0</v>
      </c>
      <c r="O84" s="579">
        <v>38</v>
      </c>
      <c r="P84" s="579">
        <v>0</v>
      </c>
      <c r="Q84" s="78">
        <v>0</v>
      </c>
      <c r="R84" s="579">
        <v>0</v>
      </c>
      <c r="S84" s="579">
        <v>0</v>
      </c>
      <c r="T84" s="579">
        <v>0</v>
      </c>
      <c r="U84" s="579">
        <v>0</v>
      </c>
      <c r="V84" s="579">
        <v>1228</v>
      </c>
    </row>
    <row r="85" spans="1:22">
      <c r="A85" s="575"/>
      <c r="B85" s="579" t="s">
        <v>293</v>
      </c>
      <c r="C85" s="579">
        <v>601</v>
      </c>
      <c r="D85" s="78">
        <v>0</v>
      </c>
      <c r="E85" s="78">
        <v>258</v>
      </c>
      <c r="F85" s="78">
        <v>64</v>
      </c>
      <c r="G85" s="78">
        <v>283</v>
      </c>
      <c r="H85" s="78">
        <v>161</v>
      </c>
      <c r="I85" s="579">
        <v>1367</v>
      </c>
      <c r="J85" s="579">
        <v>15</v>
      </c>
      <c r="K85" s="78">
        <v>0</v>
      </c>
      <c r="L85" s="78">
        <v>0</v>
      </c>
      <c r="M85" s="78">
        <v>39</v>
      </c>
      <c r="N85" s="78">
        <v>0</v>
      </c>
      <c r="O85" s="579">
        <v>54</v>
      </c>
      <c r="P85" s="579">
        <v>0</v>
      </c>
      <c r="Q85" s="78">
        <v>0</v>
      </c>
      <c r="R85" s="579">
        <v>0</v>
      </c>
      <c r="S85" s="579">
        <v>0</v>
      </c>
      <c r="T85" s="579">
        <v>0</v>
      </c>
      <c r="U85" s="579">
        <v>0</v>
      </c>
      <c r="V85" s="579">
        <v>1421</v>
      </c>
    </row>
    <row r="86" spans="1:22">
      <c r="A86" s="575"/>
      <c r="B86" s="579" t="s">
        <v>295</v>
      </c>
      <c r="C86" s="579">
        <v>145</v>
      </c>
      <c r="D86" s="78">
        <v>0</v>
      </c>
      <c r="E86" s="78">
        <v>91</v>
      </c>
      <c r="F86" s="78">
        <v>2</v>
      </c>
      <c r="G86" s="78">
        <v>62</v>
      </c>
      <c r="H86" s="78">
        <v>130</v>
      </c>
      <c r="I86" s="579">
        <v>430</v>
      </c>
      <c r="J86" s="579">
        <v>17</v>
      </c>
      <c r="K86" s="78">
        <v>0</v>
      </c>
      <c r="L86" s="78">
        <v>0</v>
      </c>
      <c r="M86" s="78">
        <v>48</v>
      </c>
      <c r="N86" s="78">
        <v>0</v>
      </c>
      <c r="O86" s="579">
        <v>65</v>
      </c>
      <c r="P86" s="579">
        <v>0</v>
      </c>
      <c r="Q86" s="78">
        <v>0</v>
      </c>
      <c r="R86" s="579">
        <v>0</v>
      </c>
      <c r="S86" s="579">
        <v>0</v>
      </c>
      <c r="T86" s="579">
        <v>0</v>
      </c>
      <c r="U86" s="579">
        <v>0</v>
      </c>
      <c r="V86" s="579">
        <v>495</v>
      </c>
    </row>
    <row r="87" spans="1:22">
      <c r="A87" s="575"/>
      <c r="B87" s="579" t="s">
        <v>297</v>
      </c>
      <c r="C87" s="579">
        <v>211</v>
      </c>
      <c r="D87" s="78">
        <v>0</v>
      </c>
      <c r="E87" s="78">
        <v>0</v>
      </c>
      <c r="F87" s="78">
        <v>0</v>
      </c>
      <c r="G87" s="78">
        <v>73</v>
      </c>
      <c r="H87" s="78">
        <v>6</v>
      </c>
      <c r="I87" s="579">
        <v>290</v>
      </c>
      <c r="J87" s="579">
        <v>0</v>
      </c>
      <c r="K87" s="78">
        <v>866</v>
      </c>
      <c r="L87" s="78">
        <v>951</v>
      </c>
      <c r="M87" s="78">
        <v>129</v>
      </c>
      <c r="N87" s="78">
        <v>0</v>
      </c>
      <c r="O87" s="579">
        <v>1946</v>
      </c>
      <c r="P87" s="579">
        <v>0</v>
      </c>
      <c r="Q87" s="78">
        <v>0</v>
      </c>
      <c r="R87" s="579">
        <v>0</v>
      </c>
      <c r="S87" s="579">
        <v>0</v>
      </c>
      <c r="T87" s="579">
        <v>0</v>
      </c>
      <c r="U87" s="579">
        <v>0</v>
      </c>
      <c r="V87" s="579">
        <v>2236</v>
      </c>
    </row>
    <row r="88" spans="1:22">
      <c r="A88" s="575"/>
      <c r="B88" s="579" t="s">
        <v>299</v>
      </c>
      <c r="C88" s="579">
        <v>0</v>
      </c>
      <c r="D88" s="78">
        <v>0</v>
      </c>
      <c r="E88" s="78">
        <v>0</v>
      </c>
      <c r="F88" s="78">
        <v>0</v>
      </c>
      <c r="G88" s="78">
        <v>0</v>
      </c>
      <c r="H88" s="78">
        <v>0</v>
      </c>
      <c r="I88" s="579">
        <v>0</v>
      </c>
      <c r="J88" s="579">
        <v>0</v>
      </c>
      <c r="K88" s="78">
        <v>0</v>
      </c>
      <c r="L88" s="78">
        <v>0</v>
      </c>
      <c r="M88" s="78">
        <v>0</v>
      </c>
      <c r="N88" s="78">
        <v>0</v>
      </c>
      <c r="O88" s="579">
        <v>0</v>
      </c>
      <c r="P88" s="579">
        <v>0</v>
      </c>
      <c r="Q88" s="78">
        <v>0</v>
      </c>
      <c r="R88" s="579">
        <v>0</v>
      </c>
      <c r="S88" s="579">
        <v>0</v>
      </c>
      <c r="T88" s="579">
        <v>0</v>
      </c>
      <c r="U88" s="579">
        <v>0</v>
      </c>
      <c r="V88" s="579">
        <v>0</v>
      </c>
    </row>
    <row r="89" spans="1:22">
      <c r="A89" s="575"/>
      <c r="B89" s="579" t="s">
        <v>301</v>
      </c>
      <c r="C89" s="579">
        <v>2221</v>
      </c>
      <c r="D89" s="78">
        <v>0</v>
      </c>
      <c r="E89" s="78">
        <v>796</v>
      </c>
      <c r="F89" s="78">
        <v>170</v>
      </c>
      <c r="G89" s="78">
        <v>764</v>
      </c>
      <c r="H89" s="78">
        <v>482</v>
      </c>
      <c r="I89" s="579">
        <v>4433</v>
      </c>
      <c r="J89" s="579">
        <v>59</v>
      </c>
      <c r="K89" s="78">
        <v>866</v>
      </c>
      <c r="L89" s="78">
        <v>951</v>
      </c>
      <c r="M89" s="78">
        <v>254</v>
      </c>
      <c r="N89" s="78">
        <v>0</v>
      </c>
      <c r="O89" s="579">
        <v>2130</v>
      </c>
      <c r="P89" s="579">
        <v>0</v>
      </c>
      <c r="Q89" s="78">
        <v>0</v>
      </c>
      <c r="R89" s="579">
        <v>0</v>
      </c>
      <c r="S89" s="579">
        <v>0</v>
      </c>
      <c r="T89" s="579">
        <v>0</v>
      </c>
      <c r="U89" s="579">
        <v>0</v>
      </c>
      <c r="V89" s="579">
        <v>6563</v>
      </c>
    </row>
    <row r="90" spans="1:22">
      <c r="A90" s="571" t="s">
        <v>310</v>
      </c>
      <c r="B90" s="577" t="s">
        <v>290</v>
      </c>
      <c r="C90" s="577">
        <v>792</v>
      </c>
      <c r="D90" s="574">
        <v>0</v>
      </c>
      <c r="E90" s="574">
        <v>959</v>
      </c>
      <c r="F90" s="574">
        <v>0</v>
      </c>
      <c r="G90" s="574">
        <v>78</v>
      </c>
      <c r="H90" s="574">
        <v>0</v>
      </c>
      <c r="I90" s="577">
        <v>1829</v>
      </c>
      <c r="J90" s="577">
        <v>0</v>
      </c>
      <c r="K90" s="574">
        <v>87</v>
      </c>
      <c r="L90" s="574">
        <v>131</v>
      </c>
      <c r="M90" s="574">
        <v>9</v>
      </c>
      <c r="N90" s="574">
        <v>0</v>
      </c>
      <c r="O90" s="577">
        <v>227</v>
      </c>
      <c r="P90" s="577">
        <v>0</v>
      </c>
      <c r="Q90" s="574">
        <v>0</v>
      </c>
      <c r="R90" s="577">
        <v>0</v>
      </c>
      <c r="S90" s="577">
        <v>0</v>
      </c>
      <c r="T90" s="577">
        <v>0</v>
      </c>
      <c r="U90" s="577">
        <v>0</v>
      </c>
      <c r="V90" s="577">
        <v>2056</v>
      </c>
    </row>
    <row r="91" spans="1:22">
      <c r="A91" s="575"/>
      <c r="B91" s="579" t="s">
        <v>245</v>
      </c>
      <c r="C91" s="579">
        <v>659</v>
      </c>
      <c r="D91" s="78">
        <v>0</v>
      </c>
      <c r="E91" s="78">
        <v>772</v>
      </c>
      <c r="F91" s="78">
        <v>0</v>
      </c>
      <c r="G91" s="78">
        <v>57</v>
      </c>
      <c r="H91" s="78">
        <v>0</v>
      </c>
      <c r="I91" s="579">
        <v>1488</v>
      </c>
      <c r="J91" s="579">
        <v>0</v>
      </c>
      <c r="K91" s="78">
        <v>297</v>
      </c>
      <c r="L91" s="78">
        <v>464</v>
      </c>
      <c r="M91" s="78">
        <v>21</v>
      </c>
      <c r="N91" s="78">
        <v>0</v>
      </c>
      <c r="O91" s="579">
        <v>782</v>
      </c>
      <c r="P91" s="579">
        <v>0</v>
      </c>
      <c r="Q91" s="78">
        <v>0</v>
      </c>
      <c r="R91" s="579">
        <v>0</v>
      </c>
      <c r="S91" s="579">
        <v>0</v>
      </c>
      <c r="T91" s="579">
        <v>0</v>
      </c>
      <c r="U91" s="579">
        <v>0</v>
      </c>
      <c r="V91" s="579">
        <v>2270</v>
      </c>
    </row>
    <row r="92" spans="1:22">
      <c r="A92" s="575"/>
      <c r="B92" s="579" t="s">
        <v>293</v>
      </c>
      <c r="C92" s="579">
        <v>600</v>
      </c>
      <c r="D92" s="78">
        <v>0</v>
      </c>
      <c r="E92" s="78">
        <v>823</v>
      </c>
      <c r="F92" s="78">
        <v>0</v>
      </c>
      <c r="G92" s="78">
        <v>81</v>
      </c>
      <c r="H92" s="78">
        <v>0</v>
      </c>
      <c r="I92" s="579">
        <v>1504</v>
      </c>
      <c r="J92" s="579">
        <v>0</v>
      </c>
      <c r="K92" s="78">
        <v>126</v>
      </c>
      <c r="L92" s="78">
        <v>230</v>
      </c>
      <c r="M92" s="78">
        <v>8</v>
      </c>
      <c r="N92" s="78">
        <v>0</v>
      </c>
      <c r="O92" s="579">
        <v>364</v>
      </c>
      <c r="P92" s="579">
        <v>0</v>
      </c>
      <c r="Q92" s="78">
        <v>0</v>
      </c>
      <c r="R92" s="579">
        <v>0</v>
      </c>
      <c r="S92" s="579">
        <v>0</v>
      </c>
      <c r="T92" s="579">
        <v>0</v>
      </c>
      <c r="U92" s="579">
        <v>0</v>
      </c>
      <c r="V92" s="579">
        <v>1868</v>
      </c>
    </row>
    <row r="93" spans="1:22">
      <c r="A93" s="575"/>
      <c r="B93" s="579" t="s">
        <v>295</v>
      </c>
      <c r="C93" s="579">
        <v>143</v>
      </c>
      <c r="D93" s="78">
        <v>0</v>
      </c>
      <c r="E93" s="78">
        <v>273</v>
      </c>
      <c r="F93" s="78">
        <v>0</v>
      </c>
      <c r="G93" s="78">
        <v>17</v>
      </c>
      <c r="H93" s="78">
        <v>0</v>
      </c>
      <c r="I93" s="579">
        <v>433</v>
      </c>
      <c r="J93" s="579">
        <v>0</v>
      </c>
      <c r="K93" s="78">
        <v>137</v>
      </c>
      <c r="L93" s="78">
        <v>276</v>
      </c>
      <c r="M93" s="78">
        <v>15</v>
      </c>
      <c r="N93" s="78">
        <v>0</v>
      </c>
      <c r="O93" s="579">
        <v>428</v>
      </c>
      <c r="P93" s="579">
        <v>0</v>
      </c>
      <c r="Q93" s="78">
        <v>0</v>
      </c>
      <c r="R93" s="579">
        <v>0</v>
      </c>
      <c r="S93" s="579">
        <v>0</v>
      </c>
      <c r="T93" s="579">
        <v>0</v>
      </c>
      <c r="U93" s="579">
        <v>0</v>
      </c>
      <c r="V93" s="579">
        <v>861</v>
      </c>
    </row>
    <row r="94" spans="1:22">
      <c r="A94" s="575"/>
      <c r="B94" s="579" t="s">
        <v>297</v>
      </c>
      <c r="C94" s="579">
        <v>277</v>
      </c>
      <c r="D94" s="78">
        <v>0</v>
      </c>
      <c r="E94" s="78">
        <v>148</v>
      </c>
      <c r="F94" s="78">
        <v>0</v>
      </c>
      <c r="G94" s="78">
        <v>45</v>
      </c>
      <c r="H94" s="78">
        <v>0</v>
      </c>
      <c r="I94" s="579">
        <v>470</v>
      </c>
      <c r="J94" s="579">
        <v>0</v>
      </c>
      <c r="K94" s="78">
        <v>0</v>
      </c>
      <c r="L94" s="78">
        <v>8</v>
      </c>
      <c r="M94" s="78">
        <v>0</v>
      </c>
      <c r="N94" s="78">
        <v>0</v>
      </c>
      <c r="O94" s="579">
        <v>8</v>
      </c>
      <c r="P94" s="579">
        <v>0</v>
      </c>
      <c r="Q94" s="78">
        <v>0</v>
      </c>
      <c r="R94" s="579">
        <v>0</v>
      </c>
      <c r="S94" s="579">
        <v>0</v>
      </c>
      <c r="T94" s="579">
        <v>0</v>
      </c>
      <c r="U94" s="579">
        <v>0</v>
      </c>
      <c r="V94" s="579">
        <v>478</v>
      </c>
    </row>
    <row r="95" spans="1:22">
      <c r="A95" s="575"/>
      <c r="B95" s="579" t="s">
        <v>299</v>
      </c>
      <c r="C95" s="579">
        <v>0</v>
      </c>
      <c r="D95" s="78">
        <v>0</v>
      </c>
      <c r="E95" s="78">
        <v>0</v>
      </c>
      <c r="F95" s="78">
        <v>0</v>
      </c>
      <c r="G95" s="78">
        <v>0</v>
      </c>
      <c r="H95" s="78">
        <v>0</v>
      </c>
      <c r="I95" s="579">
        <v>0</v>
      </c>
      <c r="J95" s="579">
        <v>0</v>
      </c>
      <c r="K95" s="78">
        <v>0</v>
      </c>
      <c r="L95" s="78">
        <v>0</v>
      </c>
      <c r="M95" s="78">
        <v>0</v>
      </c>
      <c r="N95" s="78">
        <v>0</v>
      </c>
      <c r="O95" s="579">
        <v>0</v>
      </c>
      <c r="P95" s="579">
        <v>0</v>
      </c>
      <c r="Q95" s="78">
        <v>529</v>
      </c>
      <c r="R95" s="579">
        <v>0</v>
      </c>
      <c r="S95" s="579">
        <v>529</v>
      </c>
      <c r="T95" s="579">
        <v>0</v>
      </c>
      <c r="U95" s="579">
        <v>0</v>
      </c>
      <c r="V95" s="579">
        <v>529</v>
      </c>
    </row>
    <row r="96" spans="1:22">
      <c r="A96" s="575"/>
      <c r="B96" s="579" t="s">
        <v>301</v>
      </c>
      <c r="C96" s="579">
        <v>2471</v>
      </c>
      <c r="D96" s="78">
        <v>0</v>
      </c>
      <c r="E96" s="78">
        <v>2975</v>
      </c>
      <c r="F96" s="78">
        <v>0</v>
      </c>
      <c r="G96" s="78">
        <v>278</v>
      </c>
      <c r="H96" s="78">
        <v>0</v>
      </c>
      <c r="I96" s="579">
        <v>5724</v>
      </c>
      <c r="J96" s="579">
        <v>0</v>
      </c>
      <c r="K96" s="78">
        <v>647</v>
      </c>
      <c r="L96" s="78">
        <v>1109</v>
      </c>
      <c r="M96" s="78">
        <v>53</v>
      </c>
      <c r="N96" s="78">
        <v>0</v>
      </c>
      <c r="O96" s="579">
        <v>1809</v>
      </c>
      <c r="P96" s="579">
        <v>0</v>
      </c>
      <c r="Q96" s="78">
        <v>529</v>
      </c>
      <c r="R96" s="579">
        <v>0</v>
      </c>
      <c r="S96" s="579">
        <v>529</v>
      </c>
      <c r="T96" s="579">
        <v>0</v>
      </c>
      <c r="U96" s="579">
        <v>0</v>
      </c>
      <c r="V96" s="579">
        <v>8062</v>
      </c>
    </row>
    <row r="97" spans="1:22">
      <c r="A97" s="571" t="s">
        <v>309</v>
      </c>
      <c r="B97" s="577" t="s">
        <v>290</v>
      </c>
      <c r="C97" s="577">
        <v>3080</v>
      </c>
      <c r="D97" s="574">
        <v>390</v>
      </c>
      <c r="E97" s="574">
        <v>1477</v>
      </c>
      <c r="F97" s="574">
        <v>74</v>
      </c>
      <c r="G97" s="574">
        <v>49</v>
      </c>
      <c r="H97" s="574">
        <v>24</v>
      </c>
      <c r="I97" s="577">
        <v>5094</v>
      </c>
      <c r="J97" s="577">
        <v>65</v>
      </c>
      <c r="K97" s="574">
        <v>2119</v>
      </c>
      <c r="L97" s="574">
        <v>648</v>
      </c>
      <c r="M97" s="574">
        <v>89</v>
      </c>
      <c r="N97" s="574">
        <v>0</v>
      </c>
      <c r="O97" s="577">
        <v>2921</v>
      </c>
      <c r="P97" s="577">
        <v>0</v>
      </c>
      <c r="Q97" s="574">
        <v>0</v>
      </c>
      <c r="R97" s="577">
        <v>0</v>
      </c>
      <c r="S97" s="577">
        <v>0</v>
      </c>
      <c r="T97" s="577">
        <v>186</v>
      </c>
      <c r="U97" s="577">
        <v>186</v>
      </c>
      <c r="V97" s="577">
        <v>8201</v>
      </c>
    </row>
    <row r="98" spans="1:22">
      <c r="A98" s="575"/>
      <c r="B98" s="579" t="s">
        <v>245</v>
      </c>
      <c r="C98" s="579">
        <v>2254</v>
      </c>
      <c r="D98" s="78">
        <v>477</v>
      </c>
      <c r="E98" s="78">
        <v>1613</v>
      </c>
      <c r="F98" s="78">
        <v>92</v>
      </c>
      <c r="G98" s="78">
        <v>94</v>
      </c>
      <c r="H98" s="78">
        <v>14</v>
      </c>
      <c r="I98" s="579">
        <v>4544</v>
      </c>
      <c r="J98" s="579">
        <v>66</v>
      </c>
      <c r="K98" s="78">
        <v>1179</v>
      </c>
      <c r="L98" s="78">
        <v>161</v>
      </c>
      <c r="M98" s="78">
        <v>38</v>
      </c>
      <c r="N98" s="78">
        <v>0</v>
      </c>
      <c r="O98" s="579">
        <v>1444</v>
      </c>
      <c r="P98" s="579">
        <v>0</v>
      </c>
      <c r="Q98" s="78">
        <v>0</v>
      </c>
      <c r="R98" s="579">
        <v>0</v>
      </c>
      <c r="S98" s="579">
        <v>0</v>
      </c>
      <c r="T98" s="579">
        <v>116</v>
      </c>
      <c r="U98" s="579">
        <v>116</v>
      </c>
      <c r="V98" s="579">
        <v>6104</v>
      </c>
    </row>
    <row r="99" spans="1:22">
      <c r="A99" s="575"/>
      <c r="B99" s="579" t="s">
        <v>293</v>
      </c>
      <c r="C99" s="579">
        <v>2076</v>
      </c>
      <c r="D99" s="78">
        <v>422</v>
      </c>
      <c r="E99" s="78">
        <v>2160</v>
      </c>
      <c r="F99" s="78">
        <v>86</v>
      </c>
      <c r="G99" s="78">
        <v>97</v>
      </c>
      <c r="H99" s="78">
        <v>18</v>
      </c>
      <c r="I99" s="579">
        <v>4859</v>
      </c>
      <c r="J99" s="579">
        <v>77</v>
      </c>
      <c r="K99" s="78">
        <v>947</v>
      </c>
      <c r="L99" s="78">
        <v>129</v>
      </c>
      <c r="M99" s="78">
        <v>60</v>
      </c>
      <c r="N99" s="78">
        <v>0</v>
      </c>
      <c r="O99" s="579">
        <v>1213</v>
      </c>
      <c r="P99" s="579">
        <v>0</v>
      </c>
      <c r="Q99" s="78">
        <v>0</v>
      </c>
      <c r="R99" s="579">
        <v>0</v>
      </c>
      <c r="S99" s="579">
        <v>0</v>
      </c>
      <c r="T99" s="579">
        <v>101</v>
      </c>
      <c r="U99" s="579">
        <v>101</v>
      </c>
      <c r="V99" s="579">
        <v>6173</v>
      </c>
    </row>
    <row r="100" spans="1:22">
      <c r="A100" s="575"/>
      <c r="B100" s="579" t="s">
        <v>295</v>
      </c>
      <c r="C100" s="579">
        <v>305</v>
      </c>
      <c r="D100" s="78">
        <v>11</v>
      </c>
      <c r="E100" s="78">
        <v>580</v>
      </c>
      <c r="F100" s="78">
        <v>11</v>
      </c>
      <c r="G100" s="78">
        <v>7</v>
      </c>
      <c r="H100" s="78">
        <v>0</v>
      </c>
      <c r="I100" s="579">
        <v>914</v>
      </c>
      <c r="J100" s="579">
        <v>542</v>
      </c>
      <c r="K100" s="78">
        <v>2423</v>
      </c>
      <c r="L100" s="78">
        <v>1152</v>
      </c>
      <c r="M100" s="78">
        <v>403</v>
      </c>
      <c r="N100" s="78">
        <v>0</v>
      </c>
      <c r="O100" s="579">
        <v>4520</v>
      </c>
      <c r="P100" s="579">
        <v>0</v>
      </c>
      <c r="Q100" s="78">
        <v>0</v>
      </c>
      <c r="R100" s="579">
        <v>0</v>
      </c>
      <c r="S100" s="579">
        <v>0</v>
      </c>
      <c r="T100" s="579">
        <v>0</v>
      </c>
      <c r="U100" s="579">
        <v>0</v>
      </c>
      <c r="V100" s="579">
        <v>5434</v>
      </c>
    </row>
    <row r="101" spans="1:22">
      <c r="A101" s="575"/>
      <c r="B101" s="579" t="s">
        <v>297</v>
      </c>
      <c r="C101" s="579">
        <v>1239</v>
      </c>
      <c r="D101" s="78">
        <v>483</v>
      </c>
      <c r="E101" s="78">
        <v>969</v>
      </c>
      <c r="F101" s="78">
        <v>39</v>
      </c>
      <c r="G101" s="78">
        <v>35</v>
      </c>
      <c r="H101" s="78">
        <v>44</v>
      </c>
      <c r="I101" s="579">
        <v>2809</v>
      </c>
      <c r="J101" s="579">
        <v>0</v>
      </c>
      <c r="K101" s="78">
        <v>77</v>
      </c>
      <c r="L101" s="78">
        <v>0</v>
      </c>
      <c r="M101" s="78">
        <v>0</v>
      </c>
      <c r="N101" s="78">
        <v>0</v>
      </c>
      <c r="O101" s="579">
        <v>77</v>
      </c>
      <c r="P101" s="579">
        <v>0</v>
      </c>
      <c r="Q101" s="78">
        <v>0</v>
      </c>
      <c r="R101" s="579">
        <v>0</v>
      </c>
      <c r="S101" s="579">
        <v>0</v>
      </c>
      <c r="T101" s="579">
        <v>177</v>
      </c>
      <c r="U101" s="579">
        <v>177</v>
      </c>
      <c r="V101" s="579">
        <v>3063</v>
      </c>
    </row>
    <row r="102" spans="1:22">
      <c r="A102" s="575"/>
      <c r="B102" s="579" t="s">
        <v>299</v>
      </c>
      <c r="C102" s="579">
        <v>401</v>
      </c>
      <c r="D102" s="78">
        <v>156</v>
      </c>
      <c r="E102" s="78">
        <v>196</v>
      </c>
      <c r="F102" s="78">
        <v>13</v>
      </c>
      <c r="G102" s="78">
        <v>9</v>
      </c>
      <c r="H102" s="78">
        <v>0</v>
      </c>
      <c r="I102" s="579">
        <v>775</v>
      </c>
      <c r="J102" s="579">
        <v>8</v>
      </c>
      <c r="K102" s="78">
        <v>2193</v>
      </c>
      <c r="L102" s="78">
        <v>924</v>
      </c>
      <c r="M102" s="78">
        <v>0</v>
      </c>
      <c r="N102" s="78">
        <v>0</v>
      </c>
      <c r="O102" s="579">
        <v>3125</v>
      </c>
      <c r="P102" s="579">
        <v>0</v>
      </c>
      <c r="Q102" s="78">
        <v>0</v>
      </c>
      <c r="R102" s="579">
        <v>0</v>
      </c>
      <c r="S102" s="579">
        <v>0</v>
      </c>
      <c r="T102" s="579">
        <v>8</v>
      </c>
      <c r="U102" s="579">
        <v>8</v>
      </c>
      <c r="V102" s="579">
        <v>3908</v>
      </c>
    </row>
    <row r="103" spans="1:22">
      <c r="A103" s="575"/>
      <c r="B103" s="579" t="s">
        <v>301</v>
      </c>
      <c r="C103" s="579">
        <v>9355</v>
      </c>
      <c r="D103" s="78">
        <v>1939</v>
      </c>
      <c r="E103" s="78">
        <v>6995</v>
      </c>
      <c r="F103" s="78">
        <v>315</v>
      </c>
      <c r="G103" s="78">
        <v>291</v>
      </c>
      <c r="H103" s="78">
        <v>100</v>
      </c>
      <c r="I103" s="579">
        <v>18995</v>
      </c>
      <c r="J103" s="579">
        <v>758</v>
      </c>
      <c r="K103" s="78">
        <v>8938</v>
      </c>
      <c r="L103" s="78">
        <v>3014</v>
      </c>
      <c r="M103" s="78">
        <v>590</v>
      </c>
      <c r="N103" s="78">
        <v>0</v>
      </c>
      <c r="O103" s="579">
        <v>13300</v>
      </c>
      <c r="P103" s="579">
        <v>0</v>
      </c>
      <c r="Q103" s="78">
        <v>0</v>
      </c>
      <c r="R103" s="579">
        <v>0</v>
      </c>
      <c r="S103" s="579">
        <v>0</v>
      </c>
      <c r="T103" s="579">
        <v>588</v>
      </c>
      <c r="U103" s="579">
        <v>588</v>
      </c>
      <c r="V103" s="579">
        <v>32883</v>
      </c>
    </row>
    <row r="104" spans="1:22">
      <c r="A104" s="571" t="s">
        <v>344</v>
      </c>
      <c r="B104" s="577" t="s">
        <v>290</v>
      </c>
      <c r="C104" s="577">
        <v>1502</v>
      </c>
      <c r="D104" s="574">
        <v>436</v>
      </c>
      <c r="E104" s="574">
        <v>346</v>
      </c>
      <c r="F104" s="574">
        <v>164</v>
      </c>
      <c r="G104" s="574">
        <v>162</v>
      </c>
      <c r="H104" s="574">
        <v>18</v>
      </c>
      <c r="I104" s="577">
        <v>2628</v>
      </c>
      <c r="J104" s="577">
        <v>0</v>
      </c>
      <c r="K104" s="574">
        <v>0</v>
      </c>
      <c r="L104" s="574">
        <v>0</v>
      </c>
      <c r="M104" s="574">
        <v>9</v>
      </c>
      <c r="N104" s="574">
        <v>444</v>
      </c>
      <c r="O104" s="577">
        <v>453</v>
      </c>
      <c r="P104" s="577">
        <v>0</v>
      </c>
      <c r="Q104" s="574">
        <v>0</v>
      </c>
      <c r="R104" s="577">
        <v>0</v>
      </c>
      <c r="S104" s="577">
        <v>0</v>
      </c>
      <c r="T104" s="577">
        <v>0</v>
      </c>
      <c r="U104" s="577">
        <v>0</v>
      </c>
      <c r="V104" s="577">
        <v>3081</v>
      </c>
    </row>
    <row r="105" spans="1:22">
      <c r="A105" s="575"/>
      <c r="B105" s="579" t="s">
        <v>245</v>
      </c>
      <c r="C105" s="579">
        <v>1294</v>
      </c>
      <c r="D105" s="78">
        <v>490</v>
      </c>
      <c r="E105" s="78">
        <v>291</v>
      </c>
      <c r="F105" s="78">
        <v>186</v>
      </c>
      <c r="G105" s="78">
        <v>228</v>
      </c>
      <c r="H105" s="78">
        <v>29</v>
      </c>
      <c r="I105" s="579">
        <v>2518</v>
      </c>
      <c r="J105" s="579">
        <v>0</v>
      </c>
      <c r="K105" s="78">
        <v>0</v>
      </c>
      <c r="L105" s="78">
        <v>0</v>
      </c>
      <c r="M105" s="78">
        <v>13</v>
      </c>
      <c r="N105" s="78">
        <v>667</v>
      </c>
      <c r="O105" s="579">
        <v>680</v>
      </c>
      <c r="P105" s="579">
        <v>0</v>
      </c>
      <c r="Q105" s="78">
        <v>0</v>
      </c>
      <c r="R105" s="579">
        <v>0</v>
      </c>
      <c r="S105" s="579">
        <v>0</v>
      </c>
      <c r="T105" s="579">
        <v>0</v>
      </c>
      <c r="U105" s="579">
        <v>0</v>
      </c>
      <c r="V105" s="579">
        <v>3198</v>
      </c>
    </row>
    <row r="106" spans="1:22">
      <c r="A106" s="575"/>
      <c r="B106" s="579" t="s">
        <v>293</v>
      </c>
      <c r="C106" s="579">
        <v>1011</v>
      </c>
      <c r="D106" s="78">
        <v>511</v>
      </c>
      <c r="E106" s="78">
        <v>363</v>
      </c>
      <c r="F106" s="78">
        <v>216</v>
      </c>
      <c r="G106" s="78">
        <v>196</v>
      </c>
      <c r="H106" s="78">
        <v>20</v>
      </c>
      <c r="I106" s="579">
        <v>2317</v>
      </c>
      <c r="J106" s="579">
        <v>0</v>
      </c>
      <c r="K106" s="78">
        <v>0</v>
      </c>
      <c r="L106" s="78">
        <v>0</v>
      </c>
      <c r="M106" s="78">
        <v>11</v>
      </c>
      <c r="N106" s="78">
        <v>683</v>
      </c>
      <c r="O106" s="579">
        <v>694</v>
      </c>
      <c r="P106" s="579">
        <v>0</v>
      </c>
      <c r="Q106" s="78">
        <v>0</v>
      </c>
      <c r="R106" s="579">
        <v>0</v>
      </c>
      <c r="S106" s="579">
        <v>0</v>
      </c>
      <c r="T106" s="579">
        <v>0</v>
      </c>
      <c r="U106" s="579">
        <v>0</v>
      </c>
      <c r="V106" s="579">
        <v>3011</v>
      </c>
    </row>
    <row r="107" spans="1:22">
      <c r="A107" s="575"/>
      <c r="B107" s="579" t="s">
        <v>295</v>
      </c>
      <c r="C107" s="579">
        <v>292</v>
      </c>
      <c r="D107" s="78">
        <v>274</v>
      </c>
      <c r="E107" s="78">
        <v>175</v>
      </c>
      <c r="F107" s="78">
        <v>73</v>
      </c>
      <c r="G107" s="78">
        <v>70</v>
      </c>
      <c r="H107" s="78">
        <v>22</v>
      </c>
      <c r="I107" s="579">
        <v>906</v>
      </c>
      <c r="J107" s="579">
        <v>0</v>
      </c>
      <c r="K107" s="78">
        <v>0</v>
      </c>
      <c r="L107" s="78">
        <v>0</v>
      </c>
      <c r="M107" s="78">
        <v>0</v>
      </c>
      <c r="N107" s="78">
        <v>431</v>
      </c>
      <c r="O107" s="579">
        <v>431</v>
      </c>
      <c r="P107" s="579">
        <v>0</v>
      </c>
      <c r="Q107" s="78">
        <v>0</v>
      </c>
      <c r="R107" s="579">
        <v>0</v>
      </c>
      <c r="S107" s="579">
        <v>0</v>
      </c>
      <c r="T107" s="579">
        <v>0</v>
      </c>
      <c r="U107" s="579">
        <v>0</v>
      </c>
      <c r="V107" s="579">
        <v>1337</v>
      </c>
    </row>
    <row r="108" spans="1:22">
      <c r="A108" s="575"/>
      <c r="B108" s="579" t="s">
        <v>297</v>
      </c>
      <c r="C108" s="579">
        <v>226</v>
      </c>
      <c r="D108" s="78">
        <v>9</v>
      </c>
      <c r="E108" s="78">
        <v>0</v>
      </c>
      <c r="F108" s="78">
        <v>1</v>
      </c>
      <c r="G108" s="78">
        <v>41</v>
      </c>
      <c r="H108" s="78">
        <v>1</v>
      </c>
      <c r="I108" s="579">
        <v>278</v>
      </c>
      <c r="J108" s="579">
        <v>0</v>
      </c>
      <c r="K108" s="78">
        <v>0</v>
      </c>
      <c r="L108" s="78">
        <v>0</v>
      </c>
      <c r="M108" s="78">
        <v>0</v>
      </c>
      <c r="N108" s="78">
        <v>1</v>
      </c>
      <c r="O108" s="579">
        <v>1</v>
      </c>
      <c r="P108" s="579">
        <v>0</v>
      </c>
      <c r="Q108" s="78">
        <v>0</v>
      </c>
      <c r="R108" s="579">
        <v>0</v>
      </c>
      <c r="S108" s="579">
        <v>0</v>
      </c>
      <c r="T108" s="579">
        <v>0</v>
      </c>
      <c r="U108" s="579">
        <v>0</v>
      </c>
      <c r="V108" s="579">
        <v>279</v>
      </c>
    </row>
    <row r="109" spans="1:22">
      <c r="A109" s="575"/>
      <c r="B109" s="579" t="s">
        <v>299</v>
      </c>
      <c r="C109" s="579">
        <v>0</v>
      </c>
      <c r="D109" s="78">
        <v>0</v>
      </c>
      <c r="E109" s="78">
        <v>0</v>
      </c>
      <c r="F109" s="78">
        <v>0</v>
      </c>
      <c r="G109" s="78">
        <v>0</v>
      </c>
      <c r="H109" s="78">
        <v>0</v>
      </c>
      <c r="I109" s="579">
        <v>0</v>
      </c>
      <c r="J109" s="579">
        <v>0</v>
      </c>
      <c r="K109" s="78">
        <v>0</v>
      </c>
      <c r="L109" s="78">
        <v>0</v>
      </c>
      <c r="M109" s="78">
        <v>0</v>
      </c>
      <c r="N109" s="78">
        <v>0</v>
      </c>
      <c r="O109" s="579">
        <v>0</v>
      </c>
      <c r="P109" s="579">
        <v>0</v>
      </c>
      <c r="Q109" s="78">
        <v>0</v>
      </c>
      <c r="R109" s="579">
        <v>0</v>
      </c>
      <c r="S109" s="579">
        <v>0</v>
      </c>
      <c r="T109" s="579">
        <v>0</v>
      </c>
      <c r="U109" s="579">
        <v>0</v>
      </c>
      <c r="V109" s="579">
        <v>0</v>
      </c>
    </row>
    <row r="110" spans="1:22">
      <c r="A110" s="575"/>
      <c r="B110" s="579" t="s">
        <v>301</v>
      </c>
      <c r="C110" s="579">
        <v>4325</v>
      </c>
      <c r="D110" s="78">
        <v>1720</v>
      </c>
      <c r="E110" s="78">
        <v>1175</v>
      </c>
      <c r="F110" s="78">
        <v>640</v>
      </c>
      <c r="G110" s="78">
        <v>697</v>
      </c>
      <c r="H110" s="78">
        <v>90</v>
      </c>
      <c r="I110" s="579">
        <v>8647</v>
      </c>
      <c r="J110" s="579">
        <v>0</v>
      </c>
      <c r="K110" s="78">
        <v>0</v>
      </c>
      <c r="L110" s="78">
        <v>0</v>
      </c>
      <c r="M110" s="78">
        <v>33</v>
      </c>
      <c r="N110" s="78">
        <v>2226</v>
      </c>
      <c r="O110" s="579">
        <v>2259</v>
      </c>
      <c r="P110" s="579">
        <v>0</v>
      </c>
      <c r="Q110" s="78">
        <v>0</v>
      </c>
      <c r="R110" s="579">
        <v>0</v>
      </c>
      <c r="S110" s="579">
        <v>0</v>
      </c>
      <c r="T110" s="579">
        <v>0</v>
      </c>
      <c r="U110" s="579">
        <v>0</v>
      </c>
      <c r="V110" s="579">
        <v>10906</v>
      </c>
    </row>
    <row r="111" spans="1:22">
      <c r="A111" s="571" t="s">
        <v>343</v>
      </c>
      <c r="B111" s="577" t="s">
        <v>290</v>
      </c>
      <c r="C111" s="577">
        <v>293</v>
      </c>
      <c r="D111" s="574">
        <v>0</v>
      </c>
      <c r="E111" s="574">
        <v>199</v>
      </c>
      <c r="F111" s="574">
        <v>0</v>
      </c>
      <c r="G111" s="574">
        <v>79</v>
      </c>
      <c r="H111" s="574">
        <v>127</v>
      </c>
      <c r="I111" s="577">
        <v>698</v>
      </c>
      <c r="J111" s="577">
        <v>43</v>
      </c>
      <c r="K111" s="574">
        <v>0</v>
      </c>
      <c r="L111" s="574">
        <v>0</v>
      </c>
      <c r="M111" s="574">
        <v>78</v>
      </c>
      <c r="N111" s="574">
        <v>0</v>
      </c>
      <c r="O111" s="577">
        <v>121</v>
      </c>
      <c r="P111" s="577">
        <v>0</v>
      </c>
      <c r="Q111" s="574">
        <v>0</v>
      </c>
      <c r="R111" s="577">
        <v>0</v>
      </c>
      <c r="S111" s="577">
        <v>0</v>
      </c>
      <c r="T111" s="577">
        <v>0</v>
      </c>
      <c r="U111" s="577">
        <v>0</v>
      </c>
      <c r="V111" s="577">
        <v>819</v>
      </c>
    </row>
    <row r="112" spans="1:22">
      <c r="A112" s="575"/>
      <c r="B112" s="579" t="s">
        <v>245</v>
      </c>
      <c r="C112" s="579">
        <v>247</v>
      </c>
      <c r="D112" s="78">
        <v>0</v>
      </c>
      <c r="E112" s="78">
        <v>118</v>
      </c>
      <c r="F112" s="78">
        <v>0</v>
      </c>
      <c r="G112" s="78">
        <v>77</v>
      </c>
      <c r="H112" s="78">
        <v>146</v>
      </c>
      <c r="I112" s="579">
        <v>588</v>
      </c>
      <c r="J112" s="579">
        <v>14</v>
      </c>
      <c r="K112" s="78">
        <v>0</v>
      </c>
      <c r="L112" s="78">
        <v>0</v>
      </c>
      <c r="M112" s="78">
        <v>54</v>
      </c>
      <c r="N112" s="78">
        <v>0</v>
      </c>
      <c r="O112" s="579">
        <v>68</v>
      </c>
      <c r="P112" s="579">
        <v>0</v>
      </c>
      <c r="Q112" s="78">
        <v>0</v>
      </c>
      <c r="R112" s="579">
        <v>0</v>
      </c>
      <c r="S112" s="579">
        <v>0</v>
      </c>
      <c r="T112" s="579">
        <v>0</v>
      </c>
      <c r="U112" s="579">
        <v>0</v>
      </c>
      <c r="V112" s="579">
        <v>656</v>
      </c>
    </row>
    <row r="113" spans="1:22">
      <c r="A113" s="575"/>
      <c r="B113" s="579" t="s">
        <v>293</v>
      </c>
      <c r="C113" s="579">
        <v>352</v>
      </c>
      <c r="D113" s="78">
        <v>0</v>
      </c>
      <c r="E113" s="78">
        <v>119</v>
      </c>
      <c r="F113" s="78">
        <v>0</v>
      </c>
      <c r="G113" s="78">
        <v>103</v>
      </c>
      <c r="H113" s="78">
        <v>213</v>
      </c>
      <c r="I113" s="579">
        <v>787</v>
      </c>
      <c r="J113" s="579">
        <v>24</v>
      </c>
      <c r="K113" s="78">
        <v>0</v>
      </c>
      <c r="L113" s="78">
        <v>0</v>
      </c>
      <c r="M113" s="78">
        <v>114</v>
      </c>
      <c r="N113" s="78">
        <v>0</v>
      </c>
      <c r="O113" s="579">
        <v>138</v>
      </c>
      <c r="P113" s="579">
        <v>0</v>
      </c>
      <c r="Q113" s="78">
        <v>0</v>
      </c>
      <c r="R113" s="579">
        <v>0</v>
      </c>
      <c r="S113" s="579">
        <v>0</v>
      </c>
      <c r="T113" s="579">
        <v>0</v>
      </c>
      <c r="U113" s="579">
        <v>0</v>
      </c>
      <c r="V113" s="579">
        <v>925</v>
      </c>
    </row>
    <row r="114" spans="1:22">
      <c r="A114" s="575"/>
      <c r="B114" s="579" t="s">
        <v>295</v>
      </c>
      <c r="C114" s="579">
        <v>51</v>
      </c>
      <c r="D114" s="78">
        <v>0</v>
      </c>
      <c r="E114" s="78">
        <v>42</v>
      </c>
      <c r="F114" s="78">
        <v>0</v>
      </c>
      <c r="G114" s="78">
        <v>15</v>
      </c>
      <c r="H114" s="78">
        <v>82</v>
      </c>
      <c r="I114" s="579">
        <v>190</v>
      </c>
      <c r="J114" s="579">
        <v>46</v>
      </c>
      <c r="K114" s="78">
        <v>0</v>
      </c>
      <c r="L114" s="78">
        <v>0</v>
      </c>
      <c r="M114" s="78">
        <v>147</v>
      </c>
      <c r="N114" s="78">
        <v>0</v>
      </c>
      <c r="O114" s="579">
        <v>193</v>
      </c>
      <c r="P114" s="579">
        <v>0</v>
      </c>
      <c r="Q114" s="78">
        <v>0</v>
      </c>
      <c r="R114" s="579">
        <v>0</v>
      </c>
      <c r="S114" s="579">
        <v>0</v>
      </c>
      <c r="T114" s="579">
        <v>0</v>
      </c>
      <c r="U114" s="579">
        <v>0</v>
      </c>
      <c r="V114" s="579">
        <v>383</v>
      </c>
    </row>
    <row r="115" spans="1:22">
      <c r="A115" s="575"/>
      <c r="B115" s="579" t="s">
        <v>297</v>
      </c>
      <c r="C115" s="579">
        <v>21</v>
      </c>
      <c r="D115" s="78">
        <v>0</v>
      </c>
      <c r="E115" s="78">
        <v>0</v>
      </c>
      <c r="F115" s="78">
        <v>0</v>
      </c>
      <c r="G115" s="78">
        <v>14</v>
      </c>
      <c r="H115" s="78">
        <v>15</v>
      </c>
      <c r="I115" s="579">
        <v>50</v>
      </c>
      <c r="J115" s="579">
        <v>6</v>
      </c>
      <c r="K115" s="78">
        <v>0</v>
      </c>
      <c r="L115" s="78">
        <v>0</v>
      </c>
      <c r="M115" s="78">
        <v>29</v>
      </c>
      <c r="N115" s="78">
        <v>0</v>
      </c>
      <c r="O115" s="579">
        <v>35</v>
      </c>
      <c r="P115" s="579">
        <v>0</v>
      </c>
      <c r="Q115" s="78">
        <v>0</v>
      </c>
      <c r="R115" s="579">
        <v>0</v>
      </c>
      <c r="S115" s="579">
        <v>0</v>
      </c>
      <c r="T115" s="579">
        <v>0</v>
      </c>
      <c r="U115" s="579">
        <v>0</v>
      </c>
      <c r="V115" s="579">
        <v>85</v>
      </c>
    </row>
    <row r="116" spans="1:22">
      <c r="A116" s="575"/>
      <c r="B116" s="579" t="s">
        <v>299</v>
      </c>
      <c r="C116" s="579">
        <v>0</v>
      </c>
      <c r="D116" s="78">
        <v>0</v>
      </c>
      <c r="E116" s="78">
        <v>0</v>
      </c>
      <c r="F116" s="78">
        <v>0</v>
      </c>
      <c r="G116" s="78">
        <v>0</v>
      </c>
      <c r="H116" s="78">
        <v>0</v>
      </c>
      <c r="I116" s="579">
        <v>0</v>
      </c>
      <c r="J116" s="579">
        <v>0</v>
      </c>
      <c r="K116" s="78">
        <v>0</v>
      </c>
      <c r="L116" s="78">
        <v>0</v>
      </c>
      <c r="M116" s="78">
        <v>0</v>
      </c>
      <c r="N116" s="78">
        <v>0</v>
      </c>
      <c r="O116" s="579">
        <v>0</v>
      </c>
      <c r="P116" s="579">
        <v>0</v>
      </c>
      <c r="Q116" s="78">
        <v>0</v>
      </c>
      <c r="R116" s="579">
        <v>0</v>
      </c>
      <c r="S116" s="579">
        <v>0</v>
      </c>
      <c r="T116" s="579">
        <v>0</v>
      </c>
      <c r="U116" s="579">
        <v>0</v>
      </c>
      <c r="V116" s="579">
        <v>0</v>
      </c>
    </row>
    <row r="117" spans="1:22">
      <c r="A117" s="575"/>
      <c r="B117" s="579" t="s">
        <v>301</v>
      </c>
      <c r="C117" s="579">
        <v>964</v>
      </c>
      <c r="D117" s="78">
        <v>0</v>
      </c>
      <c r="E117" s="78">
        <v>478</v>
      </c>
      <c r="F117" s="78">
        <v>0</v>
      </c>
      <c r="G117" s="78">
        <v>288</v>
      </c>
      <c r="H117" s="78">
        <v>583</v>
      </c>
      <c r="I117" s="579">
        <v>2313</v>
      </c>
      <c r="J117" s="579">
        <v>133</v>
      </c>
      <c r="K117" s="78">
        <v>0</v>
      </c>
      <c r="L117" s="78">
        <v>0</v>
      </c>
      <c r="M117" s="78">
        <v>422</v>
      </c>
      <c r="N117" s="78">
        <v>0</v>
      </c>
      <c r="O117" s="579">
        <v>555</v>
      </c>
      <c r="P117" s="579">
        <v>0</v>
      </c>
      <c r="Q117" s="78">
        <v>0</v>
      </c>
      <c r="R117" s="579">
        <v>0</v>
      </c>
      <c r="S117" s="579">
        <v>0</v>
      </c>
      <c r="T117" s="579">
        <v>0</v>
      </c>
      <c r="U117" s="579">
        <v>0</v>
      </c>
      <c r="V117" s="579">
        <v>2868</v>
      </c>
    </row>
    <row r="118" spans="1:22">
      <c r="A118" s="577" t="s">
        <v>291</v>
      </c>
      <c r="B118" s="573"/>
      <c r="C118" s="577">
        <v>15108</v>
      </c>
      <c r="D118" s="574">
        <v>2652</v>
      </c>
      <c r="E118" s="574">
        <v>6677</v>
      </c>
      <c r="F118" s="574">
        <v>1827</v>
      </c>
      <c r="G118" s="574">
        <v>1157</v>
      </c>
      <c r="H118" s="574">
        <v>572</v>
      </c>
      <c r="I118" s="577">
        <v>27993</v>
      </c>
      <c r="J118" s="577">
        <v>193</v>
      </c>
      <c r="K118" s="574">
        <v>3006</v>
      </c>
      <c r="L118" s="574">
        <v>1523</v>
      </c>
      <c r="M118" s="574">
        <v>365</v>
      </c>
      <c r="N118" s="574">
        <v>444</v>
      </c>
      <c r="O118" s="577">
        <v>5531</v>
      </c>
      <c r="P118" s="577">
        <v>10</v>
      </c>
      <c r="Q118" s="574">
        <v>0</v>
      </c>
      <c r="R118" s="577">
        <v>98</v>
      </c>
      <c r="S118" s="577">
        <v>108</v>
      </c>
      <c r="T118" s="577">
        <v>197</v>
      </c>
      <c r="U118" s="577">
        <v>197</v>
      </c>
      <c r="V118" s="577">
        <v>33829</v>
      </c>
    </row>
    <row r="119" spans="1:22">
      <c r="A119" s="577" t="s">
        <v>292</v>
      </c>
      <c r="B119" s="573"/>
      <c r="C119" s="577">
        <v>12236</v>
      </c>
      <c r="D119" s="574">
        <v>2865</v>
      </c>
      <c r="E119" s="574">
        <v>7027</v>
      </c>
      <c r="F119" s="574">
        <v>2200</v>
      </c>
      <c r="G119" s="574">
        <v>1351</v>
      </c>
      <c r="H119" s="574">
        <v>754</v>
      </c>
      <c r="I119" s="577">
        <v>26433</v>
      </c>
      <c r="J119" s="577">
        <v>211</v>
      </c>
      <c r="K119" s="574">
        <v>2397</v>
      </c>
      <c r="L119" s="574">
        <v>1330</v>
      </c>
      <c r="M119" s="574">
        <v>328</v>
      </c>
      <c r="N119" s="574">
        <v>667</v>
      </c>
      <c r="O119" s="577">
        <v>4933</v>
      </c>
      <c r="P119" s="577">
        <v>40</v>
      </c>
      <c r="Q119" s="574">
        <v>0</v>
      </c>
      <c r="R119" s="577">
        <v>21</v>
      </c>
      <c r="S119" s="577">
        <v>61</v>
      </c>
      <c r="T119" s="577">
        <v>146</v>
      </c>
      <c r="U119" s="577">
        <v>146</v>
      </c>
      <c r="V119" s="577">
        <v>31573</v>
      </c>
    </row>
    <row r="120" spans="1:22">
      <c r="A120" s="577" t="s">
        <v>294</v>
      </c>
      <c r="B120" s="573"/>
      <c r="C120" s="577">
        <v>11144</v>
      </c>
      <c r="D120" s="574">
        <v>2588</v>
      </c>
      <c r="E120" s="574">
        <v>8221</v>
      </c>
      <c r="F120" s="574">
        <v>3031</v>
      </c>
      <c r="G120" s="574">
        <v>1827</v>
      </c>
      <c r="H120" s="574">
        <v>991</v>
      </c>
      <c r="I120" s="577">
        <v>27802</v>
      </c>
      <c r="J120" s="577">
        <v>306</v>
      </c>
      <c r="K120" s="574">
        <v>1800</v>
      </c>
      <c r="L120" s="574">
        <v>1188</v>
      </c>
      <c r="M120" s="574">
        <v>473</v>
      </c>
      <c r="N120" s="574">
        <v>683</v>
      </c>
      <c r="O120" s="577">
        <v>4450</v>
      </c>
      <c r="P120" s="577">
        <v>37</v>
      </c>
      <c r="Q120" s="574">
        <v>1</v>
      </c>
      <c r="R120" s="577">
        <v>38</v>
      </c>
      <c r="S120" s="577">
        <v>76</v>
      </c>
      <c r="T120" s="577">
        <v>249</v>
      </c>
      <c r="U120" s="577">
        <v>249</v>
      </c>
      <c r="V120" s="577">
        <v>32577</v>
      </c>
    </row>
    <row r="121" spans="1:22">
      <c r="A121" s="577" t="s">
        <v>296</v>
      </c>
      <c r="B121" s="573"/>
      <c r="C121" s="577">
        <v>3227</v>
      </c>
      <c r="D121" s="574">
        <v>1075</v>
      </c>
      <c r="E121" s="574">
        <v>2957</v>
      </c>
      <c r="F121" s="574">
        <v>906</v>
      </c>
      <c r="G121" s="574">
        <v>734</v>
      </c>
      <c r="H121" s="574">
        <v>426</v>
      </c>
      <c r="I121" s="577">
        <v>9325</v>
      </c>
      <c r="J121" s="577">
        <v>639</v>
      </c>
      <c r="K121" s="574">
        <v>3000</v>
      </c>
      <c r="L121" s="574">
        <v>2136</v>
      </c>
      <c r="M121" s="574">
        <v>878</v>
      </c>
      <c r="N121" s="574">
        <v>431</v>
      </c>
      <c r="O121" s="577">
        <v>7084</v>
      </c>
      <c r="P121" s="577">
        <v>137</v>
      </c>
      <c r="Q121" s="574">
        <v>47</v>
      </c>
      <c r="R121" s="577">
        <v>437</v>
      </c>
      <c r="S121" s="577">
        <v>621</v>
      </c>
      <c r="T121" s="577">
        <v>13</v>
      </c>
      <c r="U121" s="577">
        <v>13</v>
      </c>
      <c r="V121" s="577">
        <v>17043</v>
      </c>
    </row>
    <row r="122" spans="1:22">
      <c r="A122" s="577" t="s">
        <v>298</v>
      </c>
      <c r="B122" s="573"/>
      <c r="C122" s="577">
        <v>3747</v>
      </c>
      <c r="D122" s="574">
        <v>1054</v>
      </c>
      <c r="E122" s="574">
        <v>2578</v>
      </c>
      <c r="F122" s="574">
        <v>418</v>
      </c>
      <c r="G122" s="574">
        <v>412</v>
      </c>
      <c r="H122" s="574">
        <v>192</v>
      </c>
      <c r="I122" s="577">
        <v>8401</v>
      </c>
      <c r="J122" s="577">
        <v>36</v>
      </c>
      <c r="K122" s="574">
        <v>1083</v>
      </c>
      <c r="L122" s="574">
        <v>1030</v>
      </c>
      <c r="M122" s="574">
        <v>170</v>
      </c>
      <c r="N122" s="574">
        <v>1</v>
      </c>
      <c r="O122" s="577">
        <v>2320</v>
      </c>
      <c r="P122" s="577">
        <v>0</v>
      </c>
      <c r="Q122" s="574">
        <v>5</v>
      </c>
      <c r="R122" s="577">
        <v>0</v>
      </c>
      <c r="S122" s="577">
        <v>5</v>
      </c>
      <c r="T122" s="577">
        <v>177</v>
      </c>
      <c r="U122" s="577">
        <v>177</v>
      </c>
      <c r="V122" s="577">
        <v>10903</v>
      </c>
    </row>
    <row r="123" spans="1:22">
      <c r="A123" s="577" t="s">
        <v>300</v>
      </c>
      <c r="B123" s="573"/>
      <c r="C123" s="577">
        <v>401</v>
      </c>
      <c r="D123" s="574">
        <v>156</v>
      </c>
      <c r="E123" s="574">
        <v>196</v>
      </c>
      <c r="F123" s="574">
        <v>21</v>
      </c>
      <c r="G123" s="574">
        <v>9</v>
      </c>
      <c r="H123" s="574">
        <v>0</v>
      </c>
      <c r="I123" s="577">
        <v>783</v>
      </c>
      <c r="J123" s="577">
        <v>1697</v>
      </c>
      <c r="K123" s="574">
        <v>10391.299999999999</v>
      </c>
      <c r="L123" s="574">
        <v>7243</v>
      </c>
      <c r="M123" s="574">
        <v>3195</v>
      </c>
      <c r="N123" s="574">
        <v>0</v>
      </c>
      <c r="O123" s="577">
        <v>22526.3</v>
      </c>
      <c r="P123" s="577">
        <v>2634</v>
      </c>
      <c r="Q123" s="574">
        <v>1457</v>
      </c>
      <c r="R123" s="577">
        <v>530</v>
      </c>
      <c r="S123" s="577">
        <v>4621</v>
      </c>
      <c r="T123" s="577">
        <v>8</v>
      </c>
      <c r="U123" s="577">
        <v>8</v>
      </c>
      <c r="V123" s="577">
        <v>27938.3</v>
      </c>
    </row>
    <row r="124" spans="1:22">
      <c r="A124" s="580" t="s">
        <v>302</v>
      </c>
      <c r="B124" s="581"/>
      <c r="C124" s="580">
        <v>45863</v>
      </c>
      <c r="D124" s="582">
        <v>10390</v>
      </c>
      <c r="E124" s="582">
        <v>27656</v>
      </c>
      <c r="F124" s="582">
        <v>8403</v>
      </c>
      <c r="G124" s="582">
        <v>5490</v>
      </c>
      <c r="H124" s="582">
        <v>2935</v>
      </c>
      <c r="I124" s="580">
        <v>100737</v>
      </c>
      <c r="J124" s="580">
        <v>3082</v>
      </c>
      <c r="K124" s="582">
        <v>21677.3</v>
      </c>
      <c r="L124" s="582">
        <v>14450</v>
      </c>
      <c r="M124" s="582">
        <v>5409</v>
      </c>
      <c r="N124" s="582">
        <v>2226</v>
      </c>
      <c r="O124" s="580">
        <v>46844.3</v>
      </c>
      <c r="P124" s="580">
        <v>2858</v>
      </c>
      <c r="Q124" s="582">
        <v>1510</v>
      </c>
      <c r="R124" s="580">
        <v>1124</v>
      </c>
      <c r="S124" s="580">
        <v>5492</v>
      </c>
      <c r="T124" s="580">
        <v>790</v>
      </c>
      <c r="U124" s="580">
        <v>790</v>
      </c>
      <c r="V124" s="580">
        <v>153863.29999999999</v>
      </c>
    </row>
  </sheetData>
  <phoneticPr fontId="15" type="noConversion"/>
  <pageMargins left="0.75" right="0.75" top="1" bottom="1" header="0.5" footer="0.5"/>
  <pageSetup scale="37" orientation="landscape" r:id="rId2"/>
  <headerFooter alignWithMargins="0">
    <oddHeader>&amp;LSREB-State Data Exchange&amp;CPreliminary Tables&amp;RSalaries</oddHeader>
    <oddFooter>&amp;LFor Agency Review Only&amp;RSeptember 2007</oddFooter>
  </headerFooter>
  <rowBreaks count="6" manualBreakCount="6">
    <brk id="80" max="16383" man="1"/>
    <brk id="82" max="16383" man="1"/>
    <brk id="89" max="16383" man="1"/>
    <brk id="96" max="16383" man="1"/>
    <brk id="103" max="16383" man="1"/>
    <brk id="11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NEW Table 142</vt:lpstr>
      <vt:lpstr>OLD Table</vt:lpstr>
      <vt:lpstr>NEW Tables 143-162</vt:lpstr>
      <vt:lpstr>OLD Tables</vt:lpstr>
      <vt:lpstr>NEW Table 163</vt:lpstr>
      <vt:lpstr>OLD Table  </vt:lpstr>
      <vt:lpstr>Calculated Fields</vt:lpstr>
      <vt:lpstr>Averages Pivot Table</vt:lpstr>
      <vt:lpstr>NEW Counts Pivot Table</vt:lpstr>
      <vt:lpstr>OLD Counts Pivot Table</vt:lpstr>
      <vt:lpstr>Faculty Salary Data</vt:lpstr>
      <vt:lpstr>Format for avgs table</vt:lpstr>
      <vt:lpstr>Format for counts table</vt:lpstr>
      <vt:lpstr>'Averages Pivot Table'!Print_Area</vt:lpstr>
      <vt:lpstr>'NEW Counts Pivot Table'!Print_Area</vt:lpstr>
      <vt:lpstr>'NEW Table 142'!Print_Area</vt:lpstr>
      <vt:lpstr>'NEW Table 163'!Print_Area</vt:lpstr>
      <vt:lpstr>'NEW Tables 143-162'!Print_Area</vt:lpstr>
      <vt:lpstr>'OLD Counts Pivot Table'!Print_Area</vt:lpstr>
      <vt:lpstr>'OLD Table'!Print_Area</vt:lpstr>
      <vt:lpstr>'OLD Table  '!Print_Area</vt:lpstr>
      <vt:lpstr>'OLD Tables'!Print_Area</vt:lpstr>
      <vt:lpstr>'Averages Pivot Table'!Print_Titles</vt:lpstr>
      <vt:lpstr>'NEW Counts Pivot Table'!Print_Titles</vt:lpstr>
      <vt:lpstr>'NEW Table 163'!Print_Titles</vt:lpstr>
      <vt:lpstr>'OLD Counts Pivot Table'!Print_Titles</vt:lpstr>
      <vt:lpstr>'OLD Table  '!Print_Titles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2012-01-19T16:31:59Z</cp:lastPrinted>
  <dcterms:created xsi:type="dcterms:W3CDTF">1999-02-24T13:58:47Z</dcterms:created>
  <dcterms:modified xsi:type="dcterms:W3CDTF">2012-01-19T16:32:25Z</dcterms:modified>
</cp:coreProperties>
</file>